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omments1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omments2.xml" ContentType="application/vnd.openxmlformats-officedocument.spreadsheetml.comments+xml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omments3.xml" ContentType="application/vnd.openxmlformats-officedocument.spreadsheetml.comments+xml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omments4.xml" ContentType="application/vnd.openxmlformats-officedocument.spreadsheetml.comments+xml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ustomProperty82.bin" ContentType="application/vnd.openxmlformats-officedocument.spreadsheetml.customProperty"/>
  <Override PartName="/xl/customProperty83.bin" ContentType="application/vnd.openxmlformats-officedocument.spreadsheetml.customProperty"/>
  <Override PartName="/xl/comments5.xml" ContentType="application/vnd.openxmlformats-officedocument.spreadsheetml.comments+xml"/>
  <Override PartName="/xl/customProperty84.bin" ContentType="application/vnd.openxmlformats-officedocument.spreadsheetml.customProperty"/>
  <Override PartName="/xl/customProperty85.bin" ContentType="application/vnd.openxmlformats-officedocument.spreadsheetml.customProperty"/>
  <Override PartName="/xl/customProperty86.bin" ContentType="application/vnd.openxmlformats-officedocument.spreadsheetml.customProperty"/>
  <Override PartName="/xl/customProperty87.bin" ContentType="application/vnd.openxmlformats-officedocument.spreadsheetml.customProperty"/>
  <Override PartName="/xl/customProperty88.bin" ContentType="application/vnd.openxmlformats-officedocument.spreadsheetml.customProperty"/>
  <Override PartName="/xl/customProperty89.bin" ContentType="application/vnd.openxmlformats-officedocument.spreadsheetml.customProperty"/>
  <Override PartName="/xl/customProperty90.bin" ContentType="application/vnd.openxmlformats-officedocument.spreadsheetml.customProperty"/>
  <Override PartName="/xl/customProperty91.bin" ContentType="application/vnd.openxmlformats-officedocument.spreadsheetml.customProperty"/>
  <Override PartName="/xl/customProperty92.bin" ContentType="application/vnd.openxmlformats-officedocument.spreadsheetml.customProperty"/>
  <Override PartName="/xl/customProperty93.bin" ContentType="application/vnd.openxmlformats-officedocument.spreadsheetml.customProperty"/>
  <Override PartName="/xl/customProperty94.bin" ContentType="application/vnd.openxmlformats-officedocument.spreadsheetml.customProperty"/>
  <Override PartName="/xl/customProperty95.bin" ContentType="application/vnd.openxmlformats-officedocument.spreadsheetml.customProperty"/>
  <Override PartName="/xl/customProperty96.bin" ContentType="application/vnd.openxmlformats-officedocument.spreadsheetml.customProperty"/>
  <Override PartName="/xl/customProperty97.bin" ContentType="application/vnd.openxmlformats-officedocument.spreadsheetml.customProperty"/>
  <Override PartName="/xl/customProperty98.bin" ContentType="application/vnd.openxmlformats-officedocument.spreadsheetml.customProperty"/>
  <Override PartName="/xl/comments6.xml" ContentType="application/vnd.openxmlformats-officedocument.spreadsheetml.comments+xml"/>
  <Override PartName="/xl/customProperty99.bin" ContentType="application/vnd.openxmlformats-officedocument.spreadsheetml.customProperty"/>
  <Override PartName="/xl/customProperty100.bin" ContentType="application/vnd.openxmlformats-officedocument.spreadsheetml.customProperty"/>
  <Override PartName="/xl/customProperty101.bin" ContentType="application/vnd.openxmlformats-officedocument.spreadsheetml.customProperty"/>
  <Override PartName="/xl/customProperty102.bin" ContentType="application/vnd.openxmlformats-officedocument.spreadsheetml.customProperty"/>
  <Override PartName="/xl/customProperty103.bin" ContentType="application/vnd.openxmlformats-officedocument.spreadsheetml.customProperty"/>
  <Override PartName="/xl/customProperty104.bin" ContentType="application/vnd.openxmlformats-officedocument.spreadsheetml.customProperty"/>
  <Override PartName="/xl/customProperty105.bin" ContentType="application/vnd.openxmlformats-officedocument.spreadsheetml.customProperty"/>
  <Override PartName="/xl/customProperty106.bin" ContentType="application/vnd.openxmlformats-officedocument.spreadsheetml.customProperty"/>
  <Override PartName="/xl/customProperty107.bin" ContentType="application/vnd.openxmlformats-officedocument.spreadsheetml.customProperty"/>
  <Override PartName="/xl/customProperty108.bin" ContentType="application/vnd.openxmlformats-officedocument.spreadsheetml.customProperty"/>
  <Override PartName="/xl/customProperty109.bin" ContentType="application/vnd.openxmlformats-officedocument.spreadsheetml.customProperty"/>
  <Override PartName="/xl/customProperty110.bin" ContentType="application/vnd.openxmlformats-officedocument.spreadsheetml.customProperty"/>
  <Override PartName="/xl/customProperty111.bin" ContentType="application/vnd.openxmlformats-officedocument.spreadsheetml.customProperty"/>
  <Override PartName="/xl/customProperty112.bin" ContentType="application/vnd.openxmlformats-officedocument.spreadsheetml.customProperty"/>
  <Override PartName="/xl/customProperty113.bin" ContentType="application/vnd.openxmlformats-officedocument.spreadsheetml.customProperty"/>
  <Override PartName="/xl/customProperty114.bin" ContentType="application/vnd.openxmlformats-officedocument.spreadsheetml.customProperty"/>
  <Override PartName="/xl/customProperty115.bin" ContentType="application/vnd.openxmlformats-officedocument.spreadsheetml.customProperty"/>
  <Override PartName="/xl/comments7.xml" ContentType="application/vnd.openxmlformats-officedocument.spreadsheetml.comments+xml"/>
  <Override PartName="/xl/customProperty116.bin" ContentType="application/vnd.openxmlformats-officedocument.spreadsheetml.customProperty"/>
  <Override PartName="/xl/customProperty117.bin" ContentType="application/vnd.openxmlformats-officedocument.spreadsheetml.customProperty"/>
  <Override PartName="/xl/customProperty118.bin" ContentType="application/vnd.openxmlformats-officedocument.spreadsheetml.customProperty"/>
  <Override PartName="/xl/customProperty119.bin" ContentType="application/vnd.openxmlformats-officedocument.spreadsheetml.customProperty"/>
  <Override PartName="/xl/customProperty120.bin" ContentType="application/vnd.openxmlformats-officedocument.spreadsheetml.customProperty"/>
  <Override PartName="/xl/customProperty121.bin" ContentType="application/vnd.openxmlformats-officedocument.spreadsheetml.customProperty"/>
  <Override PartName="/xl/customProperty122.bin" ContentType="application/vnd.openxmlformats-officedocument.spreadsheetml.customProperty"/>
  <Override PartName="/xl/customProperty123.bin" ContentType="application/vnd.openxmlformats-officedocument.spreadsheetml.customProperty"/>
  <Override PartName="/xl/customProperty124.bin" ContentType="application/vnd.openxmlformats-officedocument.spreadsheetml.customProperty"/>
  <Override PartName="/xl/customProperty125.bin" ContentType="application/vnd.openxmlformats-officedocument.spreadsheetml.customProperty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Chulkov\Desktop\"/>
    </mc:Choice>
  </mc:AlternateContent>
  <bookViews>
    <workbookView xWindow="0" yWindow="150" windowWidth="15480" windowHeight="10560" tabRatio="881" activeTab="6"/>
  </bookViews>
  <sheets>
    <sheet name="1. Среднесрочное финансовое пла" sheetId="88" r:id="rId1"/>
    <sheet name="2. Исп местн бюдж в части доход" sheetId="94" r:id="rId2"/>
    <sheet name="3. Исп мест бюджета в ч расх" sheetId="90" r:id="rId3"/>
    <sheet name="4. Учет и отчетность" sheetId="96" r:id="rId4"/>
    <sheet name="5. Контроль и аудит" sheetId="92" r:id="rId5"/>
    <sheet name="6. Кадровый потенциал сотруд" sheetId="93" r:id="rId6"/>
    <sheet name="Итог" sheetId="82" r:id="rId7"/>
    <sheet name="Рейтинг" sheetId="89" r:id="rId8"/>
  </sheets>
  <externalReferences>
    <externalReference r:id="rId9"/>
  </externalReferences>
  <definedNames>
    <definedName name="_FilterDatabase" localSheetId="6" hidden="1">Итог!$A$16:$S$16</definedName>
    <definedName name="_FilterDatabase" localSheetId="7" hidden="1">Рейтинг!$A$7:$BG$7</definedName>
    <definedName name="krista_columnsbreak" localSheetId="0" hidden="1">'1. Среднесрочное финансовое пла'!$17:$17</definedName>
    <definedName name="krista_columnsbreak" localSheetId="6" hidden="1">Итог!$16:$16</definedName>
    <definedName name="krista_columnsbreak" localSheetId="7" hidden="1">Рейтинг!$7:$7</definedName>
    <definedName name="krista_r" localSheetId="0" hidden="1">'1. Среднесрочное финансовое пла'!$B$18:$B$40</definedName>
    <definedName name="krista_r" localSheetId="1" hidden="1">'2. Исп местн бюдж в части доход'!$B$14:$B$36</definedName>
    <definedName name="krista_r" localSheetId="2" hidden="1">'3. Исп мест бюджета в ч расх'!$B$16:$B$38</definedName>
    <definedName name="krista_r" localSheetId="3" hidden="1">'4. Учет и отчетность'!$B$17:$B$39</definedName>
    <definedName name="krista_r" localSheetId="4" hidden="1">'5. Контроль и аудит'!$B$17:$B$39</definedName>
    <definedName name="krista_r" localSheetId="5" hidden="1">'6. Кадровый потенциал сотруд'!$B$15:$B$37</definedName>
    <definedName name="krista_r" localSheetId="6" hidden="1">Итог!$B$17:$B$39</definedName>
    <definedName name="krista_r" localSheetId="7" hidden="1">Рейтинг!$B$8:$B$30</definedName>
    <definedName name="krista_rd_15236" localSheetId="6" hidden="1">Итог!$B$17:$B$39</definedName>
    <definedName name="krista_rd_40601" localSheetId="0" hidden="1">'1. Среднесрочное финансовое пла'!$B$18:$B$40</definedName>
    <definedName name="krista_rd_40601" localSheetId="2" hidden="1">'3. Исп мест бюджета в ч расх'!$B$16:$B$38</definedName>
    <definedName name="krista_rd_40601" localSheetId="3" hidden="1">'4. Учет и отчетность'!$B$17:$B$39</definedName>
    <definedName name="krista_rd_40601" localSheetId="4" hidden="1">'5. Контроль и аудит'!$B$17:$B$39</definedName>
    <definedName name="krista_rd_40601" localSheetId="5" hidden="1">'6. Кадровый потенциал сотруд'!$B$15:$B$37</definedName>
    <definedName name="krista_rd_46383" localSheetId="1" hidden="1">'2. Исп местн бюдж в части доход'!$B$14:$B$36</definedName>
    <definedName name="krista_rd_94" localSheetId="7" hidden="1">Рейтинг!$B$8:$B$30</definedName>
    <definedName name="krista_rl_15238" localSheetId="6" hidden="1">Итог!$B$17:$B$39</definedName>
    <definedName name="krista_rl_40603" localSheetId="0" hidden="1">'1. Среднесрочное финансовое пла'!$B$18:$B$40</definedName>
    <definedName name="krista_rl_40603" localSheetId="2" hidden="1">'3. Исп мест бюджета в ч расх'!$B$16:$B$38</definedName>
    <definedName name="krista_rl_40603" localSheetId="3" hidden="1">'4. Учет и отчетность'!$B$17:$B$39</definedName>
    <definedName name="krista_rl_40603" localSheetId="4" hidden="1">'5. Контроль и аудит'!$B$17:$B$39</definedName>
    <definedName name="krista_rl_40603" localSheetId="5" hidden="1">'6. Кадровый потенциал сотруд'!$B$15:$B$37</definedName>
    <definedName name="krista_rl_46385" localSheetId="1" hidden="1">'2. Исп местн бюдж в части доход'!$B$14:$B$36</definedName>
    <definedName name="krista_rl_96" localSheetId="7" hidden="1">Рейтинг!$B$8:$B$30</definedName>
    <definedName name="krista_rmp_15236_0" localSheetId="6" hidden="1">Итог!$A$17:$A$39</definedName>
    <definedName name="krista_rmp_40601_0" localSheetId="0" hidden="1">'1. Среднесрочное финансовое пла'!$A$18:$A$40</definedName>
    <definedName name="krista_rmp_40601_0" localSheetId="2" hidden="1">'3. Исп мест бюджета в ч расх'!$A$16:$A$38</definedName>
    <definedName name="krista_rmp_40601_0" localSheetId="3" hidden="1">'4. Учет и отчетность'!$A$17:$A$39</definedName>
    <definedName name="krista_rmp_40601_0" localSheetId="4" hidden="1">'5. Контроль и аудит'!$A$17:$A$39</definedName>
    <definedName name="krista_rmp_40601_0" localSheetId="5" hidden="1">'6. Кадровый потенциал сотруд'!$A$15:$A$37</definedName>
    <definedName name="krista_rmp_46383_0" localSheetId="1" hidden="1">'2. Исп местн бюдж в части доход'!$A$14:$A$36</definedName>
    <definedName name="krista_rmp_94_0" localSheetId="7" hidden="1">Рейтинг!$A$8:$A$30</definedName>
    <definedName name="krista_rmpa" localSheetId="0" hidden="1">'1. Среднесрочное финансовое пла'!$A$18:$A$40</definedName>
    <definedName name="krista_rmpa" localSheetId="1" hidden="1">'2. Исп местн бюдж в части доход'!$A$14:$A$36</definedName>
    <definedName name="krista_rmpa" localSheetId="2" hidden="1">'3. Исп мест бюджета в ч расх'!$A$16:$A$38</definedName>
    <definedName name="krista_rmpa" localSheetId="3" hidden="1">'4. Учет и отчетность'!$A$17:$A$39</definedName>
    <definedName name="krista_rmpa" localSheetId="4" hidden="1">'5. Контроль и аудит'!$A$17:$A$39</definedName>
    <definedName name="krista_rmpa" localSheetId="5" hidden="1">'6. Кадровый потенциал сотруд'!$A$15:$A$37</definedName>
    <definedName name="krista_rmpa" localSheetId="6" hidden="1">Итог!$A$17:$A$39</definedName>
    <definedName name="krista_rmpa" localSheetId="7" hidden="1">Рейтинг!$A$8:$A$30</definedName>
    <definedName name="krista_rowtitlesbreak" localSheetId="1" hidden="1">'2. Исп местн бюдж в части доход'!$12:$13</definedName>
    <definedName name="krista_rowtitlesbreak" localSheetId="2" hidden="1">'3. Исп мест бюджета в ч расх'!$14:$15</definedName>
    <definedName name="krista_rowtitlesbreak" localSheetId="3" hidden="1">'4. Учет и отчетность'!$15:$16</definedName>
    <definedName name="krista_rowtitlesbreak" localSheetId="4" hidden="1">'5. Контроль и аудит'!$15:$16</definedName>
    <definedName name="krista_rowtitlesbreak" localSheetId="5" hidden="1">'6. Кадровый потенциал сотруд'!$13:$14</definedName>
    <definedName name="krista_rta" localSheetId="0" hidden="1">'1. Среднесрочное финансовое пла'!$18:$40</definedName>
    <definedName name="krista_rta" localSheetId="1" hidden="1">'2. Исп местн бюдж в части доход'!$14:$36</definedName>
    <definedName name="krista_rta" localSheetId="2" hidden="1">'3. Исп мест бюджета в ч расх'!$16:$38</definedName>
    <definedName name="krista_rta" localSheetId="3" hidden="1">'4. Учет и отчетность'!$17:$39</definedName>
    <definedName name="krista_rta" localSheetId="4" hidden="1">'5. Контроль и аудит'!$17:$39</definedName>
    <definedName name="krista_rta" localSheetId="5" hidden="1">'6. Кадровый потенциал сотруд'!$15:$37</definedName>
    <definedName name="krista_rta" localSheetId="6" hidden="1">Итог!$17:$39</definedName>
    <definedName name="krista_rta" localSheetId="7" hidden="1">Рейтинг!$8:$30</definedName>
    <definedName name="krista_t" localSheetId="0" hidden="1">'1. Среднесрочное финансовое пла'!$C$18:$BB$40</definedName>
    <definedName name="krista_t" localSheetId="1" hidden="1">'2. Исп местн бюдж в части доход'!$C$14:$Z$36</definedName>
    <definedName name="krista_t" localSheetId="2" hidden="1">'3. Исп мест бюджета в ч расх'!$C$16:$AN$38</definedName>
    <definedName name="krista_t" localSheetId="3" hidden="1">'4. Учет и отчетность'!$C$17:$AU$39</definedName>
    <definedName name="krista_t" localSheetId="4" hidden="1">'5. Контроль и аудит'!$C$17:$AU$39</definedName>
    <definedName name="krista_t" localSheetId="5" hidden="1">'6. Кадровый потенциал сотруд'!$C$15:$AG$37</definedName>
    <definedName name="krista_t" localSheetId="6" hidden="1">Итог!$C$17:$AU$39</definedName>
    <definedName name="krista_t" localSheetId="7" hidden="1">Рейтинг!$C$8:$D$30</definedName>
    <definedName name="krista_table" localSheetId="0" hidden="1">'1. Среднесрочное финансовое пла'!$A$17:$BB$40</definedName>
    <definedName name="krista_table" localSheetId="1" hidden="1">'2. Исп местн бюдж в части доход'!$A$12:$Z$36</definedName>
    <definedName name="krista_table" localSheetId="2" hidden="1">'3. Исп мест бюджета в ч расх'!$A$14:$AN$38</definedName>
    <definedName name="krista_table" localSheetId="3" hidden="1">'4. Учет и отчетность'!$A$15:$AU$39</definedName>
    <definedName name="krista_table" localSheetId="4" hidden="1">'5. Контроль и аудит'!$A$15:$AU$39</definedName>
    <definedName name="krista_table" localSheetId="5" hidden="1">'6. Кадровый потенциал сотруд'!$A$13:$AG$37</definedName>
    <definedName name="krista_table" localSheetId="6" hidden="1">Итог!$A$16:$AU$39</definedName>
    <definedName name="krista_table" localSheetId="7" hidden="1">Рейтинг!$A$7:$D$30</definedName>
    <definedName name="krista_tablewitoutid" localSheetId="0" hidden="1">'1. Среднесрочное финансовое пла'!$A$17:$BB$40</definedName>
    <definedName name="krista_tablewitoutid" localSheetId="1" hidden="1">'2. Исп местн бюдж в части доход'!$A$12:$Z$36</definedName>
    <definedName name="krista_tablewitoutid" localSheetId="2" hidden="1">'3. Исп мест бюджета в ч расх'!$A$14:$AN$38</definedName>
    <definedName name="krista_tablewitoutid" localSheetId="3" hidden="1">'4. Учет и отчетность'!$A$15:$AU$39</definedName>
    <definedName name="krista_tablewitoutid" localSheetId="4" hidden="1">'5. Контроль и аудит'!$A$15:$AU$39</definedName>
    <definedName name="krista_tablewitoutid" localSheetId="5" hidden="1">'6. Кадровый потенциал сотруд'!$A$13:$AG$37</definedName>
    <definedName name="krista_tablewitoutid" localSheetId="6" hidden="1">Итог!$A$16:$AU$39</definedName>
    <definedName name="krista_tablewitoutid" localSheetId="7" hidden="1">Рейтинг!$A$7:$D$30</definedName>
    <definedName name="krista_tf_16747" localSheetId="6" hidden="1">Итог!$G$17:$G$39</definedName>
    <definedName name="krista_tf_16747_0_4" localSheetId="6" hidden="1">Итог!$G$17:$G$39</definedName>
    <definedName name="krista_tf_16748" localSheetId="6" hidden="1">Итог!$M$17:$M$39</definedName>
    <definedName name="krista_tf_16748_0_4" localSheetId="6" hidden="1">Итог!$M$17:$M$39</definedName>
    <definedName name="krista_tf_25801" localSheetId="6" hidden="1">Итог!$S$17:$S$39</definedName>
    <definedName name="krista_tf_25801_0_0" localSheetId="6" hidden="1">Итог!$S$17:$S$39</definedName>
    <definedName name="krista_tf_25803" localSheetId="6" hidden="1">Итог!$T$17:$T$39</definedName>
    <definedName name="krista_tf_25803_0_0" localSheetId="6" hidden="1">Итог!$T$17:$T$39</definedName>
    <definedName name="krista_tf_25804" localSheetId="6" hidden="1">Итог!$U$17:$U$39</definedName>
    <definedName name="krista_tf_25804_0_0" localSheetId="6" hidden="1">Итог!$U$17:$U$39</definedName>
    <definedName name="krista_tf_25806" localSheetId="6" hidden="1">Итог!$AQ$17:$AQ$39</definedName>
    <definedName name="krista_tf_25806_0_0" localSheetId="6" hidden="1">Итог!$AQ$17:$AQ$39</definedName>
    <definedName name="krista_tf_25808" localSheetId="6" hidden="1">Итог!$Y$17:$Y$39</definedName>
    <definedName name="krista_tf_25808_0_0" localSheetId="6" hidden="1">Итог!$Y$17:$Y$39</definedName>
    <definedName name="krista_tf_25810" localSheetId="6" hidden="1">Итог!$Z$17:$Z$39</definedName>
    <definedName name="krista_tf_25810_0_0" localSheetId="6" hidden="1">Итог!$Z$17:$Z$39</definedName>
    <definedName name="krista_tf_25811" localSheetId="6" hidden="1">Итог!$AA$17:$AA$39</definedName>
    <definedName name="krista_tf_25811_0_0" localSheetId="6" hidden="1">Итог!$AA$17:$AA$39</definedName>
    <definedName name="krista_tf_25813" localSheetId="6" hidden="1">Итог!$AR$17:$AR$39</definedName>
    <definedName name="krista_tf_25813_0_0" localSheetId="6" hidden="1">Итог!$AR$17:$AR$39</definedName>
    <definedName name="krista_tf_25814" localSheetId="6" hidden="1">Итог!$AS$17:$AS$39</definedName>
    <definedName name="krista_tf_25814_0_0" localSheetId="6" hidden="1">Итог!$AS$17:$AS$39</definedName>
    <definedName name="krista_tf_25815" localSheetId="6" hidden="1">Итог!$AT$17:$AT$39</definedName>
    <definedName name="krista_tf_25815_0_0" localSheetId="6" hidden="1">Итог!$AT$17:$AT$39</definedName>
    <definedName name="krista_tf_25817" localSheetId="6" hidden="1">Итог!$AE$17:$AE$39</definedName>
    <definedName name="krista_tf_25817_0_0" localSheetId="6" hidden="1">Итог!$AE$17:$AE$39</definedName>
    <definedName name="krista_tf_25819" localSheetId="6" hidden="1">Итог!$AF$17:$AF$39</definedName>
    <definedName name="krista_tf_25819_0_0" localSheetId="6" hidden="1">Итог!$AF$17:$AF$39</definedName>
    <definedName name="krista_tf_25820" localSheetId="6" hidden="1">Итог!$AG$17:$AG$39</definedName>
    <definedName name="krista_tf_25820_0_0" localSheetId="6" hidden="1">Итог!$AG$17:$AG$39</definedName>
    <definedName name="krista_tf_25823" localSheetId="6" hidden="1">Итог!$AK$17:$AK$39</definedName>
    <definedName name="krista_tf_25823_0_0" localSheetId="6" hidden="1">Итог!$AK$17:$AK$39</definedName>
    <definedName name="krista_tf_25825" localSheetId="6" hidden="1">Итог!$AL$17:$AL$39</definedName>
    <definedName name="krista_tf_25825_0_0" localSheetId="6" hidden="1">Итог!$AL$17:$AL$39</definedName>
    <definedName name="krista_tf_25826" localSheetId="6" hidden="1">Итог!$AM$17:$AM$39</definedName>
    <definedName name="krista_tf_25826_0_0" localSheetId="6" hidden="1">Итог!$AM$17:$AM$39</definedName>
    <definedName name="krista_tf_40535" localSheetId="0" hidden="1">'1. Среднесрочное финансовое пла'!$H$18:$H$40</definedName>
    <definedName name="krista_tf_40535" localSheetId="1" hidden="1">'2. Исп местн бюдж в части доход'!$H$14:$H$36</definedName>
    <definedName name="krista_tf_40535" localSheetId="2" hidden="1">'3. Исп мест бюджета в ч расх'!$H$16:$H$38</definedName>
    <definedName name="krista_tf_40535" localSheetId="3" hidden="1">'4. Учет и отчетность'!$H$17:$H$39</definedName>
    <definedName name="krista_tf_40535" localSheetId="4" hidden="1">'5. Контроль и аудит'!$H$17:$H$39</definedName>
    <definedName name="krista_tf_40535" localSheetId="5" hidden="1">'6. Кадровый потенциал сотруд'!$H$15:$H$37</definedName>
    <definedName name="krista_tf_40535_0_0" localSheetId="0" hidden="1">'1. Среднесрочное финансовое пла'!$H$18:$H$40</definedName>
    <definedName name="krista_tf_40535_0_0" localSheetId="1" hidden="1">'2. Исп местн бюдж в части доход'!$H$14:$H$36</definedName>
    <definedName name="krista_tf_40535_0_0" localSheetId="2" hidden="1">'3. Исп мест бюджета в ч расх'!$H$16:$H$38</definedName>
    <definedName name="krista_tf_40535_0_0" localSheetId="3" hidden="1">'4. Учет и отчетность'!$H$17:$H$39</definedName>
    <definedName name="krista_tf_40535_0_0" localSheetId="4" hidden="1">'5. Контроль и аудит'!$H$17:$H$39</definedName>
    <definedName name="krista_tf_40535_0_0" localSheetId="5" hidden="1">'6. Кадровый потенциал сотруд'!$H$15:$H$37</definedName>
    <definedName name="krista_tf_40536" localSheetId="0" hidden="1">'1. Среднесрочное финансовое пла'!$I$18:$I$40</definedName>
    <definedName name="krista_tf_40536" localSheetId="1" hidden="1">'2. Исп местн бюдж в части доход'!$I$14:$I$36</definedName>
    <definedName name="krista_tf_40536" localSheetId="2" hidden="1">'3. Исп мест бюджета в ч расх'!$I$16:$I$38</definedName>
    <definedName name="krista_tf_40536" localSheetId="3" hidden="1">'4. Учет и отчетность'!$I$17:$I$39</definedName>
    <definedName name="krista_tf_40536" localSheetId="4" hidden="1">'5. Контроль и аудит'!$I$17:$I$39</definedName>
    <definedName name="krista_tf_40536" localSheetId="5" hidden="1">'6. Кадровый потенциал сотруд'!$I$15:$I$37</definedName>
    <definedName name="krista_tf_40536_0_0" localSheetId="0" hidden="1">'1. Среднесрочное финансовое пла'!$I$18:$I$40</definedName>
    <definedName name="krista_tf_40536_0_0" localSheetId="1" hidden="1">'2. Исп местн бюдж в части доход'!$I$14:$I$36</definedName>
    <definedName name="krista_tf_40536_0_0" localSheetId="2" hidden="1">'3. Исп мест бюджета в ч расх'!$I$16:$I$38</definedName>
    <definedName name="krista_tf_40536_0_0" localSheetId="3" hidden="1">'4. Учет и отчетность'!$I$17:$I$39</definedName>
    <definedName name="krista_tf_40536_0_0" localSheetId="4" hidden="1">'5. Контроль и аудит'!$I$17:$I$39</definedName>
    <definedName name="krista_tf_40536_0_0" localSheetId="5" hidden="1">'6. Кадровый потенциал сотруд'!$I$15:$I$37</definedName>
    <definedName name="krista_tf_40541" localSheetId="0" hidden="1">'1. Среднесрочное финансовое пла'!$N$18:$N$40</definedName>
    <definedName name="krista_tf_40541" localSheetId="1" hidden="1">'2. Исп местн бюдж в части доход'!$N$14:$N$36</definedName>
    <definedName name="krista_tf_40541" localSheetId="2" hidden="1">'3. Исп мест бюджета в ч расх'!$N$16:$N$38</definedName>
    <definedName name="krista_tf_40541" localSheetId="3" hidden="1">'4. Учет и отчетность'!$N$17:$N$39</definedName>
    <definedName name="krista_tf_40541" localSheetId="4" hidden="1">'5. Контроль и аудит'!$N$17:$N$39</definedName>
    <definedName name="krista_tf_40541" localSheetId="5" hidden="1">'6. Кадровый потенциал сотруд'!$N$15:$N$37</definedName>
    <definedName name="krista_tf_40541_0_0" localSheetId="0" hidden="1">'1. Среднесрочное финансовое пла'!$N$18:$N$40</definedName>
    <definedName name="krista_tf_40541_0_0" localSheetId="1" hidden="1">'2. Исп местн бюдж в части доход'!$N$14:$N$36</definedName>
    <definedName name="krista_tf_40541_0_0" localSheetId="2" hidden="1">'3. Исп мест бюджета в ч расх'!$N$16:$N$38</definedName>
    <definedName name="krista_tf_40541_0_0" localSheetId="3" hidden="1">'4. Учет и отчетность'!$N$17:$N$39</definedName>
    <definedName name="krista_tf_40541_0_0" localSheetId="4" hidden="1">'5. Контроль и аудит'!$N$17:$N$39</definedName>
    <definedName name="krista_tf_40541_0_0" localSheetId="5" hidden="1">'6. Кадровый потенциал сотруд'!$N$15:$N$37</definedName>
    <definedName name="krista_tf_40542" localSheetId="0" hidden="1">'1. Среднесрочное финансовое пла'!$O$18:$O$40</definedName>
    <definedName name="krista_tf_40542" localSheetId="1" hidden="1">'2. Исп местн бюдж в части доход'!$O$14:$O$36</definedName>
    <definedName name="krista_tf_40542" localSheetId="2" hidden="1">'3. Исп мест бюджета в ч расх'!$O$16:$O$38</definedName>
    <definedName name="krista_tf_40542" localSheetId="3" hidden="1">'4. Учет и отчетность'!$O$17:$O$39</definedName>
    <definedName name="krista_tf_40542" localSheetId="4" hidden="1">'5. Контроль и аудит'!$O$17:$O$39</definedName>
    <definedName name="krista_tf_40542" localSheetId="5" hidden="1">'6. Кадровый потенциал сотруд'!$O$15:$O$37</definedName>
    <definedName name="krista_tf_40542_0_0" localSheetId="0" hidden="1">'1. Среднесрочное финансовое пла'!$O$18:$O$40</definedName>
    <definedName name="krista_tf_40542_0_0" localSheetId="1" hidden="1">'2. Исп местн бюдж в части доход'!$O$14:$O$36</definedName>
    <definedName name="krista_tf_40542_0_0" localSheetId="2" hidden="1">'3. Исп мест бюджета в ч расх'!$O$16:$O$38</definedName>
    <definedName name="krista_tf_40542_0_0" localSheetId="3" hidden="1">'4. Учет и отчетность'!$O$17:$O$39</definedName>
    <definedName name="krista_tf_40542_0_0" localSheetId="4" hidden="1">'5. Контроль и аудит'!$O$17:$O$39</definedName>
    <definedName name="krista_tf_40542_0_0" localSheetId="5" hidden="1">'6. Кадровый потенциал сотруд'!$O$15:$O$37</definedName>
    <definedName name="krista_tf_40547" localSheetId="0" hidden="1">'1. Среднесрочное финансовое пла'!$T$18:$T$40</definedName>
    <definedName name="krista_tf_40547" localSheetId="1" hidden="1">'2. Исп местн бюдж в части доход'!$T$14:$T$36</definedName>
    <definedName name="krista_tf_40547" localSheetId="2" hidden="1">'3. Исп мест бюджета в ч расх'!$T$16:$T$38</definedName>
    <definedName name="krista_tf_40547" localSheetId="3" hidden="1">'4. Учет и отчетность'!$T$17:$T$39</definedName>
    <definedName name="krista_tf_40547" localSheetId="4" hidden="1">'5. Контроль и аудит'!$T$17:$T$39</definedName>
    <definedName name="krista_tf_40547" localSheetId="5" hidden="1">'6. Кадровый потенциал сотруд'!$T$15:$T$37</definedName>
    <definedName name="krista_tf_40547_0_0" localSheetId="0" hidden="1">'1. Среднесрочное финансовое пла'!$T$18:$T$40</definedName>
    <definedName name="krista_tf_40547_0_0" localSheetId="1" hidden="1">'2. Исп местн бюдж в части доход'!$T$14:$T$36</definedName>
    <definedName name="krista_tf_40547_0_0" localSheetId="2" hidden="1">'3. Исп мест бюджета в ч расх'!$T$16:$T$38</definedName>
    <definedName name="krista_tf_40547_0_0" localSheetId="3" hidden="1">'4. Учет и отчетность'!$T$17:$T$39</definedName>
    <definedName name="krista_tf_40547_0_0" localSheetId="4" hidden="1">'5. Контроль и аудит'!$T$17:$T$39</definedName>
    <definedName name="krista_tf_40547_0_0" localSheetId="5" hidden="1">'6. Кадровый потенциал сотруд'!$T$15:$T$37</definedName>
    <definedName name="krista_tf_40548" localSheetId="0" hidden="1">'1. Среднесрочное финансовое пла'!$U$18:$U$40</definedName>
    <definedName name="krista_tf_40548" localSheetId="1" hidden="1">'2. Исп местн бюдж в части доход'!$U$14:$U$36</definedName>
    <definedName name="krista_tf_40548" localSheetId="2" hidden="1">'3. Исп мест бюджета в ч расх'!$U$16:$U$38</definedName>
    <definedName name="krista_tf_40548" localSheetId="3" hidden="1">'4. Учет и отчетность'!$U$17:$U$39</definedName>
    <definedName name="krista_tf_40548" localSheetId="4" hidden="1">'5. Контроль и аудит'!$U$17:$U$39</definedName>
    <definedName name="krista_tf_40548" localSheetId="5" hidden="1">'6. Кадровый потенциал сотруд'!$U$15:$U$37</definedName>
    <definedName name="krista_tf_40548_0_0" localSheetId="0" hidden="1">'1. Среднесрочное финансовое пла'!$U$18:$U$40</definedName>
    <definedName name="krista_tf_40548_0_0" localSheetId="1" hidden="1">'2. Исп местн бюдж в части доход'!$U$14:$U$36</definedName>
    <definedName name="krista_tf_40548_0_0" localSheetId="2" hidden="1">'3. Исп мест бюджета в ч расх'!$U$16:$U$38</definedName>
    <definedName name="krista_tf_40548_0_0" localSheetId="3" hidden="1">'4. Учет и отчетность'!$U$17:$U$39</definedName>
    <definedName name="krista_tf_40548_0_0" localSheetId="4" hidden="1">'5. Контроль и аудит'!$U$17:$U$39</definedName>
    <definedName name="krista_tf_40548_0_0" localSheetId="5" hidden="1">'6. Кадровый потенциал сотруд'!$U$15:$U$37</definedName>
    <definedName name="krista_tf_40553" localSheetId="0" hidden="1">'1. Среднесрочное финансовое пла'!$Z$18:$Z$40</definedName>
    <definedName name="krista_tf_40553" localSheetId="2" hidden="1">'3. Исп мест бюджета в ч расх'!$Z$16:$Z$38</definedName>
    <definedName name="krista_tf_40553" localSheetId="3" hidden="1">'4. Учет и отчетность'!$Z$17:$Z$39</definedName>
    <definedName name="krista_tf_40553" localSheetId="4" hidden="1">'5. Контроль и аудит'!$Z$17:$Z$39</definedName>
    <definedName name="krista_tf_40553" localSheetId="5" hidden="1">'6. Кадровый потенциал сотруд'!$Z$15:$Z$37</definedName>
    <definedName name="krista_tf_40553_0_0" localSheetId="0" hidden="1">'1. Среднесрочное финансовое пла'!$Z$18:$Z$40</definedName>
    <definedName name="krista_tf_40553_0_0" localSheetId="2" hidden="1">'3. Исп мест бюджета в ч расх'!$Z$16:$Z$38</definedName>
    <definedName name="krista_tf_40553_0_0" localSheetId="3" hidden="1">'4. Учет и отчетность'!$Z$17:$Z$39</definedName>
    <definedName name="krista_tf_40553_0_0" localSheetId="4" hidden="1">'5. Контроль и аудит'!$Z$17:$Z$39</definedName>
    <definedName name="krista_tf_40553_0_0" localSheetId="5" hidden="1">'6. Кадровый потенциал сотруд'!$Z$15:$Z$37</definedName>
    <definedName name="krista_tf_40554" localSheetId="0" hidden="1">'1. Среднесрочное финансовое пла'!$AA$18:$AA$40</definedName>
    <definedName name="krista_tf_40554" localSheetId="2" hidden="1">'3. Исп мест бюджета в ч расх'!$AA$16:$AA$38</definedName>
    <definedName name="krista_tf_40554" localSheetId="3" hidden="1">'4. Учет и отчетность'!$AA$17:$AA$39</definedName>
    <definedName name="krista_tf_40554" localSheetId="4" hidden="1">'5. Контроль и аудит'!$AA$17:$AA$39</definedName>
    <definedName name="krista_tf_40554" localSheetId="5" hidden="1">'6. Кадровый потенциал сотруд'!$AA$15:$AA$37</definedName>
    <definedName name="krista_tf_40554_0_0" localSheetId="0" hidden="1">'1. Среднесрочное финансовое пла'!$AA$18:$AA$40</definedName>
    <definedName name="krista_tf_40554_0_0" localSheetId="2" hidden="1">'3. Исп мест бюджета в ч расх'!$AA$16:$AA$38</definedName>
    <definedName name="krista_tf_40554_0_0" localSheetId="3" hidden="1">'4. Учет и отчетность'!$AA$17:$AA$39</definedName>
    <definedName name="krista_tf_40554_0_0" localSheetId="4" hidden="1">'5. Контроль и аудит'!$AA$17:$AA$39</definedName>
    <definedName name="krista_tf_40554_0_0" localSheetId="5" hidden="1">'6. Кадровый потенциал сотруд'!$AA$15:$AA$37</definedName>
    <definedName name="krista_tf_40559" localSheetId="0" hidden="1">'1. Среднесрочное финансовое пла'!$AF$18:$AF$40</definedName>
    <definedName name="krista_tf_40559" localSheetId="2" hidden="1">'3. Исп мест бюджета в ч расх'!$AF$16:$AF$38</definedName>
    <definedName name="krista_tf_40559" localSheetId="3" hidden="1">'4. Учет и отчетность'!$AF$17:$AF$39</definedName>
    <definedName name="krista_tf_40559" localSheetId="4" hidden="1">'5. Контроль и аудит'!$AF$17:$AF$39</definedName>
    <definedName name="krista_tf_40559_0_0" localSheetId="0" hidden="1">'1. Среднесрочное финансовое пла'!$AF$18:$AF$40</definedName>
    <definedName name="krista_tf_40559_0_0" localSheetId="2" hidden="1">'3. Исп мест бюджета в ч расх'!$AF$16:$AF$38</definedName>
    <definedName name="krista_tf_40559_0_0" localSheetId="3" hidden="1">'4. Учет и отчетность'!$AF$17:$AF$39</definedName>
    <definedName name="krista_tf_40559_0_0" localSheetId="4" hidden="1">'5. Контроль и аудит'!$AF$17:$AF$39</definedName>
    <definedName name="krista_tf_40560" localSheetId="0" hidden="1">'1. Среднесрочное финансовое пла'!$AG$18:$AG$40</definedName>
    <definedName name="krista_tf_40560" localSheetId="2" hidden="1">'3. Исп мест бюджета в ч расх'!$AG$16:$AG$38</definedName>
    <definedName name="krista_tf_40560" localSheetId="3" hidden="1">'4. Учет и отчетность'!$AG$17:$AG$39</definedName>
    <definedName name="krista_tf_40560" localSheetId="4" hidden="1">'5. Контроль и аудит'!$AG$17:$AG$39</definedName>
    <definedName name="krista_tf_40560_0_0" localSheetId="0" hidden="1">'1. Среднесрочное финансовое пла'!$AG$18:$AG$40</definedName>
    <definedName name="krista_tf_40560_0_0" localSheetId="2" hidden="1">'3. Исп мест бюджета в ч расх'!$AG$16:$AG$38</definedName>
    <definedName name="krista_tf_40560_0_0" localSheetId="3" hidden="1">'4. Учет и отчетность'!$AG$17:$AG$39</definedName>
    <definedName name="krista_tf_40560_0_0" localSheetId="4" hidden="1">'5. Контроль и аудит'!$AG$17:$AG$39</definedName>
    <definedName name="krista_tf_40565" localSheetId="0" hidden="1">'1. Среднесрочное финансовое пла'!$AL$18:$AL$40</definedName>
    <definedName name="krista_tf_40565" localSheetId="4" hidden="1">'5. Контроль и аудит'!$AL$17:$AL$39</definedName>
    <definedName name="krista_tf_40565_0_0" localSheetId="0" hidden="1">'1. Среднесрочное финансовое пла'!$AL$18:$AL$40</definedName>
    <definedName name="krista_tf_40565_0_0" localSheetId="4" hidden="1">'5. Контроль и аудит'!$AL$17:$AL$39</definedName>
    <definedName name="krista_tf_40566" localSheetId="0" hidden="1">'1. Среднесрочное финансовое пла'!$AM$18:$AM$40</definedName>
    <definedName name="krista_tf_40566" localSheetId="4" hidden="1">'5. Контроль и аудит'!$AM$17:$AM$39</definedName>
    <definedName name="krista_tf_40566_0_0" localSheetId="0" hidden="1">'1. Среднесрочное финансовое пла'!$AM$18:$AM$40</definedName>
    <definedName name="krista_tf_40566_0_0" localSheetId="4" hidden="1">'5. Контроль и аудит'!$AM$17:$AM$39</definedName>
    <definedName name="krista_tf_40571" localSheetId="0" hidden="1">'1. Среднесрочное финансовое пла'!$AR$18:$AR$40</definedName>
    <definedName name="krista_tf_40571_0_0" localSheetId="0" hidden="1">'1. Среднесрочное финансовое пла'!$AR$18:$AR$40</definedName>
    <definedName name="krista_tf_40572" localSheetId="0" hidden="1">'1. Среднесрочное финансовое пла'!$AS$18:$AS$40</definedName>
    <definedName name="krista_tf_40572_0_0" localSheetId="0" hidden="1">'1. Среднесрочное финансовое пла'!$AS$18:$AS$40</definedName>
    <definedName name="krista_tf_40580" localSheetId="0" hidden="1">'1. Среднесрочное финансовое пла'!$AU$18:$AU$40</definedName>
    <definedName name="krista_tf_40580" localSheetId="1" hidden="1">'2. Исп местн бюдж в части доход'!$W$14:$W$36</definedName>
    <definedName name="krista_tf_40580" localSheetId="2" hidden="1">'3. Исп мест бюджета в ч расх'!$AI$16:$AI$38</definedName>
    <definedName name="krista_tf_40580" localSheetId="3" hidden="1">'4. Учет и отчетность'!$AO$17:$AO$39</definedName>
    <definedName name="krista_tf_40580" localSheetId="4" hidden="1">'5. Контроль и аудит'!$AO$17:$AO$39</definedName>
    <definedName name="krista_tf_40580" localSheetId="5" hidden="1">'6. Кадровый потенциал сотруд'!$AC$15:$AC$37</definedName>
    <definedName name="krista_tf_40580_0_0" localSheetId="0" hidden="1">'1. Среднесрочное финансовое пла'!$AU$18:$AU$40</definedName>
    <definedName name="krista_tf_40580_0_0" localSheetId="1" hidden="1">'2. Исп местн бюдж в части доход'!$W$14:$W$36</definedName>
    <definedName name="krista_tf_40580_0_0" localSheetId="2" hidden="1">'3. Исп мест бюджета в ч расх'!$AI$16:$AI$38</definedName>
    <definedName name="krista_tf_40580_0_0" localSheetId="3" hidden="1">'4. Учет и отчетность'!$AO$17:$AO$39</definedName>
    <definedName name="krista_tf_40580_0_0" localSheetId="4" hidden="1">'5. Контроль и аудит'!$AO$17:$AO$39</definedName>
    <definedName name="krista_tf_40580_0_0" localSheetId="5" hidden="1">'6. Кадровый потенциал сотруд'!$AC$15:$AC$37</definedName>
    <definedName name="krista_tf_40581" localSheetId="0" hidden="1">'1. Среднесрочное финансовое пла'!$AV$18:$AV$40</definedName>
    <definedName name="krista_tf_40581" localSheetId="1" hidden="1">'2. Исп местн бюдж в части доход'!$X$14:$X$36</definedName>
    <definedName name="krista_tf_40581" localSheetId="2" hidden="1">'3. Исп мест бюджета в ч расх'!$AJ$16:$AJ$38</definedName>
    <definedName name="krista_tf_40581" localSheetId="3" hidden="1">'4. Учет и отчетность'!$AP$17:$AP$39</definedName>
    <definedName name="krista_tf_40581" localSheetId="4" hidden="1">'5. Контроль и аудит'!$AP$17:$AP$39</definedName>
    <definedName name="krista_tf_40581" localSheetId="5" hidden="1">'6. Кадровый потенциал сотруд'!$AD$15:$AD$37</definedName>
    <definedName name="krista_tf_40581_0_0" localSheetId="0" hidden="1">'1. Среднесрочное финансовое пла'!$AV$18:$AV$40</definedName>
    <definedName name="krista_tf_40581_0_0" localSheetId="1" hidden="1">'2. Исп местн бюдж в части доход'!$X$14:$X$36</definedName>
    <definedName name="krista_tf_40581_0_0" localSheetId="2" hidden="1">'3. Исп мест бюджета в ч расх'!$AJ$16:$AJ$38</definedName>
    <definedName name="krista_tf_40581_0_0" localSheetId="3" hidden="1">'4. Учет и отчетность'!$AP$17:$AP$39</definedName>
    <definedName name="krista_tf_40581_0_0" localSheetId="4" hidden="1">'5. Контроль и аудит'!$AP$17:$AP$39</definedName>
    <definedName name="krista_tf_40581_0_0" localSheetId="5" hidden="1">'6. Кадровый потенциал сотруд'!$AD$15:$AD$37</definedName>
    <definedName name="krista_tf_40582" localSheetId="0" hidden="1">'1. Среднесрочное финансовое пла'!$AW$18:$AW$40</definedName>
    <definedName name="krista_tf_40582" localSheetId="1" hidden="1">'2. Исп местн бюдж в части доход'!$Y$14:$Y$36</definedName>
    <definedName name="krista_tf_40582" localSheetId="2" hidden="1">'3. Исп мест бюджета в ч расх'!$AK$16:$AK$38</definedName>
    <definedName name="krista_tf_40582" localSheetId="3" hidden="1">'4. Учет и отчетность'!$AQ$17:$AQ$39</definedName>
    <definedName name="krista_tf_40582" localSheetId="4" hidden="1">'5. Контроль и аудит'!$AQ$17:$AQ$39</definedName>
    <definedName name="krista_tf_40582" localSheetId="5" hidden="1">'6. Кадровый потенциал сотруд'!$AE$15:$AE$37</definedName>
    <definedName name="krista_tf_40582_0_0" localSheetId="0" hidden="1">'1. Среднесрочное финансовое пла'!$AW$18:$AW$40</definedName>
    <definedName name="krista_tf_40582_0_0" localSheetId="1" hidden="1">'2. Исп местн бюдж в части доход'!$Y$14:$Y$36</definedName>
    <definedName name="krista_tf_40582_0_0" localSheetId="2" hidden="1">'3. Исп мест бюджета в ч расх'!$AK$16:$AK$38</definedName>
    <definedName name="krista_tf_40582_0_0" localSheetId="3" hidden="1">'4. Учет и отчетность'!$AQ$17:$AQ$39</definedName>
    <definedName name="krista_tf_40582_0_0" localSheetId="4" hidden="1">'5. Контроль и аудит'!$AQ$17:$AQ$39</definedName>
    <definedName name="krista_tf_40582_0_0" localSheetId="5" hidden="1">'6. Кадровый потенциал сотруд'!$AE$15:$AE$37</definedName>
    <definedName name="krista_tf_40583" localSheetId="0" hidden="1">'1. Среднесрочное финансовое пла'!$AX$18:$AX$40</definedName>
    <definedName name="krista_tf_40583" localSheetId="2" hidden="1">'3. Исп мест бюджета в ч расх'!$AL$16:$AL$38</definedName>
    <definedName name="krista_tf_40583" localSheetId="3" hidden="1">'4. Учет и отчетность'!$AR$17:$AR$39</definedName>
    <definedName name="krista_tf_40583" localSheetId="4" hidden="1">'5. Контроль и аудит'!$AR$17:$AR$39</definedName>
    <definedName name="krista_tf_40583" localSheetId="5" hidden="1">'6. Кадровый потенциал сотруд'!$AF$15:$AF$37</definedName>
    <definedName name="krista_tf_40583_0_0" localSheetId="0" hidden="1">'1. Среднесрочное финансовое пла'!$AX$18:$AX$40</definedName>
    <definedName name="krista_tf_40583_0_0" localSheetId="2" hidden="1">'3. Исп мест бюджета в ч расх'!$AL$16:$AL$38</definedName>
    <definedName name="krista_tf_40583_0_0" localSheetId="3" hidden="1">'4. Учет и отчетность'!$AR$17:$AR$39</definedName>
    <definedName name="krista_tf_40583_0_0" localSheetId="4" hidden="1">'5. Контроль и аудит'!$AR$17:$AR$39</definedName>
    <definedName name="krista_tf_40583_0_0" localSheetId="5" hidden="1">'6. Кадровый потенциал сотруд'!$AF$15:$AF$37</definedName>
    <definedName name="krista_tf_40584" localSheetId="0" hidden="1">'1. Среднесрочное финансовое пла'!$AY$18:$AY$40</definedName>
    <definedName name="krista_tf_40584" localSheetId="2" hidden="1">'3. Исп мест бюджета в ч расх'!$AM$16:$AM$38</definedName>
    <definedName name="krista_tf_40584" localSheetId="3" hidden="1">'4. Учет и отчетность'!$AS$17:$AS$39</definedName>
    <definedName name="krista_tf_40584" localSheetId="4" hidden="1">'5. Контроль и аудит'!$AS$17:$AS$39</definedName>
    <definedName name="krista_tf_40584_0_0" localSheetId="0" hidden="1">'1. Среднесрочное финансовое пла'!$AY$18:$AY$40</definedName>
    <definedName name="krista_tf_40584_0_0" localSheetId="2" hidden="1">'3. Исп мест бюджета в ч расх'!$AM$16:$AM$38</definedName>
    <definedName name="krista_tf_40584_0_0" localSheetId="3" hidden="1">'4. Учет и отчетность'!$AS$17:$AS$39</definedName>
    <definedName name="krista_tf_40584_0_0" localSheetId="4" hidden="1">'5. Контроль и аудит'!$AS$17:$AS$39</definedName>
    <definedName name="krista_tf_40585" localSheetId="0" hidden="1">'1. Среднесрочное финансовое пла'!$AZ$18:$AZ$40</definedName>
    <definedName name="krista_tf_40585" localSheetId="4" hidden="1">'5. Контроль и аудит'!$AT$17:$AT$39</definedName>
    <definedName name="krista_tf_40585_0_0" localSheetId="0" hidden="1">'1. Среднесрочное финансовое пла'!$AZ$18:$AZ$40</definedName>
    <definedName name="krista_tf_40585_0_0" localSheetId="4" hidden="1">'5. Контроль и аудит'!$AT$17:$AT$39</definedName>
    <definedName name="krista_tf_40586" localSheetId="0" hidden="1">'1. Среднесрочное финансовое пла'!$BA$18:$BA$40</definedName>
    <definedName name="krista_tf_40586_0_0" localSheetId="0" hidden="1">'1. Среднесрочное финансовое пла'!$BA$18:$BA$40</definedName>
    <definedName name="krista_tf_40588" localSheetId="0" hidden="1">'1. Среднесрочное финансовое пла'!$BB$18:$BB$40</definedName>
    <definedName name="krista_tf_40588" localSheetId="1" hidden="1">'2. Исп местн бюдж в части доход'!$Z$14:$Z$36</definedName>
    <definedName name="krista_tf_40588" localSheetId="2" hidden="1">'3. Исп мест бюджета в ч расх'!$AN$16:$AN$38</definedName>
    <definedName name="krista_tf_40588" localSheetId="3" hidden="1">'4. Учет и отчетность'!$AU$17:$AU$39</definedName>
    <definedName name="krista_tf_40588" localSheetId="4" hidden="1">'5. Контроль и аудит'!$AU$17:$AU$39</definedName>
    <definedName name="krista_tf_40588" localSheetId="5" hidden="1">'6. Кадровый потенциал сотруд'!$AG$15:$AG$37</definedName>
    <definedName name="krista_tf_40588_0_0" localSheetId="0" hidden="1">'1. Среднесрочное финансовое пла'!$BB$18:$BB$40</definedName>
    <definedName name="krista_tf_40588_0_0" localSheetId="1" hidden="1">'2. Исп местн бюдж в части доход'!$Z$14:$Z$36</definedName>
    <definedName name="krista_tf_40588_0_0" localSheetId="2" hidden="1">'3. Исп мест бюджета в ч расх'!$AN$16:$AN$38</definedName>
    <definedName name="krista_tf_40588_0_0" localSheetId="3" hidden="1">'4. Учет и отчетность'!$AU$17:$AU$39</definedName>
    <definedName name="krista_tf_40588_0_0" localSheetId="4" hidden="1">'5. Контроль и аудит'!$AU$17:$AU$39</definedName>
    <definedName name="krista_tf_40588_0_0" localSheetId="5" hidden="1">'6. Кадровый потенциал сотруд'!$AG$15:$AG$37</definedName>
    <definedName name="krista_tf_51275" localSheetId="3" hidden="1">'4. Учет и отчетность'!$AL$17:$AL$39</definedName>
    <definedName name="krista_tf_51275_0_0" localSheetId="3" hidden="1">'4. Учет и отчетность'!$AL$17:$AL$39</definedName>
    <definedName name="krista_tf_51276" localSheetId="3" hidden="1">'4. Учет и отчетность'!$AM$17:$AM$39</definedName>
    <definedName name="krista_tf_51276_0_0" localSheetId="3" hidden="1">'4. Учет и отчетность'!$AM$17:$AM$39</definedName>
    <definedName name="krista_tf_51278" localSheetId="3" hidden="1">'4. Учет и отчетность'!$AT$17:$AT$39</definedName>
    <definedName name="krista_tf_51278_0_0" localSheetId="3" hidden="1">'4. Учет и отчетность'!$AT$17:$AT$39</definedName>
    <definedName name="krista_tf_529" localSheetId="6" hidden="1">Итог!$H$17:$H$39</definedName>
    <definedName name="krista_tf_529_0_4" localSheetId="6" hidden="1">Итог!$H$17:$H$39</definedName>
    <definedName name="krista_tf_530" localSheetId="6" hidden="1">Итог!$I$17:$I$39</definedName>
    <definedName name="krista_tf_530_0_4" localSheetId="6" hidden="1">Итог!$I$17:$I$39</definedName>
    <definedName name="krista_tf_534" localSheetId="6" hidden="1">Итог!$N$17:$N$39</definedName>
    <definedName name="krista_tf_534_0_4" localSheetId="6" hidden="1">Итог!$N$17:$N$39</definedName>
    <definedName name="krista_tf_535" localSheetId="6" hidden="1">Итог!$O$17:$O$39</definedName>
    <definedName name="krista_tf_535_0_4" localSheetId="6" hidden="1">Итог!$O$17:$O$39</definedName>
    <definedName name="krista_tf_54198" localSheetId="0" hidden="1">'1. Среднесрочное финансовое пла'!$G$18:$G$40</definedName>
    <definedName name="krista_tf_54198_0_0" localSheetId="0" hidden="1">'1. Среднесрочное финансовое пла'!$G$18:$G$40</definedName>
    <definedName name="krista_tf_552" localSheetId="6" hidden="1">Итог!$AO$17:$AO$39</definedName>
    <definedName name="krista_tf_552_0_4" localSheetId="6" hidden="1">Итог!$AO$17:$AO$39</definedName>
    <definedName name="krista_tf_553" localSheetId="6" hidden="1">Итог!$AP$17:$AP$39</definedName>
    <definedName name="krista_tf_553_0_4" localSheetId="6" hidden="1">Итог!$AP$17:$AP$39</definedName>
    <definedName name="krista_tf_557" localSheetId="6" hidden="1">Итог!$AU$17:$AU$39</definedName>
    <definedName name="krista_tf_557_0_4" localSheetId="6" hidden="1">Итог!$AU$17:$AU$39</definedName>
    <definedName name="krista_tf_8792" localSheetId="7" hidden="1">Рейтинг!$D$8:$D$30</definedName>
    <definedName name="krista_tf_8792_0_0" localSheetId="7" hidden="1">Рейтинг!$D$8:$D$30</definedName>
    <definedName name="krista_tm_11230" localSheetId="7" hidden="1">Рейтинг!$C$8:$C$30</definedName>
    <definedName name="krista_tm_11230_0_4" localSheetId="7" hidden="1">Рейтинг!$C$8:$C$30</definedName>
    <definedName name="krista_tm_25800" localSheetId="6" hidden="1">Итог!$Q$17:$Q$39</definedName>
    <definedName name="krista_tm_25800_0_0" localSheetId="6" hidden="1">Итог!$Q$17:$Q$39</definedName>
    <definedName name="krista_tm_25807" localSheetId="6" hidden="1">Итог!$W$17:$W$39</definedName>
    <definedName name="krista_tm_25807_0_0" localSheetId="6" hidden="1">Итог!$W$17:$W$39</definedName>
    <definedName name="krista_tm_25816" localSheetId="6" hidden="1">Итог!$AC$17:$AC$39</definedName>
    <definedName name="krista_tm_25816_0_0" localSheetId="6" hidden="1">Итог!$AC$17:$AC$39</definedName>
    <definedName name="krista_tm_25822" localSheetId="6" hidden="1">Итог!$AI$17:$AI$39</definedName>
    <definedName name="krista_tm_25822_0_0" localSheetId="6" hidden="1">Итог!$AI$17:$AI$39</definedName>
    <definedName name="krista_tm_29989" localSheetId="6" hidden="1">Итог!$F$17:$F$39</definedName>
    <definedName name="krista_tm_29989_0_4" localSheetId="6" hidden="1">Итог!$F$17:$F$39</definedName>
    <definedName name="krista_tm_30329" localSheetId="6" hidden="1">Итог!$L$17:$L$39</definedName>
    <definedName name="krista_tm_30329_0_4" localSheetId="6" hidden="1">Итог!$L$17:$L$39</definedName>
    <definedName name="krista_tm_30330" localSheetId="6" hidden="1">Итог!$R$17:$R$39</definedName>
    <definedName name="krista_tm_30330_0_0" localSheetId="6" hidden="1">Итог!$R$17:$R$39</definedName>
    <definedName name="krista_tm_30331" localSheetId="6" hidden="1">Итог!$X$17:$X$39</definedName>
    <definedName name="krista_tm_30331_0_0" localSheetId="6" hidden="1">Итог!$X$17:$X$39</definedName>
    <definedName name="krista_tm_30332" localSheetId="6" hidden="1">Итог!$AD$17:$AD$39</definedName>
    <definedName name="krista_tm_30332_0_0" localSheetId="6" hidden="1">Итог!$AD$17:$AD$39</definedName>
    <definedName name="krista_tm_30333" localSheetId="6" hidden="1">Итог!$AJ$17:$AJ$39</definedName>
    <definedName name="krista_tm_30333_0_0" localSheetId="6" hidden="1">Итог!$AJ$17:$AJ$39</definedName>
    <definedName name="krista_tm_40532" localSheetId="0" hidden="1">'1. Среднесрочное финансовое пла'!$E$18:$E$40</definedName>
    <definedName name="krista_tm_40532" localSheetId="1" hidden="1">'2. Исп местн бюдж в части доход'!$E$14:$E$36</definedName>
    <definedName name="krista_tm_40532" localSheetId="2" hidden="1">'3. Исп мест бюджета в ч расх'!$E$16:$E$38</definedName>
    <definedName name="krista_tm_40532" localSheetId="3" hidden="1">'4. Учет и отчетность'!$E$17:$E$39</definedName>
    <definedName name="krista_tm_40532" localSheetId="4" hidden="1">'5. Контроль и аудит'!$E$17:$E$39</definedName>
    <definedName name="krista_tm_40532" localSheetId="5" hidden="1">'6. Кадровый потенциал сотруд'!$E$15:$E$37</definedName>
    <definedName name="krista_tm_40532_0_0" localSheetId="0" hidden="1">'1. Среднесрочное финансовое пла'!$E$18:$E$40</definedName>
    <definedName name="krista_tm_40532_0_0" localSheetId="1" hidden="1">'2. Исп местн бюдж в части доход'!$E$14:$E$36</definedName>
    <definedName name="krista_tm_40532_0_0" localSheetId="2" hidden="1">'3. Исп мест бюджета в ч расх'!$E$16:$E$38</definedName>
    <definedName name="krista_tm_40532_0_0" localSheetId="3" hidden="1">'4. Учет и отчетность'!$E$17:$E$39</definedName>
    <definedName name="krista_tm_40532_0_0" localSheetId="4" hidden="1">'5. Контроль и аудит'!$E$17:$E$39</definedName>
    <definedName name="krista_tm_40532_0_0" localSheetId="5" hidden="1">'6. Кадровый потенциал сотруд'!$E$15:$E$37</definedName>
    <definedName name="krista_tm_40533" localSheetId="1" hidden="1">'2. Исп местн бюдж в части доход'!$F$14:$F$36</definedName>
    <definedName name="krista_tm_40533" localSheetId="2" hidden="1">'3. Исп мест бюджета в ч расх'!$F$16:$F$38</definedName>
    <definedName name="krista_tm_40533" localSheetId="3" hidden="1">'4. Учет и отчетность'!$F$17:$F$39</definedName>
    <definedName name="krista_tm_40533" localSheetId="4" hidden="1">'5. Контроль и аудит'!$F$17:$F$39</definedName>
    <definedName name="krista_tm_40533" localSheetId="5" hidden="1">'6. Кадровый потенциал сотруд'!$F$15:$F$37</definedName>
    <definedName name="krista_tm_40533_0_0" localSheetId="1" hidden="1">'2. Исп местн бюдж в части доход'!$F$14:$F$36</definedName>
    <definedName name="krista_tm_40533_0_0" localSheetId="2" hidden="1">'3. Исп мест бюджета в ч расх'!$F$16:$F$38</definedName>
    <definedName name="krista_tm_40533_0_0" localSheetId="3" hidden="1">'4. Учет и отчетность'!$F$17:$F$39</definedName>
    <definedName name="krista_tm_40533_0_0" localSheetId="4" hidden="1">'5. Контроль и аудит'!$F$17:$F$39</definedName>
    <definedName name="krista_tm_40533_0_0" localSheetId="5" hidden="1">'6. Кадровый потенциал сотруд'!$F$15:$F$37</definedName>
    <definedName name="krista_tm_40534" localSheetId="1" hidden="1">'2. Исп местн бюдж в части доход'!$G$14:$G$36</definedName>
    <definedName name="krista_tm_40534" localSheetId="2" hidden="1">'3. Исп мест бюджета в ч расх'!$G$16:$G$38</definedName>
    <definedName name="krista_tm_40534" localSheetId="3" hidden="1">'4. Учет и отчетность'!$G$17:$G$39</definedName>
    <definedName name="krista_tm_40534" localSheetId="4" hidden="1">'5. Контроль и аудит'!$G$17:$G$39</definedName>
    <definedName name="krista_tm_40534" localSheetId="5" hidden="1">'6. Кадровый потенциал сотруд'!$G$15:$G$37</definedName>
    <definedName name="krista_tm_40534_0_0" localSheetId="1" hidden="1">'2. Исп местн бюдж в части доход'!$G$14:$G$36</definedName>
    <definedName name="krista_tm_40534_0_0" localSheetId="2" hidden="1">'3. Исп мест бюджета в ч расх'!$G$16:$G$38</definedName>
    <definedName name="krista_tm_40534_0_0" localSheetId="3" hidden="1">'4. Учет и отчетность'!$G$17:$G$39</definedName>
    <definedName name="krista_tm_40534_0_0" localSheetId="4" hidden="1">'5. Контроль и аудит'!$G$17:$G$39</definedName>
    <definedName name="krista_tm_40534_0_0" localSheetId="5" hidden="1">'6. Кадровый потенциал сотруд'!$G$15:$G$37</definedName>
    <definedName name="krista_tm_40538" localSheetId="0" hidden="1">'1. Среднесрочное финансовое пла'!$K$18:$K$40</definedName>
    <definedName name="krista_tm_40538" localSheetId="1" hidden="1">'2. Исп местн бюдж в части доход'!$K$14:$K$36</definedName>
    <definedName name="krista_tm_40538" localSheetId="2" hidden="1">'3. Исп мест бюджета в ч расх'!$K$16:$K$38</definedName>
    <definedName name="krista_tm_40538" localSheetId="3" hidden="1">'4. Учет и отчетность'!$K$17:$K$39</definedName>
    <definedName name="krista_tm_40538" localSheetId="4" hidden="1">'5. Контроль и аудит'!$K$17:$K$39</definedName>
    <definedName name="krista_tm_40538" localSheetId="5" hidden="1">'6. Кадровый потенциал сотруд'!$K$15:$K$37</definedName>
    <definedName name="krista_tm_40538_0_0" localSheetId="0" hidden="1">'1. Среднесрочное финансовое пла'!$K$18:$K$40</definedName>
    <definedName name="krista_tm_40538_0_0" localSheetId="1" hidden="1">'2. Исп местн бюдж в части доход'!$K$14:$K$36</definedName>
    <definedName name="krista_tm_40538_0_0" localSheetId="2" hidden="1">'3. Исп мест бюджета в ч расх'!$K$16:$K$38</definedName>
    <definedName name="krista_tm_40538_0_0" localSheetId="3" hidden="1">'4. Учет и отчетность'!$K$17:$K$39</definedName>
    <definedName name="krista_tm_40538_0_0" localSheetId="4" hidden="1">'5. Контроль и аудит'!$K$17:$K$39</definedName>
    <definedName name="krista_tm_40538_0_0" localSheetId="5" hidden="1">'6. Кадровый потенциал сотруд'!$K$15:$K$37</definedName>
    <definedName name="krista_tm_40539" localSheetId="0" hidden="1">'1. Среднесрочное финансовое пла'!$L$18:$L$40</definedName>
    <definedName name="krista_tm_40539" localSheetId="1" hidden="1">'2. Исп местн бюдж в части доход'!$L$14:$L$36</definedName>
    <definedName name="krista_tm_40539" localSheetId="2" hidden="1">'3. Исп мест бюджета в ч расх'!$L$16:$L$38</definedName>
    <definedName name="krista_tm_40539" localSheetId="3" hidden="1">'4. Учет и отчетность'!$L$17:$L$39</definedName>
    <definedName name="krista_tm_40539" localSheetId="4" hidden="1">'5. Контроль и аудит'!$L$17:$L$39</definedName>
    <definedName name="krista_tm_40539" localSheetId="5" hidden="1">'6. Кадровый потенциал сотруд'!$L$15:$L$37</definedName>
    <definedName name="krista_tm_40539_0_0" localSheetId="0" hidden="1">'1. Среднесрочное финансовое пла'!$L$18:$L$40</definedName>
    <definedName name="krista_tm_40539_0_0" localSheetId="1" hidden="1">'2. Исп местн бюдж в части доход'!$L$14:$L$36</definedName>
    <definedName name="krista_tm_40539_0_0" localSheetId="2" hidden="1">'3. Исп мест бюджета в ч расх'!$L$16:$L$38</definedName>
    <definedName name="krista_tm_40539_0_0" localSheetId="3" hidden="1">'4. Учет и отчетность'!$L$17:$L$39</definedName>
    <definedName name="krista_tm_40539_0_0" localSheetId="4" hidden="1">'5. Контроль и аудит'!$L$17:$L$39</definedName>
    <definedName name="krista_tm_40539_0_0" localSheetId="5" hidden="1">'6. Кадровый потенциал сотруд'!$L$15:$L$37</definedName>
    <definedName name="krista_tm_40540" localSheetId="0" hidden="1">'1. Среднесрочное финансовое пла'!$M$18:$M$40</definedName>
    <definedName name="krista_tm_40540" localSheetId="1" hidden="1">'2. Исп местн бюдж в части доход'!$M$14:$M$36</definedName>
    <definedName name="krista_tm_40540" localSheetId="2" hidden="1">'3. Исп мест бюджета в ч расх'!$M$16:$M$38</definedName>
    <definedName name="krista_tm_40540" localSheetId="3" hidden="1">'4. Учет и отчетность'!$M$17:$M$39</definedName>
    <definedName name="krista_tm_40540" localSheetId="4" hidden="1">'5. Контроль и аудит'!$M$17:$M$39</definedName>
    <definedName name="krista_tm_40540" localSheetId="5" hidden="1">'6. Кадровый потенциал сотруд'!$M$15:$M$37</definedName>
    <definedName name="krista_tm_40540_0_0" localSheetId="0" hidden="1">'1. Среднесрочное финансовое пла'!$M$18:$M$40</definedName>
    <definedName name="krista_tm_40540_0_0" localSheetId="1" hidden="1">'2. Исп местн бюдж в части доход'!$M$14:$M$36</definedName>
    <definedName name="krista_tm_40540_0_0" localSheetId="2" hidden="1">'3. Исп мест бюджета в ч расх'!$M$16:$M$38</definedName>
    <definedName name="krista_tm_40540_0_0" localSheetId="3" hidden="1">'4. Учет и отчетность'!$M$17:$M$39</definedName>
    <definedName name="krista_tm_40540_0_0" localSheetId="4" hidden="1">'5. Контроль и аудит'!$M$17:$M$39</definedName>
    <definedName name="krista_tm_40540_0_0" localSheetId="5" hidden="1">'6. Кадровый потенциал сотруд'!$M$15:$M$37</definedName>
    <definedName name="krista_tm_40544" localSheetId="0" hidden="1">'1. Среднесрочное финансовое пла'!$Q$18:$Q$40</definedName>
    <definedName name="krista_tm_40544" localSheetId="1" hidden="1">'2. Исп местн бюдж в части доход'!$Q$14:$Q$36</definedName>
    <definedName name="krista_tm_40544" localSheetId="2" hidden="1">'3. Исп мест бюджета в ч расх'!$Q$16:$Q$38</definedName>
    <definedName name="krista_tm_40544" localSheetId="3" hidden="1">'4. Учет и отчетность'!$Q$17:$Q$39</definedName>
    <definedName name="krista_tm_40544" localSheetId="4" hidden="1">'5. Контроль и аудит'!$Q$17:$Q$39</definedName>
    <definedName name="krista_tm_40544" localSheetId="5" hidden="1">'6. Кадровый потенциал сотруд'!$Q$15:$Q$37</definedName>
    <definedName name="krista_tm_40544_0_0" localSheetId="0" hidden="1">'1. Среднесрочное финансовое пла'!$Q$18:$Q$40</definedName>
    <definedName name="krista_tm_40544_0_0" localSheetId="1" hidden="1">'2. Исп местн бюдж в части доход'!$Q$14:$Q$36</definedName>
    <definedName name="krista_tm_40544_0_0" localSheetId="2" hidden="1">'3. Исп мест бюджета в ч расх'!$Q$16:$Q$38</definedName>
    <definedName name="krista_tm_40544_0_0" localSheetId="3" hidden="1">'4. Учет и отчетность'!$Q$17:$Q$39</definedName>
    <definedName name="krista_tm_40544_0_0" localSheetId="4" hidden="1">'5. Контроль и аудит'!$Q$17:$Q$39</definedName>
    <definedName name="krista_tm_40544_0_0" localSheetId="5" hidden="1">'6. Кадровый потенциал сотруд'!$Q$15:$Q$37</definedName>
    <definedName name="krista_tm_40545" localSheetId="0" hidden="1">'1. Среднесрочное финансовое пла'!$R$18:$R$40</definedName>
    <definedName name="krista_tm_40545" localSheetId="1" hidden="1">'2. Исп местн бюдж в части доход'!$R$14:$R$36</definedName>
    <definedName name="krista_tm_40545" localSheetId="2" hidden="1">'3. Исп мест бюджета в ч расх'!$R$16:$R$38</definedName>
    <definedName name="krista_tm_40545" localSheetId="3" hidden="1">'4. Учет и отчетность'!$R$17:$R$39</definedName>
    <definedName name="krista_tm_40545" localSheetId="4" hidden="1">'5. Контроль и аудит'!$R$17:$R$39</definedName>
    <definedName name="krista_tm_40545" localSheetId="5" hidden="1">'6. Кадровый потенциал сотруд'!$R$15:$R$37</definedName>
    <definedName name="krista_tm_40545_0_0" localSheetId="0" hidden="1">'1. Среднесрочное финансовое пла'!$R$18:$R$40</definedName>
    <definedName name="krista_tm_40545_0_0" localSheetId="1" hidden="1">'2. Исп местн бюдж в части доход'!$R$14:$R$36</definedName>
    <definedName name="krista_tm_40545_0_0" localSheetId="2" hidden="1">'3. Исп мест бюджета в ч расх'!$R$16:$R$38</definedName>
    <definedName name="krista_tm_40545_0_0" localSheetId="3" hidden="1">'4. Учет и отчетность'!$R$17:$R$39</definedName>
    <definedName name="krista_tm_40545_0_0" localSheetId="4" hidden="1">'5. Контроль и аудит'!$R$17:$R$39</definedName>
    <definedName name="krista_tm_40545_0_0" localSheetId="5" hidden="1">'6. Кадровый потенциал сотруд'!$R$15:$R$37</definedName>
    <definedName name="krista_tm_40546" localSheetId="0" hidden="1">'1. Среднесрочное финансовое пла'!$S$18:$S$40</definedName>
    <definedName name="krista_tm_40546" localSheetId="1" hidden="1">'2. Исп местн бюдж в части доход'!$S$14:$S$36</definedName>
    <definedName name="krista_tm_40546" localSheetId="2" hidden="1">'3. Исп мест бюджета в ч расх'!$S$16:$S$38</definedName>
    <definedName name="krista_tm_40546" localSheetId="3" hidden="1">'4. Учет и отчетность'!$S$17:$S$39</definedName>
    <definedName name="krista_tm_40546" localSheetId="4" hidden="1">'5. Контроль и аудит'!$S$17:$S$39</definedName>
    <definedName name="krista_tm_40546" localSheetId="5" hidden="1">'6. Кадровый потенциал сотруд'!$S$15:$S$37</definedName>
    <definedName name="krista_tm_40546_0_0" localSheetId="0" hidden="1">'1. Среднесрочное финансовое пла'!$S$18:$S$40</definedName>
    <definedName name="krista_tm_40546_0_0" localSheetId="1" hidden="1">'2. Исп местн бюдж в части доход'!$S$14:$S$36</definedName>
    <definedName name="krista_tm_40546_0_0" localSheetId="2" hidden="1">'3. Исп мест бюджета в ч расх'!$S$16:$S$38</definedName>
    <definedName name="krista_tm_40546_0_0" localSheetId="3" hidden="1">'4. Учет и отчетность'!$S$17:$S$39</definedName>
    <definedName name="krista_tm_40546_0_0" localSheetId="4" hidden="1">'5. Контроль и аудит'!$S$17:$S$39</definedName>
    <definedName name="krista_tm_40546_0_0" localSheetId="5" hidden="1">'6. Кадровый потенциал сотруд'!$S$15:$S$37</definedName>
    <definedName name="krista_tm_40550" localSheetId="0" hidden="1">'1. Среднесрочное финансовое пла'!$W$18:$W$40</definedName>
    <definedName name="krista_tm_40550" localSheetId="2" hidden="1">'3. Исп мест бюджета в ч расх'!$W$16:$W$38</definedName>
    <definedName name="krista_tm_40550" localSheetId="3" hidden="1">'4. Учет и отчетность'!$W$17:$W$39</definedName>
    <definedName name="krista_tm_40550" localSheetId="4" hidden="1">'5. Контроль и аудит'!$W$17:$W$39</definedName>
    <definedName name="krista_tm_40550" localSheetId="5" hidden="1">'6. Кадровый потенциал сотруд'!$W$15:$W$37</definedName>
    <definedName name="krista_tm_40550_0_0" localSheetId="0" hidden="1">'1. Среднесрочное финансовое пла'!$W$18:$W$40</definedName>
    <definedName name="krista_tm_40550_0_0" localSheetId="2" hidden="1">'3. Исп мест бюджета в ч расх'!$W$16:$W$38</definedName>
    <definedName name="krista_tm_40550_0_0" localSheetId="3" hidden="1">'4. Учет и отчетность'!$W$17:$W$39</definedName>
    <definedName name="krista_tm_40550_0_0" localSheetId="4" hidden="1">'5. Контроль и аудит'!$W$17:$W$39</definedName>
    <definedName name="krista_tm_40550_0_0" localSheetId="5" hidden="1">'6. Кадровый потенциал сотруд'!$W$15:$W$37</definedName>
    <definedName name="krista_tm_40551" localSheetId="0" hidden="1">'1. Среднесрочное финансовое пла'!$X$18:$X$40</definedName>
    <definedName name="krista_tm_40551" localSheetId="2" hidden="1">'3. Исп мест бюджета в ч расх'!$X$16:$X$38</definedName>
    <definedName name="krista_tm_40551" localSheetId="3" hidden="1">'4. Учет и отчетность'!$X$17:$X$39</definedName>
    <definedName name="krista_tm_40551" localSheetId="4" hidden="1">'5. Контроль и аудит'!$X$17:$X$39</definedName>
    <definedName name="krista_tm_40551" localSheetId="5" hidden="1">'6. Кадровый потенциал сотруд'!$X$15:$X$37</definedName>
    <definedName name="krista_tm_40551_0_0" localSheetId="0" hidden="1">'1. Среднесрочное финансовое пла'!$X$18:$X$40</definedName>
    <definedName name="krista_tm_40551_0_0" localSheetId="2" hidden="1">'3. Исп мест бюджета в ч расх'!$X$16:$X$38</definedName>
    <definedName name="krista_tm_40551_0_0" localSheetId="3" hidden="1">'4. Учет и отчетность'!$X$17:$X$39</definedName>
    <definedName name="krista_tm_40551_0_0" localSheetId="4" hidden="1">'5. Контроль и аудит'!$X$17:$X$39</definedName>
    <definedName name="krista_tm_40551_0_0" localSheetId="5" hidden="1">'6. Кадровый потенциал сотруд'!$X$15:$X$37</definedName>
    <definedName name="krista_tm_40552" localSheetId="0" hidden="1">'1. Среднесрочное финансовое пла'!$Y$18:$Y$40</definedName>
    <definedName name="krista_tm_40552" localSheetId="2" hidden="1">'3. Исп мест бюджета в ч расх'!$Y$16:$Y$38</definedName>
    <definedName name="krista_tm_40552" localSheetId="3" hidden="1">'4. Учет и отчетность'!$Y$17:$Y$39</definedName>
    <definedName name="krista_tm_40552" localSheetId="4" hidden="1">'5. Контроль и аудит'!$Y$17:$Y$39</definedName>
    <definedName name="krista_tm_40552" localSheetId="5" hidden="1">'6. Кадровый потенциал сотруд'!$Y$15:$Y$37</definedName>
    <definedName name="krista_tm_40552_0_0" localSheetId="0" hidden="1">'1. Среднесрочное финансовое пла'!$Y$18:$Y$40</definedName>
    <definedName name="krista_tm_40552_0_0" localSheetId="2" hidden="1">'3. Исп мест бюджета в ч расх'!$Y$16:$Y$38</definedName>
    <definedName name="krista_tm_40552_0_0" localSheetId="3" hidden="1">'4. Учет и отчетность'!$Y$17:$Y$39</definedName>
    <definedName name="krista_tm_40552_0_0" localSheetId="4" hidden="1">'5. Контроль и аудит'!$Y$17:$Y$39</definedName>
    <definedName name="krista_tm_40552_0_0" localSheetId="5" hidden="1">'6. Кадровый потенциал сотруд'!$Y$15:$Y$37</definedName>
    <definedName name="krista_tm_40556" localSheetId="0" hidden="1">'1. Среднесрочное финансовое пла'!$AC$18:$AC$40</definedName>
    <definedName name="krista_tm_40556" localSheetId="2" hidden="1">'3. Исп мест бюджета в ч расх'!$AC$16:$AC$38</definedName>
    <definedName name="krista_tm_40556" localSheetId="3" hidden="1">'4. Учет и отчетность'!$AC$17:$AC$39</definedName>
    <definedName name="krista_tm_40556" localSheetId="4" hidden="1">'5. Контроль и аудит'!$AC$17:$AC$39</definedName>
    <definedName name="krista_tm_40556_0_0" localSheetId="0" hidden="1">'1. Среднесрочное финансовое пла'!$AC$18:$AC$40</definedName>
    <definedName name="krista_tm_40556_0_0" localSheetId="2" hidden="1">'3. Исп мест бюджета в ч расх'!$AC$16:$AC$38</definedName>
    <definedName name="krista_tm_40556_0_0" localSheetId="3" hidden="1">'4. Учет и отчетность'!$AC$17:$AC$39</definedName>
    <definedName name="krista_tm_40556_0_0" localSheetId="4" hidden="1">'5. Контроль и аудит'!$AC$17:$AC$39</definedName>
    <definedName name="krista_tm_40557" localSheetId="0" hidden="1">'1. Среднесрочное финансовое пла'!$AD$18:$AD$40</definedName>
    <definedName name="krista_tm_40557" localSheetId="2" hidden="1">'3. Исп мест бюджета в ч расх'!$AD$16:$AD$38</definedName>
    <definedName name="krista_tm_40557" localSheetId="3" hidden="1">'4. Учет и отчетность'!$AD$17:$AD$39</definedName>
    <definedName name="krista_tm_40557" localSheetId="4" hidden="1">'5. Контроль и аудит'!$AD$17:$AD$39</definedName>
    <definedName name="krista_tm_40557_0_0" localSheetId="0" hidden="1">'1. Среднесрочное финансовое пла'!$AD$18:$AD$40</definedName>
    <definedName name="krista_tm_40557_0_0" localSheetId="2" hidden="1">'3. Исп мест бюджета в ч расх'!$AD$16:$AD$38</definedName>
    <definedName name="krista_tm_40557_0_0" localSheetId="3" hidden="1">'4. Учет и отчетность'!$AD$17:$AD$39</definedName>
    <definedName name="krista_tm_40557_0_0" localSheetId="4" hidden="1">'5. Контроль и аудит'!$AD$17:$AD$39</definedName>
    <definedName name="krista_tm_40558" localSheetId="0" hidden="1">'1. Среднесрочное финансовое пла'!$AE$18:$AE$40</definedName>
    <definedName name="krista_tm_40558" localSheetId="2" hidden="1">'3. Исп мест бюджета в ч расх'!$AE$16:$AE$38</definedName>
    <definedName name="krista_tm_40558" localSheetId="3" hidden="1">'4. Учет и отчетность'!$AE$17:$AE$39</definedName>
    <definedName name="krista_tm_40558" localSheetId="4" hidden="1">'5. Контроль и аудит'!$AE$17:$AE$39</definedName>
    <definedName name="krista_tm_40558_0_0" localSheetId="0" hidden="1">'1. Среднесрочное финансовое пла'!$AE$18:$AE$40</definedName>
    <definedName name="krista_tm_40558_0_0" localSheetId="2" hidden="1">'3. Исп мест бюджета в ч расх'!$AE$16:$AE$38</definedName>
    <definedName name="krista_tm_40558_0_0" localSheetId="3" hidden="1">'4. Учет и отчетность'!$AE$17:$AE$39</definedName>
    <definedName name="krista_tm_40558_0_0" localSheetId="4" hidden="1">'5. Контроль и аудит'!$AE$17:$AE$39</definedName>
    <definedName name="krista_tm_40562" localSheetId="0" hidden="1">'1. Среднесрочное финансовое пла'!$AI$18:$AI$40</definedName>
    <definedName name="krista_tm_40562" localSheetId="4" hidden="1">'5. Контроль и аудит'!$AI$17:$AI$39</definedName>
    <definedName name="krista_tm_40562_0_0" localSheetId="0" hidden="1">'1. Среднесрочное финансовое пла'!$AI$18:$AI$40</definedName>
    <definedName name="krista_tm_40562_0_0" localSheetId="4" hidden="1">'5. Контроль и аудит'!$AI$17:$AI$39</definedName>
    <definedName name="krista_tm_40563" localSheetId="0" hidden="1">'1. Среднесрочное финансовое пла'!$AJ$18:$AJ$40</definedName>
    <definedName name="krista_tm_40563" localSheetId="4" hidden="1">'5. Контроль и аудит'!$AJ$17:$AJ$39</definedName>
    <definedName name="krista_tm_40563_0_0" localSheetId="0" hidden="1">'1. Среднесрочное финансовое пла'!$AJ$18:$AJ$40</definedName>
    <definedName name="krista_tm_40563_0_0" localSheetId="4" hidden="1">'5. Контроль и аудит'!$AJ$17:$AJ$39</definedName>
    <definedName name="krista_tm_40564" localSheetId="0" hidden="1">'1. Среднесрочное финансовое пла'!$AK$18:$AK$40</definedName>
    <definedName name="krista_tm_40564" localSheetId="4" hidden="1">'5. Контроль и аудит'!$AK$17:$AK$39</definedName>
    <definedName name="krista_tm_40564_0_0" localSheetId="0" hidden="1">'1. Среднесрочное финансовое пла'!$AK$18:$AK$40</definedName>
    <definedName name="krista_tm_40564_0_0" localSheetId="4" hidden="1">'5. Контроль и аудит'!$AK$17:$AK$39</definedName>
    <definedName name="krista_tm_40568" localSheetId="0" hidden="1">'1. Среднесрочное финансовое пла'!$AO$18:$AO$40</definedName>
    <definedName name="krista_tm_40568_0_0" localSheetId="0" hidden="1">'1. Среднесрочное финансовое пла'!$AO$18:$AO$40</definedName>
    <definedName name="krista_tm_40569" localSheetId="0" hidden="1">'1. Среднесрочное финансовое пла'!$AP$18:$AP$40</definedName>
    <definedName name="krista_tm_40569_0_0" localSheetId="0" hidden="1">'1. Среднесрочное финансовое пла'!$AP$18:$AP$40</definedName>
    <definedName name="krista_tm_40570" localSheetId="0" hidden="1">'1. Среднесрочное финансовое пла'!$AQ$18:$AQ$40</definedName>
    <definedName name="krista_tm_40570_0_0" localSheetId="0" hidden="1">'1. Среднесрочное финансовое пла'!$AQ$18:$AQ$40</definedName>
    <definedName name="krista_tm_51272" localSheetId="3" hidden="1">'4. Учет и отчетность'!$AI$17:$AI$39</definedName>
    <definedName name="krista_tm_51272_0_0" localSheetId="3" hidden="1">'4. Учет и отчетность'!$AI$17:$AI$39</definedName>
    <definedName name="krista_tm_51273" localSheetId="3" hidden="1">'4. Учет и отчетность'!$AJ$17:$AJ$39</definedName>
    <definedName name="krista_tm_51273_0_0" localSheetId="3" hidden="1">'4. Учет и отчетность'!$AJ$17:$AJ$39</definedName>
    <definedName name="krista_tm_51274" localSheetId="3" hidden="1">'4. Учет и отчетность'!$AK$17:$AK$39</definedName>
    <definedName name="krista_tm_51274_0_0" localSheetId="3" hidden="1">'4. Учет и отчетность'!$AK$17:$AK$39</definedName>
    <definedName name="krista_tm_527" localSheetId="6" hidden="1">Итог!$E$17:$E$39</definedName>
    <definedName name="krista_tm_527_0_5" localSheetId="6" hidden="1">Итог!$E$17:$E$39</definedName>
    <definedName name="krista_tm_532" localSheetId="6" hidden="1">Итог!$K$17:$K$39</definedName>
    <definedName name="krista_tm_532_0_5" localSheetId="6" hidden="1">Итог!$K$17:$K$39</definedName>
    <definedName name="krista_tm_54197" localSheetId="0" hidden="1">'1. Среднесрочное финансовое пла'!$F$18:$F$40</definedName>
    <definedName name="krista_tm_54197_0_0" localSheetId="0" hidden="1">'1. Среднесрочное финансовое пла'!$F$18:$F$40</definedName>
    <definedName name="krista_tr_237" localSheetId="6" hidden="1">Итог!$D$17:$D$39</definedName>
    <definedName name="krista_tr_237_0_5" localSheetId="6" hidden="1">Итог!$D$17:$D$39</definedName>
    <definedName name="krista_tr_25389" localSheetId="6" hidden="1">Итог!$C$17:$C$39</definedName>
    <definedName name="krista_tr_25389_0_0" localSheetId="6" hidden="1">Итог!$C$17:$C$39</definedName>
    <definedName name="krista_tr_25805" localSheetId="6" hidden="1">Итог!$V$17:$V$39</definedName>
    <definedName name="krista_tr_25805_0_0" localSheetId="6" hidden="1">Итог!$V$17:$V$39</definedName>
    <definedName name="krista_tr_25812" localSheetId="6" hidden="1">Итог!$AB$17:$AB$39</definedName>
    <definedName name="krista_tr_25812_0_0" localSheetId="6" hidden="1">Итог!$AB$17:$AB$39</definedName>
    <definedName name="krista_tr_25821" localSheetId="6" hidden="1">Итог!$AH$17:$AH$39</definedName>
    <definedName name="krista_tr_25821_0_0" localSheetId="6" hidden="1">Итог!$AH$17:$AH$39</definedName>
    <definedName name="krista_tr_25827" localSheetId="6" hidden="1">Итог!$AN$17:$AN$39</definedName>
    <definedName name="krista_tr_25827_0_0" localSheetId="6" hidden="1">Итог!$AN$17:$AN$39</definedName>
    <definedName name="krista_tr_40531" localSheetId="0" hidden="1">'1. Среднесрочное финансовое пла'!$D$18:$D$40</definedName>
    <definedName name="krista_tr_40531" localSheetId="1" hidden="1">'2. Исп местн бюдж в части доход'!$D$14:$D$36</definedName>
    <definedName name="krista_tr_40531" localSheetId="2" hidden="1">'3. Исп мест бюджета в ч расх'!$D$16:$D$38</definedName>
    <definedName name="krista_tr_40531" localSheetId="3" hidden="1">'4. Учет и отчетность'!$D$17:$D$39</definedName>
    <definedName name="krista_tr_40531" localSheetId="4" hidden="1">'5. Контроль и аудит'!$D$17:$D$39</definedName>
    <definedName name="krista_tr_40531" localSheetId="5" hidden="1">'6. Кадровый потенциал сотруд'!$D$15:$D$37</definedName>
    <definedName name="krista_tr_40531_0_0" localSheetId="0" hidden="1">'1. Среднесрочное финансовое пла'!$D$18:$D$40</definedName>
    <definedName name="krista_tr_40531_0_0" localSheetId="1" hidden="1">'2. Исп местн бюдж в части доход'!$D$14:$D$36</definedName>
    <definedName name="krista_tr_40531_0_0" localSheetId="2" hidden="1">'3. Исп мест бюджета в ч расх'!$D$16:$D$38</definedName>
    <definedName name="krista_tr_40531_0_0" localSheetId="3" hidden="1">'4. Учет и отчетность'!$D$17:$D$39</definedName>
    <definedName name="krista_tr_40531_0_0" localSheetId="4" hidden="1">'5. Контроль и аудит'!$D$17:$D$39</definedName>
    <definedName name="krista_tr_40531_0_0" localSheetId="5" hidden="1">'6. Кадровый потенциал сотруд'!$D$15:$D$37</definedName>
    <definedName name="krista_tr_40537" localSheetId="0" hidden="1">'1. Среднесрочное финансовое пла'!$J$18:$J$40</definedName>
    <definedName name="krista_tr_40537" localSheetId="1" hidden="1">'2. Исп местн бюдж в части доход'!$J$14:$J$36</definedName>
    <definedName name="krista_tr_40537" localSheetId="2" hidden="1">'3. Исп мест бюджета в ч расх'!$J$16:$J$38</definedName>
    <definedName name="krista_tr_40537" localSheetId="3" hidden="1">'4. Учет и отчетность'!$J$17:$J$39</definedName>
    <definedName name="krista_tr_40537" localSheetId="4" hidden="1">'5. Контроль и аудит'!$J$17:$J$39</definedName>
    <definedName name="krista_tr_40537" localSheetId="5" hidden="1">'6. Кадровый потенциал сотруд'!$J$15:$J$37</definedName>
    <definedName name="krista_tr_40537_0_0" localSheetId="0" hidden="1">'1. Среднесрочное финансовое пла'!$J$18:$J$40</definedName>
    <definedName name="krista_tr_40537_0_0" localSheetId="1" hidden="1">'2. Исп местн бюдж в части доход'!$J$14:$J$36</definedName>
    <definedName name="krista_tr_40537_0_0" localSheetId="2" hidden="1">'3. Исп мест бюджета в ч расх'!$J$16:$J$38</definedName>
    <definedName name="krista_tr_40537_0_0" localSheetId="3" hidden="1">'4. Учет и отчетность'!$J$17:$J$39</definedName>
    <definedName name="krista_tr_40537_0_0" localSheetId="4" hidden="1">'5. Контроль и аудит'!$J$17:$J$39</definedName>
    <definedName name="krista_tr_40537_0_0" localSheetId="5" hidden="1">'6. Кадровый потенциал сотруд'!$J$15:$J$37</definedName>
    <definedName name="krista_tr_40543" localSheetId="0" hidden="1">'1. Среднесрочное финансовое пла'!$P$18:$P$40</definedName>
    <definedName name="krista_tr_40543" localSheetId="1" hidden="1">'2. Исп местн бюдж в части доход'!$P$14:$P$36</definedName>
    <definedName name="krista_tr_40543" localSheetId="2" hidden="1">'3. Исп мест бюджета в ч расх'!$P$16:$P$38</definedName>
    <definedName name="krista_tr_40543" localSheetId="3" hidden="1">'4. Учет и отчетность'!$P$17:$P$39</definedName>
    <definedName name="krista_tr_40543" localSheetId="4" hidden="1">'5. Контроль и аудит'!$P$17:$P$39</definedName>
    <definedName name="krista_tr_40543" localSheetId="5" hidden="1">'6. Кадровый потенциал сотруд'!$P$15:$P$37</definedName>
    <definedName name="krista_tr_40543_0_0" localSheetId="0" hidden="1">'1. Среднесрочное финансовое пла'!$P$18:$P$40</definedName>
    <definedName name="krista_tr_40543_0_0" localSheetId="1" hidden="1">'2. Исп местн бюдж в части доход'!$P$14:$P$36</definedName>
    <definedName name="krista_tr_40543_0_0" localSheetId="2" hidden="1">'3. Исп мест бюджета в ч расх'!$P$16:$P$38</definedName>
    <definedName name="krista_tr_40543_0_0" localSheetId="3" hidden="1">'4. Учет и отчетность'!$P$17:$P$39</definedName>
    <definedName name="krista_tr_40543_0_0" localSheetId="4" hidden="1">'5. Контроль и аудит'!$P$17:$P$39</definedName>
    <definedName name="krista_tr_40543_0_0" localSheetId="5" hidden="1">'6. Кадровый потенциал сотруд'!$P$15:$P$37</definedName>
    <definedName name="krista_tr_40549" localSheetId="0" hidden="1">'1. Среднесрочное финансовое пла'!$V$18:$V$40</definedName>
    <definedName name="krista_tr_40549" localSheetId="1" hidden="1">'2. Исп местн бюдж в части доход'!$V$14:$V$36</definedName>
    <definedName name="krista_tr_40549" localSheetId="2" hidden="1">'3. Исп мест бюджета в ч расх'!$V$16:$V$38</definedName>
    <definedName name="krista_tr_40549" localSheetId="3" hidden="1">'4. Учет и отчетность'!$V$17:$V$39</definedName>
    <definedName name="krista_tr_40549" localSheetId="4" hidden="1">'5. Контроль и аудит'!$V$17:$V$39</definedName>
    <definedName name="krista_tr_40549" localSheetId="5" hidden="1">'6. Кадровый потенциал сотруд'!$V$15:$V$37</definedName>
    <definedName name="krista_tr_40549_0_0" localSheetId="0" hidden="1">'1. Среднесрочное финансовое пла'!$V$18:$V$40</definedName>
    <definedName name="krista_tr_40549_0_0" localSheetId="1" hidden="1">'2. Исп местн бюдж в части доход'!$V$14:$V$36</definedName>
    <definedName name="krista_tr_40549_0_0" localSheetId="2" hidden="1">'3. Исп мест бюджета в ч расх'!$V$16:$V$38</definedName>
    <definedName name="krista_tr_40549_0_0" localSheetId="3" hidden="1">'4. Учет и отчетность'!$V$17:$V$39</definedName>
    <definedName name="krista_tr_40549_0_0" localSheetId="4" hidden="1">'5. Контроль и аудит'!$V$17:$V$39</definedName>
    <definedName name="krista_tr_40549_0_0" localSheetId="5" hidden="1">'6. Кадровый потенциал сотруд'!$V$15:$V$37</definedName>
    <definedName name="krista_tr_40555" localSheetId="0" hidden="1">'1. Среднесрочное финансовое пла'!$AB$18:$AB$40</definedName>
    <definedName name="krista_tr_40555" localSheetId="2" hidden="1">'3. Исп мест бюджета в ч расх'!$AB$16:$AB$38</definedName>
    <definedName name="krista_tr_40555" localSheetId="3" hidden="1">'4. Учет и отчетность'!$AB$17:$AB$39</definedName>
    <definedName name="krista_tr_40555" localSheetId="4" hidden="1">'5. Контроль и аудит'!$AB$17:$AB$39</definedName>
    <definedName name="krista_tr_40555" localSheetId="5" hidden="1">'6. Кадровый потенциал сотруд'!$AB$15:$AB$37</definedName>
    <definedName name="krista_tr_40555_0_0" localSheetId="0" hidden="1">'1. Среднесрочное финансовое пла'!$AB$18:$AB$40</definedName>
    <definedName name="krista_tr_40555_0_0" localSheetId="2" hidden="1">'3. Исп мест бюджета в ч расх'!$AB$16:$AB$38</definedName>
    <definedName name="krista_tr_40555_0_0" localSheetId="3" hidden="1">'4. Учет и отчетность'!$AB$17:$AB$39</definedName>
    <definedName name="krista_tr_40555_0_0" localSheetId="4" hidden="1">'5. Контроль и аудит'!$AB$17:$AB$39</definedName>
    <definedName name="krista_tr_40555_0_0" localSheetId="5" hidden="1">'6. Кадровый потенциал сотруд'!$AB$15:$AB$37</definedName>
    <definedName name="krista_tr_40561" localSheetId="0" hidden="1">'1. Среднесрочное финансовое пла'!$AH$18:$AH$40</definedName>
    <definedName name="krista_tr_40561" localSheetId="2" hidden="1">'3. Исп мест бюджета в ч расх'!$AH$16:$AH$38</definedName>
    <definedName name="krista_tr_40561" localSheetId="3" hidden="1">'4. Учет и отчетность'!$AH$17:$AH$39</definedName>
    <definedName name="krista_tr_40561" localSheetId="4" hidden="1">'5. Контроль и аудит'!$AH$17:$AH$39</definedName>
    <definedName name="krista_tr_40561_0_0" localSheetId="0" hidden="1">'1. Среднесрочное финансовое пла'!$AH$18:$AH$40</definedName>
    <definedName name="krista_tr_40561_0_0" localSheetId="2" hidden="1">'3. Исп мест бюджета в ч расх'!$AH$16:$AH$38</definedName>
    <definedName name="krista_tr_40561_0_0" localSheetId="3" hidden="1">'4. Учет и отчетность'!$AH$17:$AH$39</definedName>
    <definedName name="krista_tr_40561_0_0" localSheetId="4" hidden="1">'5. Контроль и аудит'!$AH$17:$AH$39</definedName>
    <definedName name="krista_tr_40567" localSheetId="0" hidden="1">'1. Среднесрочное финансовое пла'!$AN$18:$AN$40</definedName>
    <definedName name="krista_tr_40567" localSheetId="4" hidden="1">'5. Контроль и аудит'!$AN$17:$AN$39</definedName>
    <definedName name="krista_tr_40567_0_0" localSheetId="0" hidden="1">'1. Среднесрочное финансовое пла'!$AN$18:$AN$40</definedName>
    <definedName name="krista_tr_40567_0_0" localSheetId="4" hidden="1">'5. Контроль и аудит'!$AN$17:$AN$39</definedName>
    <definedName name="krista_tr_40573" localSheetId="0" hidden="1">'1. Среднесрочное финансовое пла'!$AT$18:$AT$40</definedName>
    <definedName name="krista_tr_40573_0_0" localSheetId="0" hidden="1">'1. Среднесрочное финансовое пла'!$AT$18:$AT$40</definedName>
    <definedName name="krista_tr_47106" localSheetId="1" hidden="1">'2. Исп местн бюдж в части доход'!$C$14:$C$36</definedName>
    <definedName name="krista_tr_47106_0_0" localSheetId="1" hidden="1">'2. Исп местн бюдж в части доход'!$C$14:$C$36</definedName>
    <definedName name="krista_tr_47809" localSheetId="2" hidden="1">'3. Исп мест бюджета в ч расх'!$C$16:$C$38</definedName>
    <definedName name="krista_tr_47809_0_0" localSheetId="2" hidden="1">'3. Исп мест бюджета в ч расх'!$C$16:$C$38</definedName>
    <definedName name="krista_tr_47949" localSheetId="5" hidden="1">'6. Кадровый потенциал сотруд'!$C$15:$C$37</definedName>
    <definedName name="krista_tr_47949_0_0" localSheetId="5" hidden="1">'6. Кадровый потенциал сотруд'!$C$15:$C$37</definedName>
    <definedName name="krista_tr_48286" localSheetId="3" hidden="1">'4. Учет и отчетность'!$C$17:$C$39</definedName>
    <definedName name="krista_tr_48286_0_0" localSheetId="3" hidden="1">'4. Учет и отчетность'!$C$17:$C$39</definedName>
    <definedName name="krista_tr_48469" localSheetId="4" hidden="1">'5. Контроль и аудит'!$C$17:$C$39</definedName>
    <definedName name="krista_tr_48469_0_0" localSheetId="4" hidden="1">'5. Контроль и аудит'!$C$17:$C$39</definedName>
    <definedName name="krista_tr_51240" localSheetId="0" hidden="1">'1. Среднесрочное финансовое пла'!$C$18:$C$40</definedName>
    <definedName name="krista_tr_51240_0_0" localSheetId="0" hidden="1">'1. Среднесрочное финансовое пла'!$C$18:$C$40</definedName>
    <definedName name="krista_tr_51277" localSheetId="3" hidden="1">'4. Учет и отчетность'!$AN$17:$AN$39</definedName>
    <definedName name="krista_tr_51277_0_0" localSheetId="3" hidden="1">'4. Учет и отчетность'!$AN$17:$AN$39</definedName>
    <definedName name="krista_tr_531" localSheetId="6" hidden="1">Итог!$J$17:$J$39</definedName>
    <definedName name="krista_tr_531_0_4" localSheetId="6" hidden="1">Итог!$J$17:$J$39</definedName>
    <definedName name="krista_tr_536" localSheetId="6" hidden="1">Итог!$P$17:$P$39</definedName>
    <definedName name="krista_tr_536_0_4" localSheetId="6" hidden="1">Итог!$P$17:$P$39</definedName>
    <definedName name="Print_Area" localSheetId="5">'6. Кадровый потенциал сотруд'!$A$1:$AG$37</definedName>
    <definedName name="Вес1" localSheetId="3">[1]Итог!$A$8</definedName>
    <definedName name="Вес1">Итог!$A$8</definedName>
    <definedName name="Вес1.1" localSheetId="0">'1. Среднесрочное финансовое пла'!$A$8</definedName>
    <definedName name="Вес1.2" localSheetId="0">'1. Среднесрочное финансовое пла'!$A$9</definedName>
    <definedName name="Вес1.3" localSheetId="0">'1. Среднесрочное финансовое пла'!$A$10</definedName>
    <definedName name="Вес1.4" localSheetId="0">'1. Среднесрочное финансовое пла'!$A$11</definedName>
    <definedName name="Вес1.5" localSheetId="0">'1. Среднесрочное финансовое пла'!$A$12</definedName>
    <definedName name="Вес1.6" localSheetId="0">'1. Среднесрочное финансовое пла'!$A$13</definedName>
    <definedName name="Вес1.7" localSheetId="0">'1. Среднесрочное финансовое пла'!$A$14</definedName>
    <definedName name="Вес2" localSheetId="6">Итог!$A$9</definedName>
    <definedName name="Вес2.1" localSheetId="1">'2. Исп местн бюдж в части доход'!$A$8</definedName>
    <definedName name="Вес2.2" localSheetId="1">'2. Исп местн бюдж в части доход'!$A$9</definedName>
    <definedName name="Вес2.3" localSheetId="1">'2. Исп местн бюдж в части доход'!$A$10</definedName>
    <definedName name="Вес3" localSheetId="3">[1]Итог!$A$10</definedName>
    <definedName name="Вес3">Итог!$A$10</definedName>
    <definedName name="Вес3.1" localSheetId="2">'3. Исп мест бюджета в ч расх'!$A$8</definedName>
    <definedName name="Вес3.2" localSheetId="2">'3. Исп мест бюджета в ч расх'!$A$9</definedName>
    <definedName name="Вес3.3" localSheetId="2">'3. Исп мест бюджета в ч расх'!$A$10</definedName>
    <definedName name="Вес3.4" localSheetId="2">'3. Исп мест бюджета в ч расх'!$A$11</definedName>
    <definedName name="Вес3.5" localSheetId="2">'3. Исп мест бюджета в ч расх'!$A$12</definedName>
    <definedName name="Вес4" localSheetId="3">[1]Итог!$A$11</definedName>
    <definedName name="Вес4">Итог!$A$11</definedName>
    <definedName name="Вес4.1" localSheetId="3">'4. Учет и отчетность'!$A$8</definedName>
    <definedName name="Вес4.2" localSheetId="3">'4. Учет и отчетность'!$A$9</definedName>
    <definedName name="Вес4.3" localSheetId="3">'4. Учет и отчетность'!$A$10</definedName>
    <definedName name="Вес4.4" localSheetId="3">'4. Учет и отчетность'!$A$11</definedName>
    <definedName name="Вес4.5" localSheetId="3">'4. Учет и отчетность'!$A$12</definedName>
    <definedName name="Вес4.6">'4. Учет и отчетность'!$A$13</definedName>
    <definedName name="Вес5" localSheetId="3">[1]Итог!$A$12</definedName>
    <definedName name="Вес5">Итог!$A$12</definedName>
    <definedName name="Вес5.1" localSheetId="4">'5. Контроль и аудит'!$A$8</definedName>
    <definedName name="Вес5.2" localSheetId="4">'5. Контроль и аудит'!$A$9</definedName>
    <definedName name="Вес5.3" localSheetId="4">'5. Контроль и аудит'!$A$10</definedName>
    <definedName name="Вес5.4" localSheetId="4">'5. Контроль и аудит'!$A$11</definedName>
    <definedName name="Вес5.5" localSheetId="4">'5. Контроль и аудит'!$A$12</definedName>
    <definedName name="Вес5.6" localSheetId="4">'5. Контроль и аудит'!$A$13</definedName>
    <definedName name="Вес6" localSheetId="3">[1]Итог!$A$13</definedName>
    <definedName name="Вес6">Итог!$A$13</definedName>
    <definedName name="Вес6.1" localSheetId="5">'6. Кадровый потенциал сотруд'!$A$8</definedName>
    <definedName name="Вес6.2" localSheetId="5">'6. Кадровый потенциал сотруд'!$A$9</definedName>
    <definedName name="Вес6.3" localSheetId="5">'6. Кадровый потенциал сотруд'!$A$10</definedName>
    <definedName name="Вес6.4" localSheetId="5">'6. Кадровый потенциал сотруд'!$A$11</definedName>
    <definedName name="Криста_Мера_15_0" localSheetId="6">Итог!$E$17:$E$39</definedName>
    <definedName name="Криста_Мера_16_0" localSheetId="6">Итог!$K$17:$K$39</definedName>
    <definedName name="Криста_Мера_17_0" localSheetId="6">Итог!$Q$17:$Q$39</definedName>
    <definedName name="Криста_Мера_17_0" localSheetId="7">Рейтинг!$C$8:$C$30</definedName>
    <definedName name="Криста_Мера_19_0" localSheetId="6">Итог!$W$17:$W$39</definedName>
    <definedName name="Криста_Мера_21_0" localSheetId="6">Итог!$AC$17:$AC$39</definedName>
    <definedName name="Криста_Мера_23_0" localSheetId="6">Итог!$AI$17:$AI$39</definedName>
    <definedName name="Криста_Мера_25_0" localSheetId="6">Итог!$F$17:$F$39</definedName>
    <definedName name="Криста_Мера_26_0" localSheetId="6">Итог!$L$17:$L$39</definedName>
    <definedName name="Криста_Мера_27_0" localSheetId="6">Итог!$R$17:$R$39</definedName>
    <definedName name="Криста_Мера_28_0" localSheetId="1">'2. Исп местн бюдж в части доход'!$F$14:$F$36</definedName>
    <definedName name="Криста_Мера_28_0" localSheetId="2">'3. Исп мест бюджета в ч расх'!$F$16:$F$38</definedName>
    <definedName name="Криста_Мера_28_0" localSheetId="3">'4. Учет и отчетность'!$F$17:$F$39</definedName>
    <definedName name="Криста_Мера_28_0" localSheetId="4">'5. Контроль и аудит'!$F$17:$F$39</definedName>
    <definedName name="Криста_Мера_28_0" localSheetId="5">'6. Кадровый потенциал сотруд'!$F$15:$F$37</definedName>
    <definedName name="Криста_Мера_28_0" localSheetId="6">Итог!$X$17:$X$39</definedName>
    <definedName name="Криста_Мера_29_0" localSheetId="1">'2. Исп местн бюдж в части доход'!$G$14:$G$36</definedName>
    <definedName name="Криста_Мера_29_0" localSheetId="2">'3. Исп мест бюджета в ч расх'!$G$16:$G$38</definedName>
    <definedName name="Криста_Мера_29_0" localSheetId="3">'4. Учет и отчетность'!$G$17:$G$39</definedName>
    <definedName name="Криста_Мера_29_0" localSheetId="4">'5. Контроль и аудит'!$G$17:$G$39</definedName>
    <definedName name="Криста_Мера_29_0" localSheetId="5">'6. Кадровый потенциал сотруд'!$G$15:$G$37</definedName>
    <definedName name="Криста_Мера_29_0" localSheetId="6">Итог!$AD$17:$AD$39</definedName>
    <definedName name="Криста_Мера_30_0" localSheetId="0">'1. Среднесрочное финансовое пла'!$L$18:$L$40</definedName>
    <definedName name="Криста_Мера_30_0" localSheetId="1">'2. Исп местн бюдж в части доход'!$L$14:$L$36</definedName>
    <definedName name="Криста_Мера_30_0" localSheetId="2">'3. Исп мест бюджета в ч расх'!$L$16:$L$38</definedName>
    <definedName name="Криста_Мера_30_0" localSheetId="3">'4. Учет и отчетность'!$L$17:$L$39</definedName>
    <definedName name="Криста_Мера_30_0" localSheetId="4">'5. Контроль и аудит'!$L$17:$L$39</definedName>
    <definedName name="Криста_Мера_30_0" localSheetId="5">'6. Кадровый потенциал сотруд'!$L$15:$L$37</definedName>
    <definedName name="Криста_Мера_30_0" localSheetId="6">Итог!$AJ$17:$AJ$39</definedName>
    <definedName name="Криста_Мера_31_0" localSheetId="0">'1. Среднесрочное финансовое пла'!$M$18:$M$40</definedName>
    <definedName name="Криста_Мера_31_0" localSheetId="1">'2. Исп местн бюдж в части доход'!$M$14:$M$36</definedName>
    <definedName name="Криста_Мера_31_0" localSheetId="2">'3. Исп мест бюджета в ч расх'!$M$16:$M$38</definedName>
    <definedName name="Криста_Мера_31_0" localSheetId="3">'4. Учет и отчетность'!$M$17:$M$39</definedName>
    <definedName name="Криста_Мера_31_0" localSheetId="4">'5. Контроль и аудит'!$M$17:$M$39</definedName>
    <definedName name="Криста_Мера_31_0" localSheetId="5">'6. Кадровый потенциал сотруд'!$M$15:$M$37</definedName>
    <definedName name="Криста_Мера_32_0" localSheetId="0">'1. Среднесрочное финансовое пла'!$R$18:$R$40</definedName>
    <definedName name="Криста_Мера_32_0" localSheetId="1">'2. Исп местн бюдж в части доход'!$R$14:$R$36</definedName>
    <definedName name="Криста_Мера_32_0" localSheetId="2">'3. Исп мест бюджета в ч расх'!$R$16:$R$38</definedName>
    <definedName name="Криста_Мера_32_0" localSheetId="3">'4. Учет и отчетность'!$R$17:$R$39</definedName>
    <definedName name="Криста_Мера_32_0" localSheetId="4">'5. Контроль и аудит'!$R$17:$R$39</definedName>
    <definedName name="Криста_Мера_32_0" localSheetId="5">'6. Кадровый потенциал сотруд'!$R$15:$R$37</definedName>
    <definedName name="Криста_Мера_33_0" localSheetId="0">'1. Среднесрочное финансовое пла'!$S$18:$S$40</definedName>
    <definedName name="Криста_Мера_33_0" localSheetId="1">'2. Исп местн бюдж в части доход'!$S$14:$S$36</definedName>
    <definedName name="Криста_Мера_33_0" localSheetId="2">'3. Исп мест бюджета в ч расх'!$S$16:$S$38</definedName>
    <definedName name="Криста_Мера_33_0" localSheetId="3">'4. Учет и отчетность'!$S$17:$S$39</definedName>
    <definedName name="Криста_Мера_33_0" localSheetId="4">'5. Контроль и аудит'!$S$17:$S$39</definedName>
    <definedName name="Криста_Мера_33_0" localSheetId="5">'6. Кадровый потенциал сотруд'!$S$15:$S$37</definedName>
    <definedName name="Криста_Мера_34_0" localSheetId="0">'1. Среднесрочное финансовое пла'!$X$18:$X$40</definedName>
    <definedName name="Криста_Мера_34_0" localSheetId="2">'3. Исп мест бюджета в ч расх'!$X$16:$X$38</definedName>
    <definedName name="Криста_Мера_34_0" localSheetId="3">'4. Учет и отчетность'!$X$17:$X$39</definedName>
    <definedName name="Криста_Мера_34_0" localSheetId="4">'5. Контроль и аудит'!$X$17:$X$39</definedName>
    <definedName name="Криста_Мера_34_0" localSheetId="5">'6. Кадровый потенциал сотруд'!$X$15:$X$37</definedName>
    <definedName name="Криста_Мера_35_0" localSheetId="0">'1. Среднесрочное финансовое пла'!$Y$18:$Y$40</definedName>
    <definedName name="Криста_Мера_35_0" localSheetId="2">'3. Исп мест бюджета в ч расх'!$Y$16:$Y$38</definedName>
    <definedName name="Криста_Мера_35_0" localSheetId="3">'4. Учет и отчетность'!$Y$17:$Y$39</definedName>
    <definedName name="Криста_Мера_35_0" localSheetId="4">'5. Контроль и аудит'!$Y$17:$Y$39</definedName>
    <definedName name="Криста_Мера_35_0" localSheetId="5">'6. Кадровый потенциал сотруд'!$Y$15:$Y$37</definedName>
    <definedName name="Криста_Мера_36_0" localSheetId="0">'1. Среднесрочное финансовое пла'!$AD$18:$AD$40</definedName>
    <definedName name="Криста_Мера_36_0" localSheetId="2">'3. Исп мест бюджета в ч расх'!$AD$16:$AD$38</definedName>
    <definedName name="Криста_Мера_36_0" localSheetId="3">'4. Учет и отчетность'!$AD$17:$AD$39</definedName>
    <definedName name="Криста_Мера_36_0" localSheetId="4">'5. Контроль и аудит'!$AD$17:$AD$39</definedName>
    <definedName name="Криста_Мера_37_0" localSheetId="0">'1. Среднесрочное финансовое пла'!$AE$18:$AE$40</definedName>
    <definedName name="Криста_Мера_37_0" localSheetId="2">'3. Исп мест бюджета в ч расх'!$AE$16:$AE$38</definedName>
    <definedName name="Криста_Мера_37_0" localSheetId="3">'4. Учет и отчетность'!$AE$17:$AE$39</definedName>
    <definedName name="Криста_Мера_37_0" localSheetId="4">'5. Контроль и аудит'!$AE$17:$AE$39</definedName>
    <definedName name="Криста_Мера_38_0" localSheetId="0">'1. Среднесрочное финансовое пла'!$AJ$18:$AJ$40</definedName>
    <definedName name="Криста_Мера_38_0" localSheetId="4">'5. Контроль и аудит'!$AJ$17:$AJ$39</definedName>
    <definedName name="Криста_Мера_39_0" localSheetId="0">'1. Среднесрочное финансовое пла'!$AK$18:$AK$40</definedName>
    <definedName name="Криста_Мера_39_0" localSheetId="4">'5. Контроль и аудит'!$AK$17:$AK$39</definedName>
    <definedName name="Криста_Мера_40_0" localSheetId="0">'1. Среднесрочное финансовое пла'!$AP$18:$AP$40</definedName>
    <definedName name="Криста_Мера_41_0" localSheetId="0">'1. Среднесрочное финансовое пла'!$AQ$18:$AQ$40</definedName>
    <definedName name="Криста_Мера_44_0" localSheetId="0">'1. Среднесрочное финансовое пла'!$E$18:$E$40</definedName>
    <definedName name="Криста_Мера_44_0" localSheetId="1">'2. Исп местн бюдж в части доход'!$E$14:$E$36</definedName>
    <definedName name="Криста_Мера_44_0" localSheetId="2">'3. Исп мест бюджета в ч расх'!$E$16:$E$38</definedName>
    <definedName name="Криста_Мера_44_0" localSheetId="3">'4. Учет и отчетность'!$E$17:$E$39</definedName>
    <definedName name="Криста_Мера_44_0" localSheetId="4">'5. Контроль и аудит'!$E$17:$E$39</definedName>
    <definedName name="Криста_Мера_44_0" localSheetId="5">'6. Кадровый потенциал сотруд'!$E$15:$E$37</definedName>
    <definedName name="Криста_Мера_45_0" localSheetId="0">'1. Среднесрочное финансовое пла'!$K$18:$K$40</definedName>
    <definedName name="Криста_Мера_45_0" localSheetId="1">'2. Исп местн бюдж в части доход'!$K$14:$K$36</definedName>
    <definedName name="Криста_Мера_45_0" localSheetId="2">'3. Исп мест бюджета в ч расх'!$K$16:$K$38</definedName>
    <definedName name="Криста_Мера_45_0" localSheetId="3">'4. Учет и отчетность'!$K$17:$K$39</definedName>
    <definedName name="Криста_Мера_45_0" localSheetId="4">'5. Контроль и аудит'!$K$17:$K$39</definedName>
    <definedName name="Криста_Мера_45_0" localSheetId="5">'6. Кадровый потенциал сотруд'!$K$15:$K$37</definedName>
    <definedName name="Криста_Мера_46_0" localSheetId="0">'1. Среднесрочное финансовое пла'!$Q$18:$Q$40</definedName>
    <definedName name="Криста_Мера_46_0" localSheetId="1">'2. Исп местн бюдж в части доход'!$Q$14:$Q$36</definedName>
    <definedName name="Криста_Мера_46_0" localSheetId="2">'3. Исп мест бюджета в ч расх'!$Q$16:$Q$38</definedName>
    <definedName name="Криста_Мера_46_0" localSheetId="3">'4. Учет и отчетность'!$Q$17:$Q$39</definedName>
    <definedName name="Криста_Мера_46_0" localSheetId="4">'5. Контроль и аудит'!$Q$17:$Q$39</definedName>
    <definedName name="Криста_Мера_46_0" localSheetId="5">'6. Кадровый потенциал сотруд'!$Q$15:$Q$37</definedName>
    <definedName name="Криста_Мера_47_0" localSheetId="0">'1. Среднесрочное финансовое пла'!$W$18:$W$40</definedName>
    <definedName name="Криста_Мера_47_0" localSheetId="2">'3. Исп мест бюджета в ч расх'!$W$16:$W$38</definedName>
    <definedName name="Криста_Мера_47_0" localSheetId="3">'4. Учет и отчетность'!$W$17:$W$39</definedName>
    <definedName name="Криста_Мера_47_0" localSheetId="4">'5. Контроль и аудит'!$W$17:$W$39</definedName>
    <definedName name="Криста_Мера_47_0" localSheetId="5">'6. Кадровый потенциал сотруд'!$W$15:$W$37</definedName>
    <definedName name="Криста_Мера_48_0" localSheetId="0">'1. Среднесрочное финансовое пла'!$AC$18:$AC$40</definedName>
    <definedName name="Криста_Мера_48_0" localSheetId="2">'3. Исп мест бюджета в ч расх'!$AC$16:$AC$38</definedName>
    <definedName name="Криста_Мера_48_0" localSheetId="3">'4. Учет и отчетность'!$AC$17:$AC$39</definedName>
    <definedName name="Криста_Мера_48_0" localSheetId="4">'5. Контроль и аудит'!$AC$17:$AC$39</definedName>
    <definedName name="Криста_Мера_49_0" localSheetId="0">'1. Среднесрочное финансовое пла'!$AI$18:$AI$40</definedName>
    <definedName name="Криста_Мера_49_0" localSheetId="4">'5. Контроль и аудит'!$AI$17:$AI$39</definedName>
    <definedName name="Криста_Мера_50_0" localSheetId="0">'1. Среднесрочное финансовое пла'!$AO$18:$AO$40</definedName>
    <definedName name="Криста_Мера_52_0" localSheetId="0">'1. Среднесрочное финансовое пла'!$F$18:$F$40</definedName>
    <definedName name="Криста_Мера_52_0" localSheetId="3">'4. Учет и отчетность'!$AI$17:$AI$39</definedName>
    <definedName name="Криста_Мера_53_0" localSheetId="3">'4. Учет и отчетность'!$AJ$17:$AJ$39</definedName>
    <definedName name="Криста_Мера_54_0" localSheetId="3">'4. Учет и отчетность'!$AK$17:$AK$39</definedName>
    <definedName name="Криста_Результат_11_0" localSheetId="6">Итог!$P$17:$P$39</definedName>
    <definedName name="Криста_Результат_2_0" localSheetId="6">Итог!$D$17:$D$39</definedName>
    <definedName name="Криста_Результат_30_0" localSheetId="6">Итог!$C$17:$C$39</definedName>
    <definedName name="Криста_Результат_31_0" localSheetId="6">Итог!$V$17:$V$39</definedName>
    <definedName name="Криста_Результат_32_0" localSheetId="6">Итог!$AB$17:$AB$39</definedName>
    <definedName name="Криста_Результат_33_0" localSheetId="6">Итог!$AH$17:$AH$39</definedName>
    <definedName name="Криста_Результат_34_0" localSheetId="6">Итог!$AN$17:$AN$39</definedName>
    <definedName name="Криста_Результат_39_0" localSheetId="0">'1. Среднесрочное финансовое пла'!$D$18:$D$40</definedName>
    <definedName name="Криста_Результат_39_0" localSheetId="1">'2. Исп местн бюдж в части доход'!$D$14:$D$36</definedName>
    <definedName name="Криста_Результат_39_0" localSheetId="2">'3. Исп мест бюджета в ч расх'!$D$16:$D$38</definedName>
    <definedName name="Криста_Результат_39_0" localSheetId="3">'4. Учет и отчетность'!$D$17:$D$39</definedName>
    <definedName name="Криста_Результат_39_0" localSheetId="4">'5. Контроль и аудит'!$D$17:$D$39</definedName>
    <definedName name="Криста_Результат_39_0" localSheetId="5">'6. Кадровый потенциал сотруд'!$D$15:$D$37</definedName>
    <definedName name="Криста_Результат_41_0" localSheetId="0">'1. Среднесрочное финансовое пла'!$J$18:$J$40</definedName>
    <definedName name="Криста_Результат_41_0" localSheetId="1">'2. Исп местн бюдж в части доход'!$J$14:$J$36</definedName>
    <definedName name="Криста_Результат_41_0" localSheetId="2">'3. Исп мест бюджета в ч расх'!$J$16:$J$38</definedName>
    <definedName name="Криста_Результат_41_0" localSheetId="3">'4. Учет и отчетность'!$J$17:$J$39</definedName>
    <definedName name="Криста_Результат_41_0" localSheetId="4">'5. Контроль и аудит'!$J$17:$J$39</definedName>
    <definedName name="Криста_Результат_41_0" localSheetId="5">'6. Кадровый потенциал сотруд'!$J$15:$J$37</definedName>
    <definedName name="Криста_Результат_43_0" localSheetId="0">'1. Среднесрочное финансовое пла'!$P$18:$P$40</definedName>
    <definedName name="Криста_Результат_43_0" localSheetId="1">'2. Исп местн бюдж в части доход'!$P$14:$P$36</definedName>
    <definedName name="Криста_Результат_43_0" localSheetId="2">'3. Исп мест бюджета в ч расх'!$P$16:$P$38</definedName>
    <definedName name="Криста_Результат_43_0" localSheetId="3">'4. Учет и отчетность'!$P$17:$P$39</definedName>
    <definedName name="Криста_Результат_43_0" localSheetId="4">'5. Контроль и аудит'!$P$17:$P$39</definedName>
    <definedName name="Криста_Результат_43_0" localSheetId="5">'6. Кадровый потенциал сотруд'!$P$15:$P$37</definedName>
    <definedName name="Криста_Результат_45_0" localSheetId="0">'1. Среднесрочное финансовое пла'!$V$18:$V$40</definedName>
    <definedName name="Криста_Результат_45_0" localSheetId="1">'2. Исп местн бюдж в части доход'!$V$14:$V$36</definedName>
    <definedName name="Криста_Результат_45_0" localSheetId="2">'3. Исп мест бюджета в ч расх'!$V$16:$V$38</definedName>
    <definedName name="Криста_Результат_45_0" localSheetId="3">'4. Учет и отчетность'!$V$17:$V$39</definedName>
    <definedName name="Криста_Результат_45_0" localSheetId="4">'5. Контроль и аудит'!$V$17:$V$39</definedName>
    <definedName name="Криста_Результат_45_0" localSheetId="5">'6. Кадровый потенциал сотруд'!$V$15:$V$37</definedName>
    <definedName name="Криста_Результат_47_0" localSheetId="0">'1. Среднесрочное финансовое пла'!$AB$18:$AB$40</definedName>
    <definedName name="Криста_Результат_47_0" localSheetId="2">'3. Исп мест бюджета в ч расх'!$AB$16:$AB$38</definedName>
    <definedName name="Криста_Результат_47_0" localSheetId="3">'4. Учет и отчетность'!$AB$17:$AB$39</definedName>
    <definedName name="Криста_Результат_47_0" localSheetId="4">'5. Контроль и аудит'!$AB$17:$AB$39</definedName>
    <definedName name="Криста_Результат_47_0" localSheetId="5">'6. Кадровый потенциал сотруд'!$AB$15:$AB$37</definedName>
    <definedName name="Криста_Результат_49_0" localSheetId="0">'1. Среднесрочное финансовое пла'!$AH$18:$AH$40</definedName>
    <definedName name="Криста_Результат_49_0" localSheetId="2">'3. Исп мест бюджета в ч расх'!$AH$16:$AH$38</definedName>
    <definedName name="Криста_Результат_49_0" localSheetId="3">'4. Учет и отчетность'!$AH$17:$AH$39</definedName>
    <definedName name="Криста_Результат_49_0" localSheetId="4">'5. Контроль и аудит'!$AH$17:$AH$39</definedName>
    <definedName name="Криста_Результат_51_0" localSheetId="0">'1. Среднесрочное финансовое пла'!$AN$18:$AN$40</definedName>
    <definedName name="Криста_Результат_51_0" localSheetId="4">'5. Контроль и аудит'!$AN$17:$AN$39</definedName>
    <definedName name="Криста_Результат_53_0" localSheetId="0">'1. Среднесрочное финансовое пла'!$AT$18:$AT$40</definedName>
    <definedName name="Криста_Результат_57_0" localSheetId="3">'4. Учет и отчетность'!$C$17:$C$39</definedName>
    <definedName name="Криста_Результат_57_0" localSheetId="4">'5. Контроль и аудит'!$C$17:$C$39</definedName>
    <definedName name="Криста_Результат_57_0" localSheetId="5">'6. Кадровый потенциал сотруд'!$C$15:$C$37</definedName>
    <definedName name="Криста_Результат_58_0" localSheetId="0">'1. Среднесрочное финансовое пла'!$C$18:$C$40</definedName>
    <definedName name="Криста_Результат_58_0" localSheetId="1">'2. Исп местн бюдж в части доход'!$C$14:$C$36</definedName>
    <definedName name="Криста_Результат_58_0" localSheetId="2">'3. Исп мест бюджета в ч расх'!$C$16:$C$38</definedName>
    <definedName name="Криста_Результат_58_0" localSheetId="3">'4. Учет и отчетность'!$AN$17:$AN$39</definedName>
    <definedName name="Криста_Результат_8_0" localSheetId="6">Итог!$J$17:$J$39</definedName>
    <definedName name="Криста_Свободный_13_0" localSheetId="6">Итог!$AO$17:$AO$39</definedName>
    <definedName name="Криста_Свободный_14_0" localSheetId="6">Итог!$AP$17:$AP$39</definedName>
    <definedName name="Криста_Свободный_18_0" localSheetId="6">Итог!$AU$17:$AU$39</definedName>
    <definedName name="Криста_Свободный_3_0" localSheetId="6">Итог!$H$17:$H$39</definedName>
    <definedName name="Криста_Свободный_31_0" localSheetId="6">Итог!$G$17:$G$39</definedName>
    <definedName name="Криста_Свободный_31_0" localSheetId="7">Рейтинг!$D$8:$D$30</definedName>
    <definedName name="Криста_Свободный_32_0" localSheetId="6">Итог!$M$17:$M$39</definedName>
    <definedName name="Криста_Свободный_34_0" localSheetId="6">Итог!$S$17:$S$39</definedName>
    <definedName name="Криста_Свободный_35_0" localSheetId="6">Итог!$T$17:$T$39</definedName>
    <definedName name="Криста_Свободный_36_0" localSheetId="6">Итог!$U$17:$U$39</definedName>
    <definedName name="Криста_Свободный_37_0" localSheetId="6">Итог!$Y$17:$Y$39</definedName>
    <definedName name="Криста_Свободный_38_0" localSheetId="6">Итог!$Z$17:$Z$39</definedName>
    <definedName name="Криста_Свободный_39_0" localSheetId="6">Итог!$AA$17:$AA$39</definedName>
    <definedName name="Криста_Свободный_4_0" localSheetId="6">Итог!$I$17:$I$39</definedName>
    <definedName name="Криста_Свободный_40_0" localSheetId="6">Итог!$AE$17:$AE$39</definedName>
    <definedName name="Криста_Свободный_41_0" localSheetId="6">Итог!$AF$17:$AF$39</definedName>
    <definedName name="Криста_Свободный_42_0" localSheetId="6">Итог!$AG$17:$AG$39</definedName>
    <definedName name="Криста_Свободный_43_0" localSheetId="6">Итог!$AK$17:$AK$39</definedName>
    <definedName name="Криста_Свободный_44_0" localSheetId="6">Итог!$AL$17:$AL$39</definedName>
    <definedName name="Криста_Свободный_45_0" localSheetId="6">Итог!$AM$17:$AM$39</definedName>
    <definedName name="Криста_Свободный_46_0" localSheetId="6">Итог!$AQ$17:$AQ$39</definedName>
    <definedName name="Криста_Свободный_47_0" localSheetId="6">Итог!$AR$17:$AR$39</definedName>
    <definedName name="Криста_Свободный_48_0" localSheetId="6">Итог!$AS$17:$AS$39</definedName>
    <definedName name="Криста_Свободный_49_0" localSheetId="6">Итог!$AT$17:$AT$39</definedName>
    <definedName name="Криста_Свободный_5_0" localSheetId="6">Итог!$N$17:$N$39</definedName>
    <definedName name="Криста_Свободный_52_0" localSheetId="0">'1. Среднесрочное финансовое пла'!$H$18:$H$40</definedName>
    <definedName name="Криста_Свободный_52_0" localSheetId="1">'2. Исп местн бюдж в части доход'!$H$14:$H$36</definedName>
    <definedName name="Криста_Свободный_52_0" localSheetId="2">'3. Исп мест бюджета в ч расх'!$H$16:$H$38</definedName>
    <definedName name="Криста_Свободный_52_0" localSheetId="3">'4. Учет и отчетность'!$H$17:$H$39</definedName>
    <definedName name="Криста_Свободный_52_0" localSheetId="4">'5. Контроль и аудит'!$H$17:$H$39</definedName>
    <definedName name="Криста_Свободный_52_0" localSheetId="5">'6. Кадровый потенциал сотруд'!$H$15:$H$37</definedName>
    <definedName name="Криста_Свободный_53_0" localSheetId="0">'1. Среднесрочное финансовое пла'!$I$18:$I$40</definedName>
    <definedName name="Криста_Свободный_53_0" localSheetId="1">'2. Исп местн бюдж в части доход'!$I$14:$I$36</definedName>
    <definedName name="Криста_Свободный_53_0" localSheetId="2">'3. Исп мест бюджета в ч расх'!$I$16:$I$38</definedName>
    <definedName name="Криста_Свободный_53_0" localSheetId="3">'4. Учет и отчетность'!$I$17:$I$39</definedName>
    <definedName name="Криста_Свободный_53_0" localSheetId="4">'5. Контроль и аудит'!$I$17:$I$39</definedName>
    <definedName name="Криста_Свободный_53_0" localSheetId="5">'6. Кадровый потенциал сотруд'!$I$15:$I$37</definedName>
    <definedName name="Криста_Свободный_54_0" localSheetId="0">'1. Среднесрочное финансовое пла'!$N$18:$N$40</definedName>
    <definedName name="Криста_Свободный_54_0" localSheetId="1">'2. Исп местн бюдж в части доход'!$N$14:$N$36</definedName>
    <definedName name="Криста_Свободный_54_0" localSheetId="2">'3. Исп мест бюджета в ч расх'!$N$16:$N$38</definedName>
    <definedName name="Криста_Свободный_54_0" localSheetId="3">'4. Учет и отчетность'!$N$17:$N$39</definedName>
    <definedName name="Криста_Свободный_54_0" localSheetId="4">'5. Контроль и аудит'!$N$17:$N$39</definedName>
    <definedName name="Криста_Свободный_54_0" localSheetId="5">'6. Кадровый потенциал сотруд'!$N$15:$N$37</definedName>
    <definedName name="Криста_Свободный_55_0" localSheetId="0">'1. Среднесрочное финансовое пла'!$O$18:$O$40</definedName>
    <definedName name="Криста_Свободный_55_0" localSheetId="1">'2. Исп местн бюдж в части доход'!$O$14:$O$36</definedName>
    <definedName name="Криста_Свободный_55_0" localSheetId="2">'3. Исп мест бюджета в ч расх'!$O$16:$O$38</definedName>
    <definedName name="Криста_Свободный_55_0" localSheetId="3">'4. Учет и отчетность'!$O$17:$O$39</definedName>
    <definedName name="Криста_Свободный_55_0" localSheetId="4">'5. Контроль и аудит'!$O$17:$O$39</definedName>
    <definedName name="Криста_Свободный_55_0" localSheetId="5">'6. Кадровый потенциал сотруд'!$O$15:$O$37</definedName>
    <definedName name="Криста_Свободный_56_0" localSheetId="0">'1. Среднесрочное финансовое пла'!$T$18:$T$40</definedName>
    <definedName name="Криста_Свободный_56_0" localSheetId="1">'2. Исп местн бюдж в части доход'!$T$14:$T$36</definedName>
    <definedName name="Криста_Свободный_56_0" localSheetId="2">'3. Исп мест бюджета в ч расх'!$T$16:$T$38</definedName>
    <definedName name="Криста_Свободный_56_0" localSheetId="3">'4. Учет и отчетность'!$T$17:$T$39</definedName>
    <definedName name="Криста_Свободный_56_0" localSheetId="4">'5. Контроль и аудит'!$T$17:$T$39</definedName>
    <definedName name="Криста_Свободный_56_0" localSheetId="5">'6. Кадровый потенциал сотруд'!$T$15:$T$37</definedName>
    <definedName name="Криста_Свободный_57_0" localSheetId="0">'1. Среднесрочное финансовое пла'!$U$18:$U$40</definedName>
    <definedName name="Криста_Свободный_57_0" localSheetId="1">'2. Исп местн бюдж в части доход'!$U$14:$U$36</definedName>
    <definedName name="Криста_Свободный_57_0" localSheetId="2">'3. Исп мест бюджета в ч расх'!$U$16:$U$38</definedName>
    <definedName name="Криста_Свободный_57_0" localSheetId="3">'4. Учет и отчетность'!$U$17:$U$39</definedName>
    <definedName name="Криста_Свободный_57_0" localSheetId="4">'5. Контроль и аудит'!$U$17:$U$39</definedName>
    <definedName name="Криста_Свободный_57_0" localSheetId="5">'6. Кадровый потенциал сотруд'!$U$15:$U$37</definedName>
    <definedName name="Криста_Свободный_58_0" localSheetId="0">'1. Среднесрочное финансовое пла'!$Z$18:$Z$40</definedName>
    <definedName name="Криста_Свободный_58_0" localSheetId="2">'3. Исп мест бюджета в ч расх'!$Z$16:$Z$38</definedName>
    <definedName name="Криста_Свободный_58_0" localSheetId="3">'4. Учет и отчетность'!$Z$17:$Z$39</definedName>
    <definedName name="Криста_Свободный_58_0" localSheetId="4">'5. Контроль и аудит'!$Z$17:$Z$39</definedName>
    <definedName name="Криста_Свободный_58_0" localSheetId="5">'6. Кадровый потенциал сотруд'!$Z$15:$Z$37</definedName>
    <definedName name="Криста_Свободный_59_0" localSheetId="0">'1. Среднесрочное финансовое пла'!$AA$18:$AA$40</definedName>
    <definedName name="Криста_Свободный_59_0" localSheetId="2">'3. Исп мест бюджета в ч расх'!$AA$16:$AA$38</definedName>
    <definedName name="Криста_Свободный_59_0" localSheetId="3">'4. Учет и отчетность'!$AA$17:$AA$39</definedName>
    <definedName name="Криста_Свободный_59_0" localSheetId="4">'5. Контроль и аудит'!$AA$17:$AA$39</definedName>
    <definedName name="Криста_Свободный_59_0" localSheetId="5">'6. Кадровый потенциал сотруд'!$AA$15:$AA$37</definedName>
    <definedName name="Криста_Свободный_6_0" localSheetId="6">Итог!$O$17:$O$39</definedName>
    <definedName name="Криста_Свободный_60_0" localSheetId="0">'1. Среднесрочное финансовое пла'!$AF$18:$AF$40</definedName>
    <definedName name="Криста_Свободный_60_0" localSheetId="2">'3. Исп мест бюджета в ч расх'!$AF$16:$AF$38</definedName>
    <definedName name="Криста_Свободный_60_0" localSheetId="3">'4. Учет и отчетность'!$AF$17:$AF$39</definedName>
    <definedName name="Криста_Свободный_60_0" localSheetId="4">'5. Контроль и аудит'!$AF$17:$AF$39</definedName>
    <definedName name="Криста_Свободный_61_0" localSheetId="0">'1. Среднесрочное финансовое пла'!$AG$18:$AG$40</definedName>
    <definedName name="Криста_Свободный_61_0" localSheetId="2">'3. Исп мест бюджета в ч расх'!$AG$16:$AG$38</definedName>
    <definedName name="Криста_Свободный_61_0" localSheetId="3">'4. Учет и отчетность'!$AG$17:$AG$39</definedName>
    <definedName name="Криста_Свободный_61_0" localSheetId="4">'5. Контроль и аудит'!$AG$17:$AG$39</definedName>
    <definedName name="Криста_Свободный_62_0" localSheetId="0">'1. Среднесрочное финансовое пла'!$AL$18:$AL$40</definedName>
    <definedName name="Криста_Свободный_62_0" localSheetId="4">'5. Контроль и аудит'!$AL$17:$AL$39</definedName>
    <definedName name="Криста_Свободный_63_0" localSheetId="0">'1. Среднесрочное финансовое пла'!$AM$18:$AM$40</definedName>
    <definedName name="Криста_Свободный_63_0" localSheetId="4">'5. Контроль и аудит'!$AM$17:$AM$39</definedName>
    <definedName name="Криста_Свободный_64_0" localSheetId="0">'1. Среднесрочное финансовое пла'!$AR$18:$AR$40</definedName>
    <definedName name="Криста_Свободный_65_0" localSheetId="0">'1. Среднесрочное финансовое пла'!$AS$18:$AS$40</definedName>
    <definedName name="Криста_Свободный_68_0" localSheetId="0">'1. Среднесрочное финансовое пла'!$AU$18:$AU$40</definedName>
    <definedName name="Криста_Свободный_68_0" localSheetId="1">'2. Исп местн бюдж в части доход'!$W$14:$W$36</definedName>
    <definedName name="Криста_Свободный_68_0" localSheetId="2">'3. Исп мест бюджета в ч расх'!$AI$16:$AI$38</definedName>
    <definedName name="Криста_Свободный_68_0" localSheetId="3">'4. Учет и отчетность'!$AO$17:$AO$39</definedName>
    <definedName name="Криста_Свободный_68_0" localSheetId="4">'5. Контроль и аудит'!$AO$17:$AO$39</definedName>
    <definedName name="Криста_Свободный_68_0" localSheetId="5">'6. Кадровый потенциал сотруд'!$AC$15:$AC$37</definedName>
    <definedName name="Криста_Свободный_69_0" localSheetId="0">'1. Среднесрочное финансовое пла'!$AV$18:$AV$40</definedName>
    <definedName name="Криста_Свободный_69_0" localSheetId="1">'2. Исп местн бюдж в части доход'!$X$14:$X$36</definedName>
    <definedName name="Криста_Свободный_69_0" localSheetId="2">'3. Исп мест бюджета в ч расх'!$AJ$16:$AJ$38</definedName>
    <definedName name="Криста_Свободный_69_0" localSheetId="3">'4. Учет и отчетность'!$AP$17:$AP$39</definedName>
    <definedName name="Криста_Свободный_69_0" localSheetId="4">'5. Контроль и аудит'!$AP$17:$AP$39</definedName>
    <definedName name="Криста_Свободный_69_0" localSheetId="5">'6. Кадровый потенциал сотруд'!$AD$15:$AD$37</definedName>
    <definedName name="Криста_Свободный_70_0" localSheetId="0">'1. Среднесрочное финансовое пла'!$AW$18:$AW$40</definedName>
    <definedName name="Криста_Свободный_70_0" localSheetId="1">'2. Исп местн бюдж в части доход'!$Y$14:$Y$36</definedName>
    <definedName name="Криста_Свободный_70_0" localSheetId="2">'3. Исп мест бюджета в ч расх'!$AK$16:$AK$38</definedName>
    <definedName name="Криста_Свободный_70_0" localSheetId="3">'4. Учет и отчетность'!$AQ$17:$AQ$39</definedName>
    <definedName name="Криста_Свободный_70_0" localSheetId="4">'5. Контроль и аудит'!$AQ$17:$AQ$39</definedName>
    <definedName name="Криста_Свободный_70_0" localSheetId="5">'6. Кадровый потенциал сотруд'!$AE$15:$AE$37</definedName>
    <definedName name="Криста_Свободный_71_0" localSheetId="0">'1. Среднесрочное финансовое пла'!$AX$18:$AX$40</definedName>
    <definedName name="Криста_Свободный_71_0" localSheetId="2">'3. Исп мест бюджета в ч расх'!$AL$16:$AL$38</definedName>
    <definedName name="Криста_Свободный_71_0" localSheetId="3">'4. Учет и отчетность'!$AR$17:$AR$39</definedName>
    <definedName name="Криста_Свободный_71_0" localSheetId="4">'5. Контроль и аудит'!$AR$17:$AR$39</definedName>
    <definedName name="Криста_Свободный_71_0" localSheetId="5">'6. Кадровый потенциал сотруд'!$AF$15:$AF$37</definedName>
    <definedName name="Криста_Свободный_72_0" localSheetId="0">'1. Среднесрочное финансовое пла'!$AY$18:$AY$40</definedName>
    <definedName name="Криста_Свободный_72_0" localSheetId="2">'3. Исп мест бюджета в ч расх'!$AM$16:$AM$38</definedName>
    <definedName name="Криста_Свободный_72_0" localSheetId="3">'4. Учет и отчетность'!$AS$17:$AS$39</definedName>
    <definedName name="Криста_Свободный_72_0" localSheetId="4">'5. Контроль и аудит'!$AS$17:$AS$39</definedName>
    <definedName name="Криста_Свободный_73_0" localSheetId="0">'1. Среднесрочное финансовое пла'!$AZ$18:$AZ$40</definedName>
    <definedName name="Криста_Свободный_73_0" localSheetId="4">'5. Контроль и аудит'!$AT$17:$AT$39</definedName>
    <definedName name="Криста_Свободный_74_0" localSheetId="0">'1. Среднесрочное финансовое пла'!$BA$18:$BA$40</definedName>
    <definedName name="Криста_Свободный_76_0" localSheetId="0">'1. Среднесрочное финансовое пла'!$BB$18:$BB$40</definedName>
    <definedName name="Криста_Свободный_76_0" localSheetId="1">'2. Исп местн бюдж в части доход'!$Z$14:$Z$36</definedName>
    <definedName name="Криста_Свободный_76_0" localSheetId="2">'3. Исп мест бюджета в ч расх'!$AN$16:$AN$38</definedName>
    <definedName name="Криста_Свободный_76_0" localSheetId="3">'4. Учет и отчетность'!$AU$17:$AU$39</definedName>
    <definedName name="Криста_Свободный_76_0" localSheetId="4">'5. Контроль и аудит'!$AU$17:$AU$39</definedName>
    <definedName name="Криста_Свободный_76_0" localSheetId="5">'6. Кадровый потенциал сотруд'!$AG$15:$AG$37</definedName>
    <definedName name="Криста_Свободный_77_0" localSheetId="0">'1. Среднесрочное финансовое пла'!$G$18:$G$40</definedName>
    <definedName name="Криста_Свободный_77_0" localSheetId="3">'4. Учет и отчетность'!$AL$17:$AL$39</definedName>
    <definedName name="Криста_Свободный_78_0" localSheetId="3">'4. Учет и отчетность'!$AM$17:$AM$39</definedName>
    <definedName name="Криста_Свободный_79_0" localSheetId="3">'4. Учет и отчетность'!$AT$17:$AT$39</definedName>
    <definedName name="Криста_Таблица" localSheetId="0">'1. Среднесрочное финансовое пла'!$A$17:$BB$40</definedName>
    <definedName name="Криста_Таблица" localSheetId="1">'2. Исп местн бюдж в части доход'!$A$12:$Z$36</definedName>
    <definedName name="Криста_Таблица" localSheetId="2">'3. Исп мест бюджета в ч расх'!$A$14:$AN$38</definedName>
    <definedName name="Криста_Таблица" localSheetId="3">'4. Учет и отчетность'!$A$15:$AU$39</definedName>
    <definedName name="Криста_Таблица" localSheetId="4">'5. Контроль и аудит'!$A$15:$AU$39</definedName>
    <definedName name="Криста_Таблица" localSheetId="5">'6. Кадровый потенциал сотруд'!$A$13:$AG$37</definedName>
    <definedName name="Криста_Таблица" localSheetId="6">Итог!$A$16:$AU$39</definedName>
    <definedName name="Криста_Таблица" localSheetId="7">Рейтинг!$A$7:$D$30</definedName>
    <definedName name="_xlnm.Print_Area" localSheetId="7">Рейтинг!$A$1:$D$29</definedName>
    <definedName name="ОбластьИмпорта" localSheetId="0">'1. Среднесрочное финансовое пла'!$C$18:$BB$40</definedName>
    <definedName name="ОбластьИмпорта" localSheetId="1">'2. Исп местн бюдж в части доход'!$C$14:$Z$36</definedName>
    <definedName name="ОбластьИмпорта" localSheetId="2">'3. Исп мест бюджета в ч расх'!$C$16:$AN$38</definedName>
    <definedName name="ОбластьИмпорта" localSheetId="3">'4. Учет и отчетность'!$C$17:$AU$39</definedName>
    <definedName name="ОбластьИмпорта" localSheetId="4">'5. Контроль и аудит'!$C$17:$AU$39</definedName>
    <definedName name="ОбластьИмпорта" localSheetId="5">'6. Кадровый потенциал сотруд'!$C$15:$AG$37</definedName>
    <definedName name="ОбластьИмпорта" localSheetId="6">Итог!$C$17:$AU$39</definedName>
    <definedName name="ОбластьИмпорта" localSheetId="7">Рейтинг!$C$8:$D$30</definedName>
  </definedNames>
  <calcPr calcId="152511"/>
</workbook>
</file>

<file path=xl/calcChain.xml><?xml version="1.0" encoding="utf-8"?>
<calcChain xmlns="http://schemas.openxmlformats.org/spreadsheetml/2006/main">
  <c r="D23" i="89" l="1"/>
  <c r="D21" i="89"/>
  <c r="D19" i="89"/>
  <c r="D24" i="89"/>
  <c r="D22" i="89"/>
  <c r="D26" i="89"/>
  <c r="D29" i="89"/>
  <c r="D28" i="89"/>
  <c r="D14" i="89"/>
  <c r="D12" i="89"/>
  <c r="D16" i="89"/>
  <c r="D20" i="89"/>
  <c r="D18" i="89"/>
  <c r="D25" i="89"/>
  <c r="D27" i="89"/>
  <c r="D15" i="89"/>
  <c r="D13" i="89"/>
  <c r="D17" i="89"/>
  <c r="D9" i="89"/>
  <c r="D30" i="89"/>
  <c r="D10" i="89"/>
  <c r="D11" i="89"/>
  <c r="D8" i="89"/>
  <c r="AT39" i="82"/>
  <c r="AT38" i="82"/>
  <c r="AT37" i="82"/>
  <c r="AT36" i="82"/>
  <c r="AT35" i="82"/>
  <c r="AT34" i="82"/>
  <c r="AT33" i="82"/>
  <c r="AT32" i="82"/>
  <c r="AT31" i="82"/>
  <c r="AT30" i="82"/>
  <c r="AT29" i="82"/>
  <c r="AT28" i="82"/>
  <c r="AT27" i="82"/>
  <c r="AT26" i="82"/>
  <c r="AT25" i="82"/>
  <c r="AT24" i="82"/>
  <c r="AT23" i="82"/>
  <c r="AT22" i="82"/>
  <c r="AT21" i="82"/>
  <c r="AT20" i="82"/>
  <c r="AT19" i="82"/>
  <c r="AT18" i="82"/>
  <c r="AT17" i="82"/>
  <c r="AS39" i="82"/>
  <c r="AS38" i="82"/>
  <c r="AS37" i="82"/>
  <c r="AS36" i="82"/>
  <c r="AS35" i="82"/>
  <c r="AS34" i="82"/>
  <c r="AS33" i="82"/>
  <c r="AS32" i="82"/>
  <c r="AS31" i="82"/>
  <c r="AS30" i="82"/>
  <c r="AS29" i="82"/>
  <c r="AS28" i="82"/>
  <c r="AS27" i="82"/>
  <c r="AS26" i="82"/>
  <c r="AS25" i="82"/>
  <c r="AS24" i="82"/>
  <c r="AS23" i="82"/>
  <c r="AS22" i="82"/>
  <c r="AS21" i="82"/>
  <c r="AS20" i="82"/>
  <c r="AS19" i="82"/>
  <c r="AS18" i="82"/>
  <c r="AS17" i="82"/>
  <c r="AR39" i="82"/>
  <c r="AR38" i="82"/>
  <c r="AR37" i="82"/>
  <c r="AR36" i="82"/>
  <c r="AR35" i="82"/>
  <c r="AR34" i="82"/>
  <c r="AR33" i="82"/>
  <c r="AR32" i="82"/>
  <c r="AR31" i="82"/>
  <c r="AR30" i="82"/>
  <c r="AR29" i="82"/>
  <c r="AR28" i="82"/>
  <c r="AR27" i="82"/>
  <c r="AR26" i="82"/>
  <c r="AR25" i="82"/>
  <c r="AR24" i="82"/>
  <c r="AR23" i="82"/>
  <c r="AR22" i="82"/>
  <c r="AR21" i="82"/>
  <c r="AR20" i="82"/>
  <c r="AR19" i="82"/>
  <c r="AR18" i="82"/>
  <c r="AR17" i="82"/>
  <c r="AQ39" i="82"/>
  <c r="AQ38" i="82"/>
  <c r="AQ37" i="82"/>
  <c r="AQ36" i="82"/>
  <c r="AQ35" i="82"/>
  <c r="AQ34" i="82"/>
  <c r="AQ33" i="82"/>
  <c r="AQ32" i="82"/>
  <c r="AQ31" i="82"/>
  <c r="AQ30" i="82"/>
  <c r="AQ29" i="82"/>
  <c r="AQ28" i="82"/>
  <c r="AQ27" i="82"/>
  <c r="AQ26" i="82"/>
  <c r="AQ25" i="82"/>
  <c r="AQ24" i="82"/>
  <c r="AQ23" i="82"/>
  <c r="AQ22" i="82"/>
  <c r="AQ21" i="82"/>
  <c r="AQ20" i="82"/>
  <c r="AQ19" i="82"/>
  <c r="AQ18" i="82"/>
  <c r="AQ17" i="82"/>
  <c r="AP39" i="82"/>
  <c r="AP38" i="82"/>
  <c r="AP37" i="82"/>
  <c r="AP36" i="82"/>
  <c r="AP35" i="82"/>
  <c r="AP34" i="82"/>
  <c r="AP33" i="82"/>
  <c r="AP32" i="82"/>
  <c r="AP31" i="82"/>
  <c r="AP30" i="82"/>
  <c r="AP29" i="82"/>
  <c r="AP28" i="82"/>
  <c r="AP27" i="82"/>
  <c r="AP26" i="82"/>
  <c r="AP25" i="82"/>
  <c r="AP24" i="82"/>
  <c r="AP23" i="82"/>
  <c r="AP22" i="82"/>
  <c r="AP21" i="82"/>
  <c r="AP20" i="82"/>
  <c r="AP19" i="82"/>
  <c r="AP18" i="82"/>
  <c r="AP17" i="82"/>
  <c r="AO39" i="82"/>
  <c r="AO38" i="82"/>
  <c r="AO37" i="82"/>
  <c r="AO36" i="82"/>
  <c r="AO35" i="82"/>
  <c r="AO34" i="82"/>
  <c r="AO33" i="82"/>
  <c r="AO32" i="82"/>
  <c r="AO31" i="82"/>
  <c r="AO30" i="82"/>
  <c r="AO29" i="82"/>
  <c r="AO28" i="82"/>
  <c r="AO27" i="82"/>
  <c r="AO26" i="82"/>
  <c r="AO25" i="82"/>
  <c r="AO24" i="82"/>
  <c r="AO23" i="82"/>
  <c r="AO22" i="82"/>
  <c r="AO21" i="82"/>
  <c r="AO20" i="82"/>
  <c r="AO19" i="82"/>
  <c r="AO18" i="82"/>
  <c r="AO17" i="82"/>
  <c r="AK39" i="82"/>
  <c r="AK38" i="82"/>
  <c r="AK37" i="82"/>
  <c r="AK36" i="82"/>
  <c r="AK35" i="82"/>
  <c r="AK34" i="82"/>
  <c r="AK33" i="82"/>
  <c r="AK32" i="82"/>
  <c r="AK31" i="82"/>
  <c r="AK30" i="82"/>
  <c r="AK29" i="82"/>
  <c r="AK28" i="82"/>
  <c r="AK27" i="82"/>
  <c r="AK26" i="82"/>
  <c r="AK25" i="82"/>
  <c r="AK24" i="82"/>
  <c r="AK23" i="82"/>
  <c r="AK22" i="82"/>
  <c r="AK21" i="82"/>
  <c r="AK20" i="82"/>
  <c r="AK19" i="82"/>
  <c r="AK18" i="82"/>
  <c r="AK17" i="82"/>
  <c r="AE39" i="82"/>
  <c r="AE38" i="82"/>
  <c r="AE37" i="82"/>
  <c r="AE36" i="82"/>
  <c r="AE35" i="82"/>
  <c r="AE34" i="82"/>
  <c r="AE33" i="82"/>
  <c r="AE32" i="82"/>
  <c r="AE31" i="82"/>
  <c r="AE30" i="82"/>
  <c r="AE29" i="82"/>
  <c r="AE28" i="82"/>
  <c r="AE27" i="82"/>
  <c r="AE26" i="82"/>
  <c r="AE25" i="82"/>
  <c r="AE24" i="82"/>
  <c r="AE23" i="82"/>
  <c r="AE22" i="82"/>
  <c r="AE21" i="82"/>
  <c r="AE20" i="82"/>
  <c r="AE19" i="82"/>
  <c r="AE18" i="82"/>
  <c r="AE17" i="82"/>
  <c r="Y39" i="82"/>
  <c r="Y38" i="82"/>
  <c r="Y37" i="82"/>
  <c r="Y36" i="82"/>
  <c r="Y35" i="82"/>
  <c r="Y34" i="82"/>
  <c r="Y33" i="82"/>
  <c r="Y32" i="82"/>
  <c r="Y31" i="82"/>
  <c r="Y30" i="82"/>
  <c r="Y29" i="82"/>
  <c r="Y28" i="82"/>
  <c r="Y27" i="82"/>
  <c r="Y26" i="82"/>
  <c r="Y25" i="82"/>
  <c r="Y24" i="82"/>
  <c r="Y23" i="82"/>
  <c r="Y22" i="82"/>
  <c r="Y21" i="82"/>
  <c r="Y20" i="82"/>
  <c r="Y19" i="82"/>
  <c r="Y18" i="82"/>
  <c r="Y17" i="82"/>
  <c r="S39" i="82"/>
  <c r="S38" i="82"/>
  <c r="S37" i="82"/>
  <c r="S36" i="82"/>
  <c r="S35" i="82"/>
  <c r="S34" i="82"/>
  <c r="S33" i="82"/>
  <c r="S32" i="82"/>
  <c r="S31" i="82"/>
  <c r="S30" i="82"/>
  <c r="S29" i="82"/>
  <c r="S28" i="82"/>
  <c r="S27" i="82"/>
  <c r="S26" i="82"/>
  <c r="S25" i="82"/>
  <c r="S24" i="82"/>
  <c r="S23" i="82"/>
  <c r="S22" i="82"/>
  <c r="S21" i="82"/>
  <c r="S20" i="82"/>
  <c r="S19" i="82"/>
  <c r="S18" i="82"/>
  <c r="S17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G39" i="82"/>
  <c r="G38" i="82"/>
  <c r="G37" i="82"/>
  <c r="G36" i="82"/>
  <c r="G35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D39" i="82"/>
  <c r="D38" i="82"/>
  <c r="D37" i="82"/>
  <c r="D36" i="82"/>
  <c r="D35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AF37" i="93"/>
  <c r="AF36" i="93"/>
  <c r="AF35" i="93"/>
  <c r="AF34" i="93"/>
  <c r="AF33" i="93"/>
  <c r="AF32" i="93"/>
  <c r="AF31" i="93"/>
  <c r="AF30" i="93"/>
  <c r="AF29" i="93"/>
  <c r="AF28" i="93"/>
  <c r="AF27" i="93"/>
  <c r="AF26" i="93"/>
  <c r="AF25" i="93"/>
  <c r="AF24" i="93"/>
  <c r="AF23" i="93"/>
  <c r="AF22" i="93"/>
  <c r="AF21" i="93"/>
  <c r="AF20" i="93"/>
  <c r="AF19" i="93"/>
  <c r="AF18" i="93"/>
  <c r="AF17" i="93"/>
  <c r="AF16" i="93"/>
  <c r="AF15" i="93"/>
  <c r="AE37" i="93"/>
  <c r="AE36" i="93"/>
  <c r="AE35" i="93"/>
  <c r="AE34" i="93"/>
  <c r="AE33" i="93"/>
  <c r="AE32" i="93"/>
  <c r="AE31" i="93"/>
  <c r="AE30" i="93"/>
  <c r="AE29" i="93"/>
  <c r="AE28" i="93"/>
  <c r="AE27" i="93"/>
  <c r="AE26" i="93"/>
  <c r="AE25" i="93"/>
  <c r="AE24" i="93"/>
  <c r="AE23" i="93"/>
  <c r="AE22" i="93"/>
  <c r="AE21" i="93"/>
  <c r="AE20" i="93"/>
  <c r="AE19" i="93"/>
  <c r="AE18" i="93"/>
  <c r="AE17" i="93"/>
  <c r="AE16" i="93"/>
  <c r="AE15" i="93"/>
  <c r="AD37" i="93"/>
  <c r="AD36" i="93"/>
  <c r="AD35" i="93"/>
  <c r="AD34" i="93"/>
  <c r="AD33" i="93"/>
  <c r="AD32" i="93"/>
  <c r="AD31" i="93"/>
  <c r="AD30" i="93"/>
  <c r="AD29" i="93"/>
  <c r="AD28" i="93"/>
  <c r="AD27" i="93"/>
  <c r="AD26" i="93"/>
  <c r="AD25" i="93"/>
  <c r="AD24" i="93"/>
  <c r="AD23" i="93"/>
  <c r="AD22" i="93"/>
  <c r="AD21" i="93"/>
  <c r="AD20" i="93"/>
  <c r="AD19" i="93"/>
  <c r="AD18" i="93"/>
  <c r="AD17" i="93"/>
  <c r="AD16" i="93"/>
  <c r="AD15" i="93"/>
  <c r="AC37" i="93"/>
  <c r="AC36" i="93"/>
  <c r="AC35" i="93"/>
  <c r="AC34" i="93"/>
  <c r="AC33" i="93"/>
  <c r="AC32" i="93"/>
  <c r="AC31" i="93"/>
  <c r="AC30" i="93"/>
  <c r="AC29" i="93"/>
  <c r="AC28" i="93"/>
  <c r="AC27" i="93"/>
  <c r="AC26" i="93"/>
  <c r="AC25" i="93"/>
  <c r="AC24" i="93"/>
  <c r="AC23" i="93"/>
  <c r="AC22" i="93"/>
  <c r="AC21" i="93"/>
  <c r="AC20" i="93"/>
  <c r="AC19" i="93"/>
  <c r="AC18" i="93"/>
  <c r="AC17" i="93"/>
  <c r="AC16" i="93"/>
  <c r="AC15" i="93"/>
  <c r="D37" i="93"/>
  <c r="D36" i="93"/>
  <c r="D35" i="93"/>
  <c r="D34" i="93"/>
  <c r="D33" i="93"/>
  <c r="D32" i="93"/>
  <c r="D31" i="93"/>
  <c r="D30" i="93"/>
  <c r="D29" i="93"/>
  <c r="D28" i="93"/>
  <c r="D27" i="93"/>
  <c r="D26" i="93"/>
  <c r="D25" i="93"/>
  <c r="D24" i="93"/>
  <c r="D23" i="93"/>
  <c r="D22" i="93"/>
  <c r="D21" i="93"/>
  <c r="D20" i="93"/>
  <c r="D19" i="93"/>
  <c r="D18" i="93"/>
  <c r="D17" i="93"/>
  <c r="D16" i="93"/>
  <c r="D15" i="93"/>
  <c r="AT39" i="92"/>
  <c r="AT38" i="92"/>
  <c r="AT37" i="92"/>
  <c r="AT36" i="92"/>
  <c r="AT35" i="92"/>
  <c r="AT34" i="92"/>
  <c r="AT33" i="92"/>
  <c r="AT32" i="92"/>
  <c r="AT31" i="92"/>
  <c r="AT30" i="92"/>
  <c r="AT29" i="92"/>
  <c r="AT28" i="92"/>
  <c r="AT27" i="92"/>
  <c r="AT26" i="92"/>
  <c r="AT25" i="92"/>
  <c r="AT24" i="92"/>
  <c r="AT23" i="92"/>
  <c r="AT22" i="92"/>
  <c r="AT21" i="92"/>
  <c r="AT20" i="92"/>
  <c r="AT19" i="92"/>
  <c r="AT18" i="92"/>
  <c r="AT17" i="92"/>
  <c r="AS39" i="92"/>
  <c r="AS38" i="92"/>
  <c r="AS37" i="92"/>
  <c r="AS36" i="92"/>
  <c r="AS35" i="92"/>
  <c r="AS34" i="92"/>
  <c r="AS33" i="92"/>
  <c r="AS32" i="92"/>
  <c r="AS31" i="92"/>
  <c r="AS30" i="92"/>
  <c r="AS29" i="92"/>
  <c r="AS28" i="92"/>
  <c r="AS27" i="92"/>
  <c r="AS26" i="92"/>
  <c r="AS25" i="92"/>
  <c r="AS24" i="92"/>
  <c r="AS23" i="92"/>
  <c r="AS22" i="92"/>
  <c r="AS21" i="92"/>
  <c r="AS20" i="92"/>
  <c r="AS19" i="92"/>
  <c r="AS18" i="92"/>
  <c r="AS17" i="92"/>
  <c r="AR39" i="92"/>
  <c r="AR38" i="92"/>
  <c r="AR37" i="92"/>
  <c r="AR36" i="92"/>
  <c r="AR35" i="92"/>
  <c r="AR34" i="92"/>
  <c r="AR33" i="92"/>
  <c r="AR32" i="92"/>
  <c r="AR31" i="92"/>
  <c r="AR30" i="92"/>
  <c r="AR29" i="92"/>
  <c r="AR28" i="92"/>
  <c r="AR27" i="92"/>
  <c r="AR26" i="92"/>
  <c r="AR25" i="92"/>
  <c r="AR24" i="92"/>
  <c r="AR23" i="92"/>
  <c r="AR22" i="92"/>
  <c r="AR21" i="92"/>
  <c r="AR20" i="92"/>
  <c r="AR19" i="92"/>
  <c r="AR18" i="92"/>
  <c r="AR17" i="92"/>
  <c r="AQ39" i="92"/>
  <c r="AQ38" i="92"/>
  <c r="AQ37" i="92"/>
  <c r="AQ36" i="92"/>
  <c r="AQ35" i="92"/>
  <c r="AQ34" i="92"/>
  <c r="AQ33" i="92"/>
  <c r="AQ32" i="92"/>
  <c r="AQ31" i="92"/>
  <c r="AQ30" i="92"/>
  <c r="AQ29" i="92"/>
  <c r="AQ28" i="92"/>
  <c r="AQ27" i="92"/>
  <c r="AQ26" i="92"/>
  <c r="AQ25" i="92"/>
  <c r="AQ24" i="92"/>
  <c r="AQ23" i="92"/>
  <c r="AQ22" i="92"/>
  <c r="AQ21" i="92"/>
  <c r="AQ20" i="92"/>
  <c r="AQ19" i="92"/>
  <c r="AQ18" i="92"/>
  <c r="AQ17" i="92"/>
  <c r="AP39" i="92"/>
  <c r="AP38" i="92"/>
  <c r="AP37" i="92"/>
  <c r="AP36" i="92"/>
  <c r="AP35" i="92"/>
  <c r="AP34" i="92"/>
  <c r="AP33" i="92"/>
  <c r="AP32" i="92"/>
  <c r="AP31" i="92"/>
  <c r="AP30" i="92"/>
  <c r="AP29" i="92"/>
  <c r="AP28" i="92"/>
  <c r="AP27" i="92"/>
  <c r="AP26" i="92"/>
  <c r="AP25" i="92"/>
  <c r="AP24" i="92"/>
  <c r="AP23" i="92"/>
  <c r="AP22" i="92"/>
  <c r="AP21" i="92"/>
  <c r="AP20" i="92"/>
  <c r="AP19" i="92"/>
  <c r="AP18" i="92"/>
  <c r="AP17" i="92"/>
  <c r="AO39" i="92"/>
  <c r="AO38" i="92"/>
  <c r="AO37" i="92"/>
  <c r="AO36" i="92"/>
  <c r="AO35" i="92"/>
  <c r="AO34" i="92"/>
  <c r="AO33" i="92"/>
  <c r="AO32" i="92"/>
  <c r="AO31" i="92"/>
  <c r="AO30" i="92"/>
  <c r="AO29" i="92"/>
  <c r="AO28" i="92"/>
  <c r="AO27" i="92"/>
  <c r="AO26" i="92"/>
  <c r="AO25" i="92"/>
  <c r="AO24" i="92"/>
  <c r="AO23" i="92"/>
  <c r="AO22" i="92"/>
  <c r="AO21" i="92"/>
  <c r="AO20" i="92"/>
  <c r="AO19" i="92"/>
  <c r="AO18" i="92"/>
  <c r="AO17" i="92"/>
  <c r="N21" i="92"/>
  <c r="O21" i="92" s="1"/>
  <c r="P21" i="92" s="1"/>
  <c r="N19" i="92"/>
  <c r="O19" i="92" s="1"/>
  <c r="P19" i="92" s="1"/>
  <c r="N17" i="92"/>
  <c r="O17" i="92" s="1"/>
  <c r="P17" i="92" s="1"/>
  <c r="D39" i="92"/>
  <c r="D38" i="92"/>
  <c r="D37" i="92"/>
  <c r="D36" i="92"/>
  <c r="D35" i="92"/>
  <c r="D34" i="92"/>
  <c r="D33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AT39" i="96"/>
  <c r="AT38" i="96"/>
  <c r="AT37" i="96"/>
  <c r="AT36" i="96"/>
  <c r="AT35" i="96"/>
  <c r="AT34" i="96"/>
  <c r="AT33" i="96"/>
  <c r="AT32" i="96"/>
  <c r="AT31" i="96"/>
  <c r="AT30" i="96"/>
  <c r="AT29" i="96"/>
  <c r="AT28" i="96"/>
  <c r="AT27" i="96"/>
  <c r="AT26" i="96"/>
  <c r="AT25" i="96"/>
  <c r="AT24" i="96"/>
  <c r="AT23" i="96"/>
  <c r="AT22" i="96"/>
  <c r="AT21" i="96"/>
  <c r="AT20" i="96"/>
  <c r="AT19" i="96"/>
  <c r="AT18" i="96"/>
  <c r="AT17" i="96"/>
  <c r="AS39" i="96"/>
  <c r="AS38" i="96"/>
  <c r="AS37" i="96"/>
  <c r="AS36" i="96"/>
  <c r="AS35" i="96"/>
  <c r="AS34" i="96"/>
  <c r="AS33" i="96"/>
  <c r="AS32" i="96"/>
  <c r="AS31" i="96"/>
  <c r="AS30" i="96"/>
  <c r="AS29" i="96"/>
  <c r="AS28" i="96"/>
  <c r="AS27" i="96"/>
  <c r="AS26" i="96"/>
  <c r="AS25" i="96"/>
  <c r="AS24" i="96"/>
  <c r="AS23" i="96"/>
  <c r="AS22" i="96"/>
  <c r="AS21" i="96"/>
  <c r="AS20" i="96"/>
  <c r="AS19" i="96"/>
  <c r="AS18" i="96"/>
  <c r="AS17" i="96"/>
  <c r="AR39" i="96"/>
  <c r="AR38" i="96"/>
  <c r="AR37" i="96"/>
  <c r="AR36" i="96"/>
  <c r="AR35" i="96"/>
  <c r="AR34" i="96"/>
  <c r="AR33" i="96"/>
  <c r="AR32" i="96"/>
  <c r="AR31" i="96"/>
  <c r="AR30" i="96"/>
  <c r="AR29" i="96"/>
  <c r="AR28" i="96"/>
  <c r="AR27" i="96"/>
  <c r="AR26" i="96"/>
  <c r="AR25" i="96"/>
  <c r="AR24" i="96"/>
  <c r="AR23" i="96"/>
  <c r="AR22" i="96"/>
  <c r="AR21" i="96"/>
  <c r="AR20" i="96"/>
  <c r="AR19" i="96"/>
  <c r="AR18" i="96"/>
  <c r="AR17" i="96"/>
  <c r="AQ39" i="96"/>
  <c r="AQ38" i="96"/>
  <c r="AQ37" i="96"/>
  <c r="AQ36" i="96"/>
  <c r="AQ35" i="96"/>
  <c r="AQ34" i="96"/>
  <c r="AQ33" i="96"/>
  <c r="AQ32" i="96"/>
  <c r="AQ31" i="96"/>
  <c r="AQ30" i="96"/>
  <c r="AQ29" i="96"/>
  <c r="AQ28" i="96"/>
  <c r="AQ27" i="96"/>
  <c r="AQ26" i="96"/>
  <c r="AQ25" i="96"/>
  <c r="AQ24" i="96"/>
  <c r="AQ23" i="96"/>
  <c r="AQ22" i="96"/>
  <c r="AQ21" i="96"/>
  <c r="AQ20" i="96"/>
  <c r="AQ19" i="96"/>
  <c r="AQ18" i="96"/>
  <c r="AQ17" i="96"/>
  <c r="AP39" i="96"/>
  <c r="AP38" i="96"/>
  <c r="AP37" i="96"/>
  <c r="AP36" i="96"/>
  <c r="AP35" i="96"/>
  <c r="AP34" i="96"/>
  <c r="AP33" i="96"/>
  <c r="AP32" i="96"/>
  <c r="AP31" i="96"/>
  <c r="AP30" i="96"/>
  <c r="AP29" i="96"/>
  <c r="AP28" i="96"/>
  <c r="AP27" i="96"/>
  <c r="AP26" i="96"/>
  <c r="AP25" i="96"/>
  <c r="AP24" i="96"/>
  <c r="AP23" i="96"/>
  <c r="AP22" i="96"/>
  <c r="AP21" i="96"/>
  <c r="AP20" i="96"/>
  <c r="AP19" i="96"/>
  <c r="AP18" i="96"/>
  <c r="AP17" i="96"/>
  <c r="AO39" i="96"/>
  <c r="AO38" i="96"/>
  <c r="AO37" i="96"/>
  <c r="AO36" i="96"/>
  <c r="AO35" i="96"/>
  <c r="AO34" i="96"/>
  <c r="AO33" i="96"/>
  <c r="AO32" i="96"/>
  <c r="AO31" i="96"/>
  <c r="AO30" i="96"/>
  <c r="AO29" i="96"/>
  <c r="AO28" i="96"/>
  <c r="AO27" i="96"/>
  <c r="AO26" i="96"/>
  <c r="AO25" i="96"/>
  <c r="AO24" i="96"/>
  <c r="AO23" i="96"/>
  <c r="AO22" i="96"/>
  <c r="AO21" i="96"/>
  <c r="AO20" i="96"/>
  <c r="AO19" i="96"/>
  <c r="AO18" i="96"/>
  <c r="AO17" i="96"/>
  <c r="D39" i="96"/>
  <c r="D38" i="96"/>
  <c r="D37" i="96"/>
  <c r="D36" i="96"/>
  <c r="D35" i="96"/>
  <c r="D34" i="96"/>
  <c r="D33" i="96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AM38" i="90"/>
  <c r="AM37" i="90"/>
  <c r="AM36" i="90"/>
  <c r="AM35" i="90"/>
  <c r="AM34" i="90"/>
  <c r="AM33" i="90"/>
  <c r="AM32" i="90"/>
  <c r="AM31" i="90"/>
  <c r="AM30" i="90"/>
  <c r="AM29" i="90"/>
  <c r="AM28" i="90"/>
  <c r="AM27" i="90"/>
  <c r="AM26" i="90"/>
  <c r="AM25" i="90"/>
  <c r="AM24" i="90"/>
  <c r="AM23" i="90"/>
  <c r="AM22" i="90"/>
  <c r="AM21" i="90"/>
  <c r="AM20" i="90"/>
  <c r="AM19" i="90"/>
  <c r="AM18" i="90"/>
  <c r="AM17" i="90"/>
  <c r="AM16" i="90"/>
  <c r="AL38" i="90"/>
  <c r="AL37" i="90"/>
  <c r="AL36" i="90"/>
  <c r="AL35" i="90"/>
  <c r="AL34" i="90"/>
  <c r="AL33" i="90"/>
  <c r="AL32" i="90"/>
  <c r="AL31" i="90"/>
  <c r="AL30" i="90"/>
  <c r="AL29" i="90"/>
  <c r="AL28" i="90"/>
  <c r="AL27" i="90"/>
  <c r="AL26" i="90"/>
  <c r="AL25" i="90"/>
  <c r="AL24" i="90"/>
  <c r="AL23" i="90"/>
  <c r="AL22" i="90"/>
  <c r="AL21" i="90"/>
  <c r="AL20" i="90"/>
  <c r="AL19" i="90"/>
  <c r="AL18" i="90"/>
  <c r="AL17" i="90"/>
  <c r="AL16" i="90"/>
  <c r="AK38" i="90"/>
  <c r="AK37" i="90"/>
  <c r="AK36" i="90"/>
  <c r="AK35" i="90"/>
  <c r="AK34" i="90"/>
  <c r="AK33" i="90"/>
  <c r="AK32" i="90"/>
  <c r="AK31" i="90"/>
  <c r="AK30" i="90"/>
  <c r="AK29" i="90"/>
  <c r="AK28" i="90"/>
  <c r="AK27" i="90"/>
  <c r="AK26" i="90"/>
  <c r="AK25" i="90"/>
  <c r="AK24" i="90"/>
  <c r="AK23" i="90"/>
  <c r="AK22" i="90"/>
  <c r="AK21" i="90"/>
  <c r="AK20" i="90"/>
  <c r="AK19" i="90"/>
  <c r="AK18" i="90"/>
  <c r="AK17" i="90"/>
  <c r="AK16" i="90"/>
  <c r="AJ38" i="90"/>
  <c r="AJ37" i="90"/>
  <c r="AJ36" i="90"/>
  <c r="AJ35" i="90"/>
  <c r="AJ34" i="90"/>
  <c r="AJ33" i="90"/>
  <c r="AJ32" i="90"/>
  <c r="AJ31" i="90"/>
  <c r="AJ30" i="90"/>
  <c r="AJ29" i="90"/>
  <c r="AJ28" i="90"/>
  <c r="AJ27" i="90"/>
  <c r="AJ26" i="90"/>
  <c r="AJ25" i="90"/>
  <c r="AJ24" i="90"/>
  <c r="AJ23" i="90"/>
  <c r="AJ22" i="90"/>
  <c r="AJ21" i="90"/>
  <c r="AJ20" i="90"/>
  <c r="AJ19" i="90"/>
  <c r="AJ18" i="90"/>
  <c r="AJ17" i="90"/>
  <c r="AJ16" i="90"/>
  <c r="AI38" i="90"/>
  <c r="AI37" i="90"/>
  <c r="AI36" i="90"/>
  <c r="AI35" i="90"/>
  <c r="AN35" i="90" s="1"/>
  <c r="H35" i="90" s="1"/>
  <c r="I35" i="90" s="1"/>
  <c r="J35" i="90" s="1"/>
  <c r="AI34" i="90"/>
  <c r="AI33" i="90"/>
  <c r="AI32" i="90"/>
  <c r="AI31" i="90"/>
  <c r="AI30" i="90"/>
  <c r="AI29" i="90"/>
  <c r="AI28" i="90"/>
  <c r="AI27" i="90"/>
  <c r="AI26" i="90"/>
  <c r="AI25" i="90"/>
  <c r="AI24" i="90"/>
  <c r="AI23" i="90"/>
  <c r="AI22" i="90"/>
  <c r="AI21" i="90"/>
  <c r="AI20" i="90"/>
  <c r="AI19" i="90"/>
  <c r="AI18" i="90"/>
  <c r="AI17" i="90"/>
  <c r="AI16" i="90"/>
  <c r="T20" i="90"/>
  <c r="U20" i="90" s="1"/>
  <c r="V20" i="90" s="1"/>
  <c r="T19" i="90"/>
  <c r="U19" i="90" s="1"/>
  <c r="V19" i="90" s="1"/>
  <c r="T18" i="90"/>
  <c r="U18" i="90" s="1"/>
  <c r="V18" i="90" s="1"/>
  <c r="T16" i="90"/>
  <c r="U16" i="90" s="1"/>
  <c r="V16" i="90" s="1"/>
  <c r="D38" i="90"/>
  <c r="D37" i="90"/>
  <c r="D36" i="90"/>
  <c r="D35" i="90"/>
  <c r="D34" i="90"/>
  <c r="D33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Y36" i="94"/>
  <c r="Y35" i="94"/>
  <c r="Y34" i="94"/>
  <c r="Y33" i="94"/>
  <c r="Y32" i="94"/>
  <c r="Y31" i="94"/>
  <c r="Y30" i="94"/>
  <c r="Y29" i="94"/>
  <c r="Y28" i="94"/>
  <c r="Y27" i="94"/>
  <c r="Y26" i="94"/>
  <c r="Y25" i="94"/>
  <c r="Y24" i="94"/>
  <c r="Y23" i="94"/>
  <c r="Y22" i="94"/>
  <c r="Y21" i="94"/>
  <c r="Y20" i="94"/>
  <c r="Y19" i="94"/>
  <c r="Y18" i="94"/>
  <c r="Y17" i="94"/>
  <c r="Y16" i="94"/>
  <c r="Y15" i="94"/>
  <c r="Y14" i="94"/>
  <c r="X36" i="94"/>
  <c r="X35" i="94"/>
  <c r="X34" i="94"/>
  <c r="X33" i="94"/>
  <c r="X32" i="94"/>
  <c r="X31" i="94"/>
  <c r="X30" i="94"/>
  <c r="X29" i="94"/>
  <c r="X28" i="94"/>
  <c r="X27" i="94"/>
  <c r="X26" i="94"/>
  <c r="X25" i="94"/>
  <c r="X24" i="94"/>
  <c r="X23" i="94"/>
  <c r="X22" i="94"/>
  <c r="X21" i="94"/>
  <c r="X20" i="94"/>
  <c r="X19" i="94"/>
  <c r="X18" i="94"/>
  <c r="X17" i="94"/>
  <c r="X16" i="94"/>
  <c r="X15" i="94"/>
  <c r="X14" i="94"/>
  <c r="W36" i="94"/>
  <c r="W35" i="94"/>
  <c r="W34" i="94"/>
  <c r="W33" i="94"/>
  <c r="W32" i="94"/>
  <c r="W31" i="94"/>
  <c r="W30" i="94"/>
  <c r="W29" i="94"/>
  <c r="W28" i="94"/>
  <c r="W27" i="94"/>
  <c r="W26" i="94"/>
  <c r="W25" i="94"/>
  <c r="W24" i="94"/>
  <c r="W23" i="94"/>
  <c r="Z23" i="94" s="1"/>
  <c r="H23" i="94" s="1"/>
  <c r="I23" i="94" s="1"/>
  <c r="J23" i="94" s="1"/>
  <c r="W22" i="94"/>
  <c r="W21" i="94"/>
  <c r="W20" i="94"/>
  <c r="W19" i="94"/>
  <c r="Z19" i="94" s="1"/>
  <c r="H19" i="94" s="1"/>
  <c r="I19" i="94" s="1"/>
  <c r="J19" i="94" s="1"/>
  <c r="W18" i="94"/>
  <c r="W17" i="94"/>
  <c r="W16" i="94"/>
  <c r="W15" i="94"/>
  <c r="Z15" i="94" s="1"/>
  <c r="H15" i="94" s="1"/>
  <c r="I15" i="94" s="1"/>
  <c r="J15" i="94" s="1"/>
  <c r="W14" i="94"/>
  <c r="T36" i="94"/>
  <c r="U36" i="94" s="1"/>
  <c r="V36" i="94" s="1"/>
  <c r="T34" i="94"/>
  <c r="U34" i="94" s="1"/>
  <c r="V34" i="94" s="1"/>
  <c r="T33" i="94"/>
  <c r="U33" i="94" s="1"/>
  <c r="V33" i="94" s="1"/>
  <c r="T32" i="94"/>
  <c r="U32" i="94" s="1"/>
  <c r="V32" i="94" s="1"/>
  <c r="T31" i="94"/>
  <c r="U31" i="94" s="1"/>
  <c r="V31" i="94" s="1"/>
  <c r="T30" i="94"/>
  <c r="U30" i="94" s="1"/>
  <c r="V30" i="94" s="1"/>
  <c r="T29" i="94"/>
  <c r="U29" i="94" s="1"/>
  <c r="V29" i="94" s="1"/>
  <c r="T24" i="94"/>
  <c r="U24" i="94" s="1"/>
  <c r="V24" i="94" s="1"/>
  <c r="T23" i="94"/>
  <c r="U23" i="94" s="1"/>
  <c r="V23" i="94" s="1"/>
  <c r="T22" i="94"/>
  <c r="U22" i="94" s="1"/>
  <c r="V22" i="94" s="1"/>
  <c r="T21" i="94"/>
  <c r="U21" i="94" s="1"/>
  <c r="V21" i="94" s="1"/>
  <c r="T19" i="94"/>
  <c r="U19" i="94" s="1"/>
  <c r="V19" i="94" s="1"/>
  <c r="T18" i="94"/>
  <c r="U18" i="94" s="1"/>
  <c r="V18" i="94" s="1"/>
  <c r="T17" i="94"/>
  <c r="U17" i="94" s="1"/>
  <c r="V17" i="94" s="1"/>
  <c r="T14" i="94"/>
  <c r="U14" i="94" s="1"/>
  <c r="V14" i="94" s="1"/>
  <c r="N18" i="94"/>
  <c r="O18" i="94" s="1"/>
  <c r="P18" i="94" s="1"/>
  <c r="N16" i="94"/>
  <c r="O16" i="94" s="1"/>
  <c r="P16" i="94" s="1"/>
  <c r="N14" i="94"/>
  <c r="O14" i="94" s="1"/>
  <c r="P14" i="94" s="1"/>
  <c r="D36" i="94"/>
  <c r="D35" i="94"/>
  <c r="D34" i="94"/>
  <c r="D33" i="94"/>
  <c r="D32" i="94"/>
  <c r="D31" i="94"/>
  <c r="D30" i="94"/>
  <c r="D29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BA40" i="88"/>
  <c r="BA39" i="88"/>
  <c r="BA38" i="88"/>
  <c r="BA37" i="88"/>
  <c r="BA36" i="88"/>
  <c r="BA35" i="88"/>
  <c r="BA34" i="88"/>
  <c r="BA33" i="88"/>
  <c r="BA32" i="88"/>
  <c r="BA31" i="88"/>
  <c r="BA30" i="88"/>
  <c r="BA29" i="88"/>
  <c r="BA28" i="88"/>
  <c r="BA27" i="88"/>
  <c r="BA26" i="88"/>
  <c r="BA25" i="88"/>
  <c r="BA24" i="88"/>
  <c r="BA23" i="88"/>
  <c r="BA22" i="88"/>
  <c r="BA21" i="88"/>
  <c r="BA20" i="88"/>
  <c r="BA19" i="88"/>
  <c r="BA18" i="88"/>
  <c r="AZ40" i="88"/>
  <c r="AZ39" i="88"/>
  <c r="AZ38" i="88"/>
  <c r="AZ37" i="88"/>
  <c r="AZ36" i="88"/>
  <c r="AZ35" i="88"/>
  <c r="AZ34" i="88"/>
  <c r="AZ33" i="88"/>
  <c r="AZ32" i="88"/>
  <c r="AZ31" i="88"/>
  <c r="AZ30" i="88"/>
  <c r="AZ29" i="88"/>
  <c r="AZ28" i="88"/>
  <c r="AZ27" i="88"/>
  <c r="AZ26" i="88"/>
  <c r="AZ25" i="88"/>
  <c r="AZ24" i="88"/>
  <c r="AZ23" i="88"/>
  <c r="AZ22" i="88"/>
  <c r="AZ21" i="88"/>
  <c r="AZ20" i="88"/>
  <c r="AZ19" i="88"/>
  <c r="AZ18" i="88"/>
  <c r="AY40" i="88"/>
  <c r="AY39" i="88"/>
  <c r="AY38" i="88"/>
  <c r="AY37" i="88"/>
  <c r="AY36" i="88"/>
  <c r="AY35" i="88"/>
  <c r="AY34" i="88"/>
  <c r="AY33" i="88"/>
  <c r="AY32" i="88"/>
  <c r="AY31" i="88"/>
  <c r="AY30" i="88"/>
  <c r="AY29" i="88"/>
  <c r="AY28" i="88"/>
  <c r="AY27" i="88"/>
  <c r="AY26" i="88"/>
  <c r="AY25" i="88"/>
  <c r="AY24" i="88"/>
  <c r="AY23" i="88"/>
  <c r="AY22" i="88"/>
  <c r="AY21" i="88"/>
  <c r="AY20" i="88"/>
  <c r="AY19" i="88"/>
  <c r="AY18" i="88"/>
  <c r="AX40" i="88"/>
  <c r="AX39" i="88"/>
  <c r="AX38" i="88"/>
  <c r="AX37" i="88"/>
  <c r="AX36" i="88"/>
  <c r="AX35" i="88"/>
  <c r="AX34" i="88"/>
  <c r="AX33" i="88"/>
  <c r="AX32" i="88"/>
  <c r="AX31" i="88"/>
  <c r="AX30" i="88"/>
  <c r="AX29" i="88"/>
  <c r="AX28" i="88"/>
  <c r="AX27" i="88"/>
  <c r="AX26" i="88"/>
  <c r="AX25" i="88"/>
  <c r="AX24" i="88"/>
  <c r="AX23" i="88"/>
  <c r="AX22" i="88"/>
  <c r="AX21" i="88"/>
  <c r="AX20" i="88"/>
  <c r="AX19" i="88"/>
  <c r="AX18" i="88"/>
  <c r="AW40" i="88"/>
  <c r="AW39" i="88"/>
  <c r="AW38" i="88"/>
  <c r="AW37" i="88"/>
  <c r="AW36" i="88"/>
  <c r="AW35" i="88"/>
  <c r="AW34" i="88"/>
  <c r="AW33" i="88"/>
  <c r="AW32" i="88"/>
  <c r="AW31" i="88"/>
  <c r="AW30" i="88"/>
  <c r="AW29" i="88"/>
  <c r="AW28" i="88"/>
  <c r="AW27" i="88"/>
  <c r="AW26" i="88"/>
  <c r="AW25" i="88"/>
  <c r="AW24" i="88"/>
  <c r="AW23" i="88"/>
  <c r="AW22" i="88"/>
  <c r="AW21" i="88"/>
  <c r="AW20" i="88"/>
  <c r="AW19" i="88"/>
  <c r="AW18" i="88"/>
  <c r="AV40" i="88"/>
  <c r="AV39" i="88"/>
  <c r="AV38" i="88"/>
  <c r="AV37" i="88"/>
  <c r="AV36" i="88"/>
  <c r="AV35" i="88"/>
  <c r="AV34" i="88"/>
  <c r="AV33" i="88"/>
  <c r="AV32" i="88"/>
  <c r="AV31" i="88"/>
  <c r="AV30" i="88"/>
  <c r="AV29" i="88"/>
  <c r="AV28" i="88"/>
  <c r="AV27" i="88"/>
  <c r="AV26" i="88"/>
  <c r="AV25" i="88"/>
  <c r="AV24" i="88"/>
  <c r="AV23" i="88"/>
  <c r="AV22" i="88"/>
  <c r="AV21" i="88"/>
  <c r="AV20" i="88"/>
  <c r="AV19" i="88"/>
  <c r="AV18" i="88"/>
  <c r="AU40" i="88"/>
  <c r="AU39" i="88"/>
  <c r="AU38" i="88"/>
  <c r="AU37" i="88"/>
  <c r="AU36" i="88"/>
  <c r="AU35" i="88"/>
  <c r="AU34" i="88"/>
  <c r="AU33" i="88"/>
  <c r="AU32" i="88"/>
  <c r="AU31" i="88"/>
  <c r="AU30" i="88"/>
  <c r="AU29" i="88"/>
  <c r="AU28" i="88"/>
  <c r="AU27" i="88"/>
  <c r="AU26" i="88"/>
  <c r="AU25" i="88"/>
  <c r="AU24" i="88"/>
  <c r="AU23" i="88"/>
  <c r="AU22" i="88"/>
  <c r="AU21" i="88"/>
  <c r="AU20" i="88"/>
  <c r="AU19" i="88"/>
  <c r="AU18" i="88"/>
  <c r="AF40" i="88"/>
  <c r="AG40" i="88" s="1"/>
  <c r="AH40" i="88" s="1"/>
  <c r="AF39" i="88"/>
  <c r="AG39" i="88" s="1"/>
  <c r="AH39" i="88" s="1"/>
  <c r="AF38" i="88"/>
  <c r="AG38" i="88" s="1"/>
  <c r="AH38" i="88" s="1"/>
  <c r="AF37" i="88"/>
  <c r="AG37" i="88" s="1"/>
  <c r="AH37" i="88" s="1"/>
  <c r="AF36" i="88"/>
  <c r="AG36" i="88" s="1"/>
  <c r="AH36" i="88" s="1"/>
  <c r="AF35" i="88"/>
  <c r="AG35" i="88" s="1"/>
  <c r="AH35" i="88" s="1"/>
  <c r="AF34" i="88"/>
  <c r="AG34" i="88" s="1"/>
  <c r="AH34" i="88" s="1"/>
  <c r="AF33" i="88"/>
  <c r="AG33" i="88" s="1"/>
  <c r="AH33" i="88" s="1"/>
  <c r="AF32" i="88"/>
  <c r="AG32" i="88" s="1"/>
  <c r="AH32" i="88" s="1"/>
  <c r="AF31" i="88"/>
  <c r="AG31" i="88" s="1"/>
  <c r="AH31" i="88" s="1"/>
  <c r="AF30" i="88"/>
  <c r="AG30" i="88" s="1"/>
  <c r="AH30" i="88" s="1"/>
  <c r="AF29" i="88"/>
  <c r="AG29" i="88" s="1"/>
  <c r="AH29" i="88" s="1"/>
  <c r="AF28" i="88"/>
  <c r="AG28" i="88" s="1"/>
  <c r="AH28" i="88" s="1"/>
  <c r="AF27" i="88"/>
  <c r="AG27" i="88" s="1"/>
  <c r="AH27" i="88" s="1"/>
  <c r="AF26" i="88"/>
  <c r="AG26" i="88" s="1"/>
  <c r="AH26" i="88" s="1"/>
  <c r="AF25" i="88"/>
  <c r="AG25" i="88" s="1"/>
  <c r="AH25" i="88" s="1"/>
  <c r="AF24" i="88"/>
  <c r="AG24" i="88" s="1"/>
  <c r="AH24" i="88" s="1"/>
  <c r="AF23" i="88"/>
  <c r="AG23" i="88" s="1"/>
  <c r="AH23" i="88" s="1"/>
  <c r="AF22" i="88"/>
  <c r="AG22" i="88" s="1"/>
  <c r="AH22" i="88" s="1"/>
  <c r="AF21" i="88"/>
  <c r="AG21" i="88" s="1"/>
  <c r="AH21" i="88" s="1"/>
  <c r="AF20" i="88"/>
  <c r="AG20" i="88" s="1"/>
  <c r="AH20" i="88" s="1"/>
  <c r="AF19" i="88"/>
  <c r="AG19" i="88" s="1"/>
  <c r="AH19" i="88" s="1"/>
  <c r="AF18" i="88"/>
  <c r="AG18" i="88" s="1"/>
  <c r="AH18" i="88" s="1"/>
  <c r="Z22" i="88"/>
  <c r="AA22" i="88" s="1"/>
  <c r="AB22" i="88" s="1"/>
  <c r="Z19" i="88"/>
  <c r="AA19" i="88" s="1"/>
  <c r="AB19" i="88" s="1"/>
  <c r="Z18" i="88"/>
  <c r="AA18" i="88" s="1"/>
  <c r="AB18" i="88" s="1"/>
  <c r="D40" i="88"/>
  <c r="D39" i="88"/>
  <c r="D38" i="88"/>
  <c r="D37" i="88"/>
  <c r="D36" i="88"/>
  <c r="D35" i="88"/>
  <c r="D34" i="88"/>
  <c r="D33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AU39" i="82" l="1"/>
  <c r="AL39" i="82"/>
  <c r="AM39" i="82" s="1"/>
  <c r="AN39" i="82" s="1"/>
  <c r="AF39" i="82"/>
  <c r="AG39" i="82" s="1"/>
  <c r="AH39" i="82" s="1"/>
  <c r="Z39" i="82"/>
  <c r="AA39" i="82" s="1"/>
  <c r="AB39" i="82" s="1"/>
  <c r="T39" i="82"/>
  <c r="U39" i="82" s="1"/>
  <c r="V39" i="82" s="1"/>
  <c r="N39" i="82"/>
  <c r="O39" i="82" s="1"/>
  <c r="P39" i="82" s="1"/>
  <c r="H39" i="82"/>
  <c r="I39" i="82" s="1"/>
  <c r="J39" i="82" s="1"/>
  <c r="AU38" i="82"/>
  <c r="T38" i="82" s="1"/>
  <c r="U38" i="82" s="1"/>
  <c r="V38" i="82" s="1"/>
  <c r="AU37" i="82"/>
  <c r="T37" i="82" s="1"/>
  <c r="U37" i="82" s="1"/>
  <c r="V37" i="82" s="1"/>
  <c r="AF37" i="82"/>
  <c r="AG37" i="82" s="1"/>
  <c r="AH37" i="82" s="1"/>
  <c r="AU36" i="82"/>
  <c r="AF36" i="82" s="1"/>
  <c r="AG36" i="82" s="1"/>
  <c r="AH36" i="82" s="1"/>
  <c r="AU35" i="82"/>
  <c r="AL35" i="82" s="1"/>
  <c r="AM35" i="82" s="1"/>
  <c r="AN35" i="82" s="1"/>
  <c r="T35" i="82"/>
  <c r="U35" i="82" s="1"/>
  <c r="V35" i="82" s="1"/>
  <c r="AU34" i="82"/>
  <c r="T34" i="82" s="1"/>
  <c r="U34" i="82" s="1"/>
  <c r="V34" i="82" s="1"/>
  <c r="AU33" i="82"/>
  <c r="AF33" i="82" s="1"/>
  <c r="AG33" i="82" s="1"/>
  <c r="AH33" i="82" s="1"/>
  <c r="AU32" i="82"/>
  <c r="AF32" i="82" s="1"/>
  <c r="AG32" i="82" s="1"/>
  <c r="AH32" i="82" s="1"/>
  <c r="H32" i="82"/>
  <c r="I32" i="82" s="1"/>
  <c r="J32" i="82" s="1"/>
  <c r="Z32" i="82"/>
  <c r="AA32" i="82" s="1"/>
  <c r="AB32" i="82" s="1"/>
  <c r="AU31" i="82"/>
  <c r="AL31" i="82" s="1"/>
  <c r="AM31" i="82" s="1"/>
  <c r="AN31" i="82" s="1"/>
  <c r="AF31" i="82"/>
  <c r="AG31" i="82" s="1"/>
  <c r="AH31" i="82" s="1"/>
  <c r="H31" i="82"/>
  <c r="I31" i="82" s="1"/>
  <c r="J31" i="82" s="1"/>
  <c r="AU30" i="82"/>
  <c r="T30" i="82" s="1"/>
  <c r="U30" i="82" s="1"/>
  <c r="V30" i="82" s="1"/>
  <c r="AU29" i="82"/>
  <c r="AF29" i="82" s="1"/>
  <c r="AG29" i="82" s="1"/>
  <c r="AH29" i="82" s="1"/>
  <c r="AU28" i="82"/>
  <c r="AF28" i="82" s="1"/>
  <c r="AG28" i="82" s="1"/>
  <c r="AH28" i="82" s="1"/>
  <c r="AU27" i="82"/>
  <c r="N27" i="82" s="1"/>
  <c r="O27" i="82" s="1"/>
  <c r="P27" i="82" s="1"/>
  <c r="AU26" i="82"/>
  <c r="AL26" i="82" s="1"/>
  <c r="AM26" i="82" s="1"/>
  <c r="AN26" i="82" s="1"/>
  <c r="AU25" i="82"/>
  <c r="AF25" i="82" s="1"/>
  <c r="AG25" i="82" s="1"/>
  <c r="AH25" i="82" s="1"/>
  <c r="AU24" i="82"/>
  <c r="AF24" i="82" s="1"/>
  <c r="AG24" i="82" s="1"/>
  <c r="AH24" i="82" s="1"/>
  <c r="H24" i="82"/>
  <c r="I24" i="82" s="1"/>
  <c r="J24" i="82" s="1"/>
  <c r="AU23" i="82"/>
  <c r="Z23" i="82" s="1"/>
  <c r="AA23" i="82" s="1"/>
  <c r="AB23" i="82" s="1"/>
  <c r="T23" i="82"/>
  <c r="U23" i="82" s="1"/>
  <c r="V23" i="82" s="1"/>
  <c r="AF23" i="82"/>
  <c r="AG23" i="82" s="1"/>
  <c r="AH23" i="82" s="1"/>
  <c r="AU22" i="82"/>
  <c r="AL22" i="82" s="1"/>
  <c r="AM22" i="82" s="1"/>
  <c r="AN22" i="82" s="1"/>
  <c r="AU21" i="82"/>
  <c r="T21" i="82" s="1"/>
  <c r="U21" i="82" s="1"/>
  <c r="V21" i="82" s="1"/>
  <c r="AU20" i="82"/>
  <c r="Z20" i="82" s="1"/>
  <c r="AA20" i="82" s="1"/>
  <c r="AB20" i="82" s="1"/>
  <c r="AL20" i="82"/>
  <c r="AM20" i="82" s="1"/>
  <c r="AN20" i="82" s="1"/>
  <c r="AU19" i="82"/>
  <c r="Z19" i="82" s="1"/>
  <c r="AA19" i="82" s="1"/>
  <c r="AB19" i="82" s="1"/>
  <c r="N19" i="82"/>
  <c r="O19" i="82" s="1"/>
  <c r="P19" i="82" s="1"/>
  <c r="AU18" i="82"/>
  <c r="AL18" i="82" s="1"/>
  <c r="AM18" i="82" s="1"/>
  <c r="AN18" i="82" s="1"/>
  <c r="AU17" i="82"/>
  <c r="Z17" i="82" s="1"/>
  <c r="AA17" i="82" s="1"/>
  <c r="AB17" i="82" s="1"/>
  <c r="AL17" i="82"/>
  <c r="AM17" i="82" s="1"/>
  <c r="AN17" i="82" s="1"/>
  <c r="N17" i="82"/>
  <c r="O17" i="82" s="1"/>
  <c r="P17" i="82" s="1"/>
  <c r="AF17" i="82"/>
  <c r="AG17" i="82" s="1"/>
  <c r="AH17" i="82" s="1"/>
  <c r="AG37" i="93"/>
  <c r="AG36" i="93"/>
  <c r="AG35" i="93"/>
  <c r="AG34" i="93"/>
  <c r="AG33" i="93"/>
  <c r="AG32" i="93"/>
  <c r="AG31" i="93"/>
  <c r="AG30" i="93"/>
  <c r="AG29" i="93"/>
  <c r="AG28" i="93"/>
  <c r="AG27" i="93"/>
  <c r="AG26" i="93"/>
  <c r="AG25" i="93"/>
  <c r="AG24" i="93"/>
  <c r="AG23" i="93"/>
  <c r="AG22" i="93"/>
  <c r="AG21" i="93"/>
  <c r="AG20" i="93"/>
  <c r="AG19" i="93"/>
  <c r="AG18" i="93"/>
  <c r="AG17" i="93"/>
  <c r="AG16" i="93"/>
  <c r="AG15" i="93"/>
  <c r="AU39" i="92"/>
  <c r="AU38" i="92"/>
  <c r="AU37" i="92"/>
  <c r="AU36" i="92"/>
  <c r="AU35" i="92"/>
  <c r="AU34" i="92"/>
  <c r="AU33" i="92"/>
  <c r="AU32" i="92"/>
  <c r="AU31" i="92"/>
  <c r="AU30" i="92"/>
  <c r="AU29" i="92"/>
  <c r="AU28" i="92"/>
  <c r="AU27" i="92"/>
  <c r="AU26" i="92"/>
  <c r="AU25" i="92"/>
  <c r="AU24" i="92"/>
  <c r="AU23" i="92"/>
  <c r="AU22" i="92"/>
  <c r="AU21" i="92"/>
  <c r="AL21" i="92" s="1"/>
  <c r="AM21" i="92" s="1"/>
  <c r="AN21" i="92" s="1"/>
  <c r="AU20" i="92"/>
  <c r="AU19" i="92"/>
  <c r="AL19" i="92" s="1"/>
  <c r="AM19" i="92" s="1"/>
  <c r="AN19" i="92" s="1"/>
  <c r="AU18" i="92"/>
  <c r="AU17" i="92"/>
  <c r="AL17" i="92" s="1"/>
  <c r="AM17" i="92" s="1"/>
  <c r="AN17" i="92" s="1"/>
  <c r="AU39" i="96"/>
  <c r="AU38" i="96"/>
  <c r="AU37" i="96"/>
  <c r="AU36" i="96"/>
  <c r="AU35" i="96"/>
  <c r="AU34" i="96"/>
  <c r="AU33" i="96"/>
  <c r="AU32" i="96"/>
  <c r="AU31" i="96"/>
  <c r="AU30" i="96"/>
  <c r="AU29" i="96"/>
  <c r="AU28" i="96"/>
  <c r="AU27" i="96"/>
  <c r="AU26" i="96"/>
  <c r="AU25" i="96"/>
  <c r="AU24" i="96"/>
  <c r="AU23" i="96"/>
  <c r="AU22" i="96"/>
  <c r="AU21" i="96"/>
  <c r="AU20" i="96"/>
  <c r="AU19" i="96"/>
  <c r="AU18" i="96"/>
  <c r="AU17" i="96"/>
  <c r="AN33" i="90"/>
  <c r="AN37" i="90"/>
  <c r="H37" i="90" s="1"/>
  <c r="I37" i="90" s="1"/>
  <c r="J37" i="90" s="1"/>
  <c r="AN38" i="90"/>
  <c r="AF38" i="90" s="1"/>
  <c r="AG38" i="90" s="1"/>
  <c r="AH38" i="90" s="1"/>
  <c r="AF37" i="90"/>
  <c r="AG37" i="90" s="1"/>
  <c r="AH37" i="90" s="1"/>
  <c r="T37" i="90"/>
  <c r="U37" i="90" s="1"/>
  <c r="V37" i="90" s="1"/>
  <c r="Z37" i="90"/>
  <c r="AA37" i="90" s="1"/>
  <c r="AB37" i="90" s="1"/>
  <c r="N37" i="90"/>
  <c r="O37" i="90" s="1"/>
  <c r="P37" i="90" s="1"/>
  <c r="AN36" i="90"/>
  <c r="AF35" i="90"/>
  <c r="AG35" i="90" s="1"/>
  <c r="AH35" i="90" s="1"/>
  <c r="Z35" i="90"/>
  <c r="AA35" i="90" s="1"/>
  <c r="AB35" i="90" s="1"/>
  <c r="N35" i="90"/>
  <c r="O35" i="90" s="1"/>
  <c r="P35" i="90" s="1"/>
  <c r="T35" i="90"/>
  <c r="U35" i="90" s="1"/>
  <c r="V35" i="90" s="1"/>
  <c r="AN34" i="90"/>
  <c r="T33" i="90"/>
  <c r="U33" i="90" s="1"/>
  <c r="V33" i="90" s="1"/>
  <c r="N33" i="90"/>
  <c r="O33" i="90" s="1"/>
  <c r="P33" i="90" s="1"/>
  <c r="AN32" i="90"/>
  <c r="AN31" i="90"/>
  <c r="AN30" i="90"/>
  <c r="AN29" i="90"/>
  <c r="N29" i="90"/>
  <c r="O29" i="90" s="1"/>
  <c r="P29" i="90" s="1"/>
  <c r="AN28" i="90"/>
  <c r="AN27" i="90"/>
  <c r="AF27" i="90" s="1"/>
  <c r="AG27" i="90" s="1"/>
  <c r="AH27" i="90" s="1"/>
  <c r="AN26" i="90"/>
  <c r="AN25" i="90"/>
  <c r="AN24" i="90"/>
  <c r="AF24" i="90" s="1"/>
  <c r="AG24" i="90" s="1"/>
  <c r="AH24" i="90" s="1"/>
  <c r="AN23" i="90"/>
  <c r="AF23" i="90" s="1"/>
  <c r="AG23" i="90" s="1"/>
  <c r="AH23" i="90" s="1"/>
  <c r="AN22" i="90"/>
  <c r="N22" i="90" s="1"/>
  <c r="O22" i="90" s="1"/>
  <c r="P22" i="90" s="1"/>
  <c r="AN21" i="90"/>
  <c r="AN20" i="90"/>
  <c r="AN19" i="90"/>
  <c r="AF19" i="90" s="1"/>
  <c r="AG19" i="90" s="1"/>
  <c r="AH19" i="90" s="1"/>
  <c r="AN18" i="90"/>
  <c r="N18" i="90" s="1"/>
  <c r="O18" i="90" s="1"/>
  <c r="P18" i="90" s="1"/>
  <c r="AN17" i="90"/>
  <c r="AF17" i="90" s="1"/>
  <c r="AG17" i="90" s="1"/>
  <c r="AH17" i="90" s="1"/>
  <c r="AN16" i="90"/>
  <c r="N15" i="94"/>
  <c r="O15" i="94" s="1"/>
  <c r="P15" i="94" s="1"/>
  <c r="Z21" i="94"/>
  <c r="H21" i="94" s="1"/>
  <c r="I21" i="94" s="1"/>
  <c r="J21" i="94" s="1"/>
  <c r="Z33" i="94"/>
  <c r="H33" i="94" s="1"/>
  <c r="I33" i="94" s="1"/>
  <c r="J33" i="94" s="1"/>
  <c r="N19" i="94"/>
  <c r="O19" i="94" s="1"/>
  <c r="P19" i="94" s="1"/>
  <c r="Z36" i="94"/>
  <c r="H36" i="94" s="1"/>
  <c r="I36" i="94" s="1"/>
  <c r="J36" i="94" s="1"/>
  <c r="Z35" i="94"/>
  <c r="N35" i="94"/>
  <c r="O35" i="94" s="1"/>
  <c r="P35" i="94" s="1"/>
  <c r="Z34" i="94"/>
  <c r="H34" i="94" s="1"/>
  <c r="I34" i="94" s="1"/>
  <c r="J34" i="94" s="1"/>
  <c r="Z32" i="94"/>
  <c r="H32" i="94" s="1"/>
  <c r="I32" i="94" s="1"/>
  <c r="J32" i="94" s="1"/>
  <c r="N32" i="94"/>
  <c r="O32" i="94" s="1"/>
  <c r="P32" i="94" s="1"/>
  <c r="Z31" i="94"/>
  <c r="Z30" i="94"/>
  <c r="N30" i="94" s="1"/>
  <c r="O30" i="94" s="1"/>
  <c r="P30" i="94" s="1"/>
  <c r="Z29" i="94"/>
  <c r="Z28" i="94"/>
  <c r="T28" i="94" s="1"/>
  <c r="U28" i="94" s="1"/>
  <c r="V28" i="94" s="1"/>
  <c r="Z27" i="94"/>
  <c r="T27" i="94" s="1"/>
  <c r="U27" i="94" s="1"/>
  <c r="V27" i="94" s="1"/>
  <c r="Z26" i="94"/>
  <c r="T26" i="94" s="1"/>
  <c r="U26" i="94" s="1"/>
  <c r="V26" i="94" s="1"/>
  <c r="Z25" i="94"/>
  <c r="N25" i="94"/>
  <c r="O25" i="94" s="1"/>
  <c r="P25" i="94" s="1"/>
  <c r="Z24" i="94"/>
  <c r="H24" i="94" s="1"/>
  <c r="I24" i="94" s="1"/>
  <c r="J24" i="94" s="1"/>
  <c r="N23" i="94"/>
  <c r="O23" i="94" s="1"/>
  <c r="P23" i="94" s="1"/>
  <c r="C23" i="94" s="1"/>
  <c r="Z22" i="94"/>
  <c r="H22" i="94" s="1"/>
  <c r="I22" i="94" s="1"/>
  <c r="J22" i="94" s="1"/>
  <c r="N21" i="94"/>
  <c r="O21" i="94" s="1"/>
  <c r="P21" i="94" s="1"/>
  <c r="C21" i="94" s="1"/>
  <c r="Z20" i="94"/>
  <c r="T20" i="94" s="1"/>
  <c r="U20" i="94" s="1"/>
  <c r="V20" i="94" s="1"/>
  <c r="C19" i="94"/>
  <c r="Z18" i="94"/>
  <c r="H18" i="94" s="1"/>
  <c r="I18" i="94" s="1"/>
  <c r="J18" i="94" s="1"/>
  <c r="C18" i="94" s="1"/>
  <c r="Z17" i="94"/>
  <c r="Z16" i="94"/>
  <c r="T15" i="94"/>
  <c r="U15" i="94" s="1"/>
  <c r="V15" i="94" s="1"/>
  <c r="C15" i="94" s="1"/>
  <c r="Z14" i="94"/>
  <c r="H14" i="94" s="1"/>
  <c r="I14" i="94" s="1"/>
  <c r="J14" i="94" s="1"/>
  <c r="C14" i="94" s="1"/>
  <c r="BB40" i="88"/>
  <c r="N40" i="88"/>
  <c r="O40" i="88" s="1"/>
  <c r="P40" i="88" s="1"/>
  <c r="H40" i="88"/>
  <c r="I40" i="88" s="1"/>
  <c r="J40" i="88" s="1"/>
  <c r="G40" i="88"/>
  <c r="BB39" i="88"/>
  <c r="AR39" i="88" s="1"/>
  <c r="AS39" i="88" s="1"/>
  <c r="AT39" i="88" s="1"/>
  <c r="G39" i="88"/>
  <c r="BB38" i="88"/>
  <c r="N38" i="88"/>
  <c r="O38" i="88" s="1"/>
  <c r="P38" i="88" s="1"/>
  <c r="G38" i="88"/>
  <c r="H38" i="88"/>
  <c r="I38" i="88" s="1"/>
  <c r="J38" i="88" s="1"/>
  <c r="BB37" i="88"/>
  <c r="AR37" i="88" s="1"/>
  <c r="AS37" i="88" s="1"/>
  <c r="AT37" i="88" s="1"/>
  <c r="BB36" i="88"/>
  <c r="AR36" i="88" s="1"/>
  <c r="AS36" i="88" s="1"/>
  <c r="AT36" i="88" s="1"/>
  <c r="BB35" i="88"/>
  <c r="AR35" i="88" s="1"/>
  <c r="AS35" i="88" s="1"/>
  <c r="AT35" i="88" s="1"/>
  <c r="BB34" i="88"/>
  <c r="AR34" i="88" s="1"/>
  <c r="AS34" i="88" s="1"/>
  <c r="AT34" i="88" s="1"/>
  <c r="BB33" i="88"/>
  <c r="AR33" i="88" s="1"/>
  <c r="AS33" i="88" s="1"/>
  <c r="AT33" i="88" s="1"/>
  <c r="BB32" i="88"/>
  <c r="BB31" i="88"/>
  <c r="BB30" i="88"/>
  <c r="AR30" i="88" s="1"/>
  <c r="AS30" i="88" s="1"/>
  <c r="AT30" i="88" s="1"/>
  <c r="BB29" i="88"/>
  <c r="AR29" i="88" s="1"/>
  <c r="AS29" i="88" s="1"/>
  <c r="AT29" i="88" s="1"/>
  <c r="H29" i="88"/>
  <c r="I29" i="88" s="1"/>
  <c r="J29" i="88" s="1"/>
  <c r="G29" i="88"/>
  <c r="BB28" i="88"/>
  <c r="H28" i="88" s="1"/>
  <c r="I28" i="88" s="1"/>
  <c r="J28" i="88" s="1"/>
  <c r="BB27" i="88"/>
  <c r="AR27" i="88" s="1"/>
  <c r="AS27" i="88" s="1"/>
  <c r="AT27" i="88" s="1"/>
  <c r="BB26" i="88"/>
  <c r="AR26" i="88" s="1"/>
  <c r="AS26" i="88" s="1"/>
  <c r="AT26" i="88" s="1"/>
  <c r="BB25" i="88"/>
  <c r="G25" i="88"/>
  <c r="BB24" i="88"/>
  <c r="AR24" i="88" s="1"/>
  <c r="AS24" i="88" s="1"/>
  <c r="AT24" i="88" s="1"/>
  <c r="BB23" i="88"/>
  <c r="AR23" i="88" s="1"/>
  <c r="AS23" i="88" s="1"/>
  <c r="AT23" i="88" s="1"/>
  <c r="BB22" i="88"/>
  <c r="AR22" i="88" s="1"/>
  <c r="AS22" i="88" s="1"/>
  <c r="AT22" i="88" s="1"/>
  <c r="BB21" i="88"/>
  <c r="BB20" i="88"/>
  <c r="AR20" i="88" s="1"/>
  <c r="AS20" i="88" s="1"/>
  <c r="AT20" i="88" s="1"/>
  <c r="BB19" i="88"/>
  <c r="AR19" i="88" s="1"/>
  <c r="AS19" i="88" s="1"/>
  <c r="AT19" i="88" s="1"/>
  <c r="BB18" i="88"/>
  <c r="AR18" i="88" s="1"/>
  <c r="AS18" i="88" s="1"/>
  <c r="AT18" i="88" s="1"/>
  <c r="Z35" i="82" l="1"/>
  <c r="AA35" i="82" s="1"/>
  <c r="AB35" i="82" s="1"/>
  <c r="Z36" i="82"/>
  <c r="AA36" i="82" s="1"/>
  <c r="AB36" i="82" s="1"/>
  <c r="N33" i="82"/>
  <c r="O33" i="82" s="1"/>
  <c r="P33" i="82" s="1"/>
  <c r="H35" i="82"/>
  <c r="I35" i="82" s="1"/>
  <c r="J35" i="82" s="1"/>
  <c r="C35" i="82" s="1"/>
  <c r="AF35" i="82"/>
  <c r="AG35" i="82" s="1"/>
  <c r="AH35" i="82" s="1"/>
  <c r="N36" i="82"/>
  <c r="O36" i="82" s="1"/>
  <c r="P36" i="82" s="1"/>
  <c r="AF20" i="82"/>
  <c r="AG20" i="82" s="1"/>
  <c r="AH20" i="82" s="1"/>
  <c r="N22" i="82"/>
  <c r="O22" i="82" s="1"/>
  <c r="P22" i="82" s="1"/>
  <c r="Z26" i="82"/>
  <c r="AA26" i="82" s="1"/>
  <c r="AB26" i="82" s="1"/>
  <c r="AL29" i="82"/>
  <c r="AM29" i="82" s="1"/>
  <c r="AN29" i="82" s="1"/>
  <c r="T31" i="82"/>
  <c r="U31" i="82" s="1"/>
  <c r="V31" i="82" s="1"/>
  <c r="N32" i="82"/>
  <c r="O32" i="82" s="1"/>
  <c r="P32" i="82" s="1"/>
  <c r="AL33" i="82"/>
  <c r="AM33" i="82" s="1"/>
  <c r="AN33" i="82" s="1"/>
  <c r="N35" i="82"/>
  <c r="O35" i="82" s="1"/>
  <c r="P35" i="82" s="1"/>
  <c r="H36" i="82"/>
  <c r="I36" i="82" s="1"/>
  <c r="J36" i="82" s="1"/>
  <c r="AF38" i="82"/>
  <c r="AG38" i="82" s="1"/>
  <c r="AH38" i="82" s="1"/>
  <c r="T24" i="82"/>
  <c r="U24" i="82" s="1"/>
  <c r="V24" i="82" s="1"/>
  <c r="H25" i="82"/>
  <c r="I25" i="82" s="1"/>
  <c r="J25" i="82" s="1"/>
  <c r="Z28" i="82"/>
  <c r="AA28" i="82" s="1"/>
  <c r="AB28" i="82" s="1"/>
  <c r="N38" i="82"/>
  <c r="O38" i="82" s="1"/>
  <c r="P38" i="82" s="1"/>
  <c r="N24" i="82"/>
  <c r="O24" i="82" s="1"/>
  <c r="P24" i="82" s="1"/>
  <c r="Z24" i="82"/>
  <c r="AA24" i="82" s="1"/>
  <c r="AB24" i="82" s="1"/>
  <c r="AL25" i="82"/>
  <c r="AM25" i="82" s="1"/>
  <c r="AN25" i="82" s="1"/>
  <c r="N28" i="82"/>
  <c r="O28" i="82" s="1"/>
  <c r="P28" i="82" s="1"/>
  <c r="Z38" i="82"/>
  <c r="AA38" i="82" s="1"/>
  <c r="AB38" i="82" s="1"/>
  <c r="AL38" i="82"/>
  <c r="AM38" i="82" s="1"/>
  <c r="AN38" i="82" s="1"/>
  <c r="N20" i="82"/>
  <c r="O20" i="82" s="1"/>
  <c r="P20" i="82" s="1"/>
  <c r="H23" i="82"/>
  <c r="I23" i="82" s="1"/>
  <c r="J23" i="82" s="1"/>
  <c r="AL24" i="82"/>
  <c r="AM24" i="82" s="1"/>
  <c r="AN24" i="82" s="1"/>
  <c r="T25" i="82"/>
  <c r="U25" i="82" s="1"/>
  <c r="V25" i="82" s="1"/>
  <c r="H27" i="82"/>
  <c r="I27" i="82" s="1"/>
  <c r="J27" i="82" s="1"/>
  <c r="AL28" i="82"/>
  <c r="AM28" i="82" s="1"/>
  <c r="AN28" i="82" s="1"/>
  <c r="AF34" i="82"/>
  <c r="AG34" i="82" s="1"/>
  <c r="AH34" i="82" s="1"/>
  <c r="H38" i="82"/>
  <c r="I38" i="82" s="1"/>
  <c r="J38" i="82" s="1"/>
  <c r="C39" i="82"/>
  <c r="C38" i="82"/>
  <c r="Z37" i="82"/>
  <c r="AA37" i="82" s="1"/>
  <c r="AB37" i="82" s="1"/>
  <c r="AL37" i="82"/>
  <c r="AM37" i="82" s="1"/>
  <c r="AN37" i="82" s="1"/>
  <c r="H37" i="82"/>
  <c r="I37" i="82" s="1"/>
  <c r="J37" i="82" s="1"/>
  <c r="N37" i="82"/>
  <c r="O37" i="82" s="1"/>
  <c r="P37" i="82" s="1"/>
  <c r="AL36" i="82"/>
  <c r="AM36" i="82" s="1"/>
  <c r="AN36" i="82" s="1"/>
  <c r="T36" i="82"/>
  <c r="U36" i="82" s="1"/>
  <c r="V36" i="82" s="1"/>
  <c r="Z34" i="82"/>
  <c r="AA34" i="82" s="1"/>
  <c r="AB34" i="82" s="1"/>
  <c r="AL34" i="82"/>
  <c r="AM34" i="82" s="1"/>
  <c r="AN34" i="82" s="1"/>
  <c r="N34" i="82"/>
  <c r="O34" i="82" s="1"/>
  <c r="P34" i="82" s="1"/>
  <c r="H34" i="82"/>
  <c r="I34" i="82" s="1"/>
  <c r="J34" i="82" s="1"/>
  <c r="Z33" i="82"/>
  <c r="AA33" i="82" s="1"/>
  <c r="AB33" i="82" s="1"/>
  <c r="T33" i="82"/>
  <c r="U33" i="82" s="1"/>
  <c r="V33" i="82" s="1"/>
  <c r="H33" i="82"/>
  <c r="I33" i="82" s="1"/>
  <c r="J33" i="82" s="1"/>
  <c r="AL32" i="82"/>
  <c r="AM32" i="82" s="1"/>
  <c r="AN32" i="82" s="1"/>
  <c r="T32" i="82"/>
  <c r="U32" i="82" s="1"/>
  <c r="V32" i="82" s="1"/>
  <c r="Z31" i="82"/>
  <c r="AA31" i="82" s="1"/>
  <c r="AB31" i="82" s="1"/>
  <c r="N31" i="82"/>
  <c r="O31" i="82" s="1"/>
  <c r="P31" i="82" s="1"/>
  <c r="C31" i="82" s="1"/>
  <c r="AF30" i="82"/>
  <c r="AG30" i="82" s="1"/>
  <c r="AH30" i="82" s="1"/>
  <c r="H30" i="82"/>
  <c r="I30" i="82" s="1"/>
  <c r="J30" i="82" s="1"/>
  <c r="AL30" i="82"/>
  <c r="AM30" i="82" s="1"/>
  <c r="AN30" i="82" s="1"/>
  <c r="N30" i="82"/>
  <c r="O30" i="82" s="1"/>
  <c r="P30" i="82" s="1"/>
  <c r="Z30" i="82"/>
  <c r="AA30" i="82" s="1"/>
  <c r="AB30" i="82" s="1"/>
  <c r="N29" i="82"/>
  <c r="O29" i="82" s="1"/>
  <c r="P29" i="82" s="1"/>
  <c r="T29" i="82"/>
  <c r="U29" i="82" s="1"/>
  <c r="V29" i="82" s="1"/>
  <c r="H29" i="82"/>
  <c r="I29" i="82" s="1"/>
  <c r="J29" i="82" s="1"/>
  <c r="Z29" i="82"/>
  <c r="AA29" i="82" s="1"/>
  <c r="AB29" i="82" s="1"/>
  <c r="T28" i="82"/>
  <c r="U28" i="82" s="1"/>
  <c r="V28" i="82" s="1"/>
  <c r="H28" i="82"/>
  <c r="I28" i="82" s="1"/>
  <c r="J28" i="82" s="1"/>
  <c r="T27" i="82"/>
  <c r="U27" i="82" s="1"/>
  <c r="V27" i="82" s="1"/>
  <c r="Z27" i="82"/>
  <c r="AA27" i="82" s="1"/>
  <c r="AB27" i="82" s="1"/>
  <c r="AL27" i="82"/>
  <c r="AM27" i="82" s="1"/>
  <c r="AN27" i="82" s="1"/>
  <c r="C27" i="82" s="1"/>
  <c r="AF27" i="82"/>
  <c r="AG27" i="82" s="1"/>
  <c r="AH27" i="82" s="1"/>
  <c r="H26" i="82"/>
  <c r="I26" i="82" s="1"/>
  <c r="J26" i="82" s="1"/>
  <c r="T26" i="82"/>
  <c r="U26" i="82" s="1"/>
  <c r="V26" i="82" s="1"/>
  <c r="AF26" i="82"/>
  <c r="AG26" i="82" s="1"/>
  <c r="AH26" i="82" s="1"/>
  <c r="N26" i="82"/>
  <c r="O26" i="82" s="1"/>
  <c r="P26" i="82" s="1"/>
  <c r="N25" i="82"/>
  <c r="O25" i="82" s="1"/>
  <c r="P25" i="82" s="1"/>
  <c r="Z25" i="82"/>
  <c r="AA25" i="82" s="1"/>
  <c r="AB25" i="82" s="1"/>
  <c r="C24" i="82"/>
  <c r="N23" i="82"/>
  <c r="O23" i="82" s="1"/>
  <c r="P23" i="82" s="1"/>
  <c r="AL23" i="82"/>
  <c r="AM23" i="82" s="1"/>
  <c r="AN23" i="82" s="1"/>
  <c r="H22" i="82"/>
  <c r="I22" i="82" s="1"/>
  <c r="J22" i="82" s="1"/>
  <c r="Z22" i="82"/>
  <c r="AA22" i="82" s="1"/>
  <c r="AB22" i="82" s="1"/>
  <c r="T22" i="82"/>
  <c r="U22" i="82" s="1"/>
  <c r="V22" i="82" s="1"/>
  <c r="AF22" i="82"/>
  <c r="AG22" i="82" s="1"/>
  <c r="AH22" i="82" s="1"/>
  <c r="AL21" i="82"/>
  <c r="AM21" i="82" s="1"/>
  <c r="AN21" i="82" s="1"/>
  <c r="Z21" i="82"/>
  <c r="AA21" i="82" s="1"/>
  <c r="AB21" i="82" s="1"/>
  <c r="H21" i="82"/>
  <c r="I21" i="82" s="1"/>
  <c r="J21" i="82" s="1"/>
  <c r="N21" i="82"/>
  <c r="O21" i="82" s="1"/>
  <c r="P21" i="82" s="1"/>
  <c r="AF21" i="82"/>
  <c r="AG21" i="82" s="1"/>
  <c r="AH21" i="82" s="1"/>
  <c r="H20" i="82"/>
  <c r="I20" i="82" s="1"/>
  <c r="J20" i="82" s="1"/>
  <c r="C20" i="82" s="1"/>
  <c r="T20" i="82"/>
  <c r="U20" i="82" s="1"/>
  <c r="V20" i="82" s="1"/>
  <c r="AL19" i="82"/>
  <c r="AM19" i="82" s="1"/>
  <c r="AN19" i="82" s="1"/>
  <c r="T19" i="82"/>
  <c r="U19" i="82" s="1"/>
  <c r="V19" i="82" s="1"/>
  <c r="AF19" i="82"/>
  <c r="AG19" i="82" s="1"/>
  <c r="AH19" i="82" s="1"/>
  <c r="H19" i="82"/>
  <c r="I19" i="82" s="1"/>
  <c r="J19" i="82" s="1"/>
  <c r="N18" i="82"/>
  <c r="O18" i="82" s="1"/>
  <c r="P18" i="82" s="1"/>
  <c r="H18" i="82"/>
  <c r="I18" i="82" s="1"/>
  <c r="J18" i="82" s="1"/>
  <c r="AF18" i="82"/>
  <c r="AG18" i="82" s="1"/>
  <c r="AH18" i="82" s="1"/>
  <c r="Z18" i="82"/>
  <c r="AA18" i="82" s="1"/>
  <c r="AB18" i="82" s="1"/>
  <c r="T18" i="82"/>
  <c r="U18" i="82" s="1"/>
  <c r="V18" i="82" s="1"/>
  <c r="T17" i="82"/>
  <c r="U17" i="82" s="1"/>
  <c r="V17" i="82" s="1"/>
  <c r="H17" i="82"/>
  <c r="I17" i="82" s="1"/>
  <c r="J17" i="82" s="1"/>
  <c r="C17" i="82" s="1"/>
  <c r="T37" i="93"/>
  <c r="U37" i="93" s="1"/>
  <c r="V37" i="93" s="1"/>
  <c r="Z37" i="93"/>
  <c r="AA37" i="93" s="1"/>
  <c r="AB37" i="93" s="1"/>
  <c r="H37" i="93"/>
  <c r="I37" i="93" s="1"/>
  <c r="J37" i="93" s="1"/>
  <c r="N37" i="93"/>
  <c r="O37" i="93" s="1"/>
  <c r="P37" i="93" s="1"/>
  <c r="T36" i="93"/>
  <c r="U36" i="93" s="1"/>
  <c r="V36" i="93" s="1"/>
  <c r="Z36" i="93"/>
  <c r="AA36" i="93" s="1"/>
  <c r="AB36" i="93" s="1"/>
  <c r="H36" i="93"/>
  <c r="I36" i="93" s="1"/>
  <c r="J36" i="93" s="1"/>
  <c r="N36" i="93"/>
  <c r="O36" i="93" s="1"/>
  <c r="P36" i="93" s="1"/>
  <c r="T35" i="93"/>
  <c r="U35" i="93" s="1"/>
  <c r="V35" i="93" s="1"/>
  <c r="Z35" i="93"/>
  <c r="AA35" i="93" s="1"/>
  <c r="AB35" i="93" s="1"/>
  <c r="H35" i="93"/>
  <c r="I35" i="93" s="1"/>
  <c r="J35" i="93" s="1"/>
  <c r="N35" i="93"/>
  <c r="O35" i="93" s="1"/>
  <c r="P35" i="93" s="1"/>
  <c r="T34" i="93"/>
  <c r="U34" i="93" s="1"/>
  <c r="V34" i="93" s="1"/>
  <c r="Z34" i="93"/>
  <c r="AA34" i="93" s="1"/>
  <c r="AB34" i="93" s="1"/>
  <c r="H34" i="93"/>
  <c r="I34" i="93" s="1"/>
  <c r="J34" i="93" s="1"/>
  <c r="N34" i="93"/>
  <c r="O34" i="93" s="1"/>
  <c r="P34" i="93" s="1"/>
  <c r="T33" i="93"/>
  <c r="U33" i="93" s="1"/>
  <c r="V33" i="93" s="1"/>
  <c r="Z33" i="93"/>
  <c r="AA33" i="93" s="1"/>
  <c r="AB33" i="93" s="1"/>
  <c r="H33" i="93"/>
  <c r="I33" i="93" s="1"/>
  <c r="J33" i="93" s="1"/>
  <c r="N33" i="93"/>
  <c r="O33" i="93" s="1"/>
  <c r="P33" i="93" s="1"/>
  <c r="T32" i="93"/>
  <c r="U32" i="93" s="1"/>
  <c r="V32" i="93" s="1"/>
  <c r="Z32" i="93"/>
  <c r="AA32" i="93" s="1"/>
  <c r="AB32" i="93" s="1"/>
  <c r="H32" i="93"/>
  <c r="I32" i="93" s="1"/>
  <c r="J32" i="93" s="1"/>
  <c r="N32" i="93"/>
  <c r="O32" i="93" s="1"/>
  <c r="P32" i="93" s="1"/>
  <c r="T31" i="93"/>
  <c r="U31" i="93" s="1"/>
  <c r="V31" i="93" s="1"/>
  <c r="Z31" i="93"/>
  <c r="AA31" i="93" s="1"/>
  <c r="AB31" i="93" s="1"/>
  <c r="H31" i="93"/>
  <c r="I31" i="93" s="1"/>
  <c r="J31" i="93" s="1"/>
  <c r="N31" i="93"/>
  <c r="O31" i="93" s="1"/>
  <c r="P31" i="93" s="1"/>
  <c r="T30" i="93"/>
  <c r="U30" i="93" s="1"/>
  <c r="V30" i="93" s="1"/>
  <c r="Z30" i="93"/>
  <c r="AA30" i="93" s="1"/>
  <c r="AB30" i="93" s="1"/>
  <c r="H30" i="93"/>
  <c r="I30" i="93" s="1"/>
  <c r="J30" i="93" s="1"/>
  <c r="N30" i="93"/>
  <c r="O30" i="93" s="1"/>
  <c r="P30" i="93" s="1"/>
  <c r="T29" i="93"/>
  <c r="U29" i="93" s="1"/>
  <c r="V29" i="93" s="1"/>
  <c r="Z29" i="93"/>
  <c r="AA29" i="93" s="1"/>
  <c r="AB29" i="93" s="1"/>
  <c r="H29" i="93"/>
  <c r="I29" i="93" s="1"/>
  <c r="J29" i="93" s="1"/>
  <c r="N29" i="93"/>
  <c r="O29" i="93" s="1"/>
  <c r="P29" i="93" s="1"/>
  <c r="T28" i="93"/>
  <c r="U28" i="93" s="1"/>
  <c r="V28" i="93" s="1"/>
  <c r="Z28" i="93"/>
  <c r="AA28" i="93" s="1"/>
  <c r="AB28" i="93" s="1"/>
  <c r="H28" i="93"/>
  <c r="I28" i="93" s="1"/>
  <c r="J28" i="93" s="1"/>
  <c r="N28" i="93"/>
  <c r="O28" i="93" s="1"/>
  <c r="P28" i="93" s="1"/>
  <c r="T27" i="93"/>
  <c r="U27" i="93" s="1"/>
  <c r="V27" i="93" s="1"/>
  <c r="Z27" i="93"/>
  <c r="AA27" i="93" s="1"/>
  <c r="AB27" i="93" s="1"/>
  <c r="H27" i="93"/>
  <c r="I27" i="93" s="1"/>
  <c r="J27" i="93" s="1"/>
  <c r="N27" i="93"/>
  <c r="O27" i="93" s="1"/>
  <c r="P27" i="93" s="1"/>
  <c r="T26" i="93"/>
  <c r="U26" i="93" s="1"/>
  <c r="V26" i="93" s="1"/>
  <c r="Z26" i="93"/>
  <c r="AA26" i="93" s="1"/>
  <c r="AB26" i="93" s="1"/>
  <c r="H26" i="93"/>
  <c r="I26" i="93" s="1"/>
  <c r="J26" i="93" s="1"/>
  <c r="N26" i="93"/>
  <c r="O26" i="93" s="1"/>
  <c r="P26" i="93" s="1"/>
  <c r="T25" i="93"/>
  <c r="U25" i="93" s="1"/>
  <c r="V25" i="93" s="1"/>
  <c r="Z25" i="93"/>
  <c r="AA25" i="93" s="1"/>
  <c r="AB25" i="93" s="1"/>
  <c r="H25" i="93"/>
  <c r="I25" i="93" s="1"/>
  <c r="J25" i="93" s="1"/>
  <c r="N25" i="93"/>
  <c r="O25" i="93" s="1"/>
  <c r="P25" i="93" s="1"/>
  <c r="T24" i="93"/>
  <c r="U24" i="93" s="1"/>
  <c r="V24" i="93" s="1"/>
  <c r="Z24" i="93"/>
  <c r="AA24" i="93" s="1"/>
  <c r="AB24" i="93" s="1"/>
  <c r="H24" i="93"/>
  <c r="I24" i="93" s="1"/>
  <c r="J24" i="93" s="1"/>
  <c r="N24" i="93"/>
  <c r="O24" i="93" s="1"/>
  <c r="P24" i="93" s="1"/>
  <c r="T23" i="93"/>
  <c r="U23" i="93" s="1"/>
  <c r="V23" i="93" s="1"/>
  <c r="Z23" i="93"/>
  <c r="AA23" i="93" s="1"/>
  <c r="AB23" i="93" s="1"/>
  <c r="H23" i="93"/>
  <c r="I23" i="93" s="1"/>
  <c r="J23" i="93" s="1"/>
  <c r="N23" i="93"/>
  <c r="O23" i="93" s="1"/>
  <c r="P23" i="93" s="1"/>
  <c r="T22" i="93"/>
  <c r="U22" i="93" s="1"/>
  <c r="V22" i="93" s="1"/>
  <c r="Z22" i="93"/>
  <c r="AA22" i="93" s="1"/>
  <c r="AB22" i="93" s="1"/>
  <c r="H22" i="93"/>
  <c r="I22" i="93" s="1"/>
  <c r="J22" i="93" s="1"/>
  <c r="N22" i="93"/>
  <c r="O22" i="93" s="1"/>
  <c r="P22" i="93" s="1"/>
  <c r="T21" i="93"/>
  <c r="U21" i="93" s="1"/>
  <c r="V21" i="93" s="1"/>
  <c r="Z21" i="93"/>
  <c r="AA21" i="93" s="1"/>
  <c r="AB21" i="93" s="1"/>
  <c r="H21" i="93"/>
  <c r="I21" i="93" s="1"/>
  <c r="J21" i="93" s="1"/>
  <c r="N21" i="93"/>
  <c r="O21" i="93" s="1"/>
  <c r="P21" i="93" s="1"/>
  <c r="T20" i="93"/>
  <c r="U20" i="93" s="1"/>
  <c r="V20" i="93" s="1"/>
  <c r="Z20" i="93"/>
  <c r="AA20" i="93" s="1"/>
  <c r="AB20" i="93" s="1"/>
  <c r="H20" i="93"/>
  <c r="I20" i="93" s="1"/>
  <c r="J20" i="93" s="1"/>
  <c r="N20" i="93"/>
  <c r="O20" i="93" s="1"/>
  <c r="P20" i="93" s="1"/>
  <c r="T19" i="93"/>
  <c r="U19" i="93" s="1"/>
  <c r="V19" i="93" s="1"/>
  <c r="Z19" i="93"/>
  <c r="AA19" i="93" s="1"/>
  <c r="AB19" i="93" s="1"/>
  <c r="H19" i="93"/>
  <c r="I19" i="93" s="1"/>
  <c r="J19" i="93" s="1"/>
  <c r="N19" i="93"/>
  <c r="O19" i="93" s="1"/>
  <c r="P19" i="93" s="1"/>
  <c r="T18" i="93"/>
  <c r="U18" i="93" s="1"/>
  <c r="V18" i="93" s="1"/>
  <c r="Z18" i="93"/>
  <c r="AA18" i="93" s="1"/>
  <c r="AB18" i="93" s="1"/>
  <c r="H18" i="93"/>
  <c r="I18" i="93" s="1"/>
  <c r="J18" i="93" s="1"/>
  <c r="N18" i="93"/>
  <c r="O18" i="93" s="1"/>
  <c r="P18" i="93" s="1"/>
  <c r="T17" i="93"/>
  <c r="U17" i="93" s="1"/>
  <c r="V17" i="93" s="1"/>
  <c r="Z17" i="93"/>
  <c r="AA17" i="93" s="1"/>
  <c r="AB17" i="93" s="1"/>
  <c r="H17" i="93"/>
  <c r="I17" i="93" s="1"/>
  <c r="J17" i="93" s="1"/>
  <c r="N17" i="93"/>
  <c r="O17" i="93" s="1"/>
  <c r="P17" i="93" s="1"/>
  <c r="T16" i="93"/>
  <c r="U16" i="93" s="1"/>
  <c r="V16" i="93" s="1"/>
  <c r="Z16" i="93"/>
  <c r="AA16" i="93" s="1"/>
  <c r="AB16" i="93" s="1"/>
  <c r="H16" i="93"/>
  <c r="I16" i="93" s="1"/>
  <c r="J16" i="93" s="1"/>
  <c r="N16" i="93"/>
  <c r="O16" i="93" s="1"/>
  <c r="P16" i="93" s="1"/>
  <c r="T15" i="93"/>
  <c r="U15" i="93" s="1"/>
  <c r="V15" i="93" s="1"/>
  <c r="Z15" i="93"/>
  <c r="AA15" i="93" s="1"/>
  <c r="AB15" i="93" s="1"/>
  <c r="H15" i="93"/>
  <c r="I15" i="93" s="1"/>
  <c r="J15" i="93" s="1"/>
  <c r="N15" i="93"/>
  <c r="O15" i="93" s="1"/>
  <c r="P15" i="93" s="1"/>
  <c r="AF39" i="92"/>
  <c r="AG39" i="92" s="1"/>
  <c r="AH39" i="92" s="1"/>
  <c r="AL39" i="92"/>
  <c r="AM39" i="92" s="1"/>
  <c r="AN39" i="92" s="1"/>
  <c r="T39" i="92"/>
  <c r="U39" i="92" s="1"/>
  <c r="V39" i="92" s="1"/>
  <c r="Z39" i="92"/>
  <c r="AA39" i="92" s="1"/>
  <c r="AB39" i="92" s="1"/>
  <c r="H39" i="92"/>
  <c r="I39" i="92" s="1"/>
  <c r="J39" i="92" s="1"/>
  <c r="N39" i="92"/>
  <c r="O39" i="92" s="1"/>
  <c r="P39" i="92" s="1"/>
  <c r="AF38" i="92"/>
  <c r="AG38" i="92" s="1"/>
  <c r="AH38" i="92" s="1"/>
  <c r="AL38" i="92"/>
  <c r="AM38" i="92" s="1"/>
  <c r="AN38" i="92" s="1"/>
  <c r="T38" i="92"/>
  <c r="U38" i="92" s="1"/>
  <c r="V38" i="92" s="1"/>
  <c r="Z38" i="92"/>
  <c r="AA38" i="92" s="1"/>
  <c r="AB38" i="92" s="1"/>
  <c r="H38" i="92"/>
  <c r="I38" i="92" s="1"/>
  <c r="J38" i="92" s="1"/>
  <c r="N38" i="92"/>
  <c r="O38" i="92" s="1"/>
  <c r="P38" i="92" s="1"/>
  <c r="AF37" i="92"/>
  <c r="AG37" i="92" s="1"/>
  <c r="AH37" i="92" s="1"/>
  <c r="AL37" i="92"/>
  <c r="AM37" i="92" s="1"/>
  <c r="AN37" i="92" s="1"/>
  <c r="T37" i="92"/>
  <c r="U37" i="92" s="1"/>
  <c r="V37" i="92" s="1"/>
  <c r="Z37" i="92"/>
  <c r="AA37" i="92" s="1"/>
  <c r="AB37" i="92" s="1"/>
  <c r="H37" i="92"/>
  <c r="I37" i="92" s="1"/>
  <c r="J37" i="92" s="1"/>
  <c r="N37" i="92"/>
  <c r="O37" i="92" s="1"/>
  <c r="P37" i="92" s="1"/>
  <c r="AF36" i="92"/>
  <c r="AG36" i="92" s="1"/>
  <c r="AH36" i="92" s="1"/>
  <c r="AL36" i="92"/>
  <c r="AM36" i="92" s="1"/>
  <c r="AN36" i="92" s="1"/>
  <c r="T36" i="92"/>
  <c r="U36" i="92" s="1"/>
  <c r="V36" i="92" s="1"/>
  <c r="Z36" i="92"/>
  <c r="AA36" i="92" s="1"/>
  <c r="AB36" i="92" s="1"/>
  <c r="H36" i="92"/>
  <c r="I36" i="92" s="1"/>
  <c r="J36" i="92" s="1"/>
  <c r="N36" i="92"/>
  <c r="O36" i="92" s="1"/>
  <c r="P36" i="92" s="1"/>
  <c r="AF35" i="92"/>
  <c r="AG35" i="92" s="1"/>
  <c r="AH35" i="92" s="1"/>
  <c r="AL35" i="92"/>
  <c r="AM35" i="92" s="1"/>
  <c r="AN35" i="92" s="1"/>
  <c r="T35" i="92"/>
  <c r="U35" i="92" s="1"/>
  <c r="V35" i="92" s="1"/>
  <c r="Z35" i="92"/>
  <c r="AA35" i="92" s="1"/>
  <c r="AB35" i="92" s="1"/>
  <c r="H35" i="92"/>
  <c r="I35" i="92" s="1"/>
  <c r="J35" i="92" s="1"/>
  <c r="N35" i="92"/>
  <c r="O35" i="92" s="1"/>
  <c r="P35" i="92" s="1"/>
  <c r="AF34" i="92"/>
  <c r="AG34" i="92" s="1"/>
  <c r="AH34" i="92" s="1"/>
  <c r="AL34" i="92"/>
  <c r="AM34" i="92" s="1"/>
  <c r="AN34" i="92" s="1"/>
  <c r="T34" i="92"/>
  <c r="U34" i="92" s="1"/>
  <c r="V34" i="92" s="1"/>
  <c r="Z34" i="92"/>
  <c r="AA34" i="92" s="1"/>
  <c r="AB34" i="92" s="1"/>
  <c r="H34" i="92"/>
  <c r="I34" i="92" s="1"/>
  <c r="J34" i="92" s="1"/>
  <c r="N34" i="92"/>
  <c r="O34" i="92" s="1"/>
  <c r="P34" i="92" s="1"/>
  <c r="AF33" i="92"/>
  <c r="AG33" i="92" s="1"/>
  <c r="AH33" i="92" s="1"/>
  <c r="AL33" i="92"/>
  <c r="AM33" i="92" s="1"/>
  <c r="AN33" i="92" s="1"/>
  <c r="T33" i="92"/>
  <c r="U33" i="92" s="1"/>
  <c r="V33" i="92" s="1"/>
  <c r="Z33" i="92"/>
  <c r="AA33" i="92" s="1"/>
  <c r="AB33" i="92" s="1"/>
  <c r="H33" i="92"/>
  <c r="I33" i="92" s="1"/>
  <c r="J33" i="92" s="1"/>
  <c r="N33" i="92"/>
  <c r="O33" i="92" s="1"/>
  <c r="P33" i="92" s="1"/>
  <c r="AF32" i="92"/>
  <c r="AG32" i="92" s="1"/>
  <c r="AH32" i="92" s="1"/>
  <c r="AL32" i="92"/>
  <c r="AM32" i="92" s="1"/>
  <c r="AN32" i="92" s="1"/>
  <c r="T32" i="92"/>
  <c r="U32" i="92" s="1"/>
  <c r="V32" i="92" s="1"/>
  <c r="Z32" i="92"/>
  <c r="AA32" i="92" s="1"/>
  <c r="AB32" i="92" s="1"/>
  <c r="H32" i="92"/>
  <c r="I32" i="92" s="1"/>
  <c r="J32" i="92" s="1"/>
  <c r="N32" i="92"/>
  <c r="O32" i="92" s="1"/>
  <c r="P32" i="92" s="1"/>
  <c r="AF31" i="92"/>
  <c r="AG31" i="92" s="1"/>
  <c r="AH31" i="92" s="1"/>
  <c r="AL31" i="92"/>
  <c r="AM31" i="92" s="1"/>
  <c r="AN31" i="92" s="1"/>
  <c r="T31" i="92"/>
  <c r="U31" i="92" s="1"/>
  <c r="V31" i="92" s="1"/>
  <c r="Z31" i="92"/>
  <c r="AA31" i="92" s="1"/>
  <c r="AB31" i="92" s="1"/>
  <c r="H31" i="92"/>
  <c r="I31" i="92" s="1"/>
  <c r="J31" i="92" s="1"/>
  <c r="N31" i="92"/>
  <c r="O31" i="92" s="1"/>
  <c r="P31" i="92" s="1"/>
  <c r="AF30" i="92"/>
  <c r="AG30" i="92" s="1"/>
  <c r="AH30" i="92" s="1"/>
  <c r="AL30" i="92"/>
  <c r="AM30" i="92" s="1"/>
  <c r="AN30" i="92" s="1"/>
  <c r="T30" i="92"/>
  <c r="U30" i="92" s="1"/>
  <c r="V30" i="92" s="1"/>
  <c r="Z30" i="92"/>
  <c r="AA30" i="92" s="1"/>
  <c r="AB30" i="92" s="1"/>
  <c r="H30" i="92"/>
  <c r="I30" i="92" s="1"/>
  <c r="J30" i="92" s="1"/>
  <c r="N30" i="92"/>
  <c r="O30" i="92" s="1"/>
  <c r="P30" i="92" s="1"/>
  <c r="AF29" i="92"/>
  <c r="AG29" i="92" s="1"/>
  <c r="AH29" i="92" s="1"/>
  <c r="AL29" i="92"/>
  <c r="AM29" i="92" s="1"/>
  <c r="AN29" i="92" s="1"/>
  <c r="T29" i="92"/>
  <c r="U29" i="92" s="1"/>
  <c r="V29" i="92" s="1"/>
  <c r="Z29" i="92"/>
  <c r="AA29" i="92" s="1"/>
  <c r="AB29" i="92" s="1"/>
  <c r="H29" i="92"/>
  <c r="I29" i="92" s="1"/>
  <c r="J29" i="92" s="1"/>
  <c r="N29" i="92"/>
  <c r="O29" i="92" s="1"/>
  <c r="P29" i="92" s="1"/>
  <c r="AF28" i="92"/>
  <c r="AG28" i="92" s="1"/>
  <c r="AH28" i="92" s="1"/>
  <c r="AL28" i="92"/>
  <c r="AM28" i="92" s="1"/>
  <c r="AN28" i="92" s="1"/>
  <c r="T28" i="92"/>
  <c r="U28" i="92" s="1"/>
  <c r="V28" i="92" s="1"/>
  <c r="Z28" i="92"/>
  <c r="AA28" i="92" s="1"/>
  <c r="AB28" i="92" s="1"/>
  <c r="H28" i="92"/>
  <c r="I28" i="92" s="1"/>
  <c r="J28" i="92" s="1"/>
  <c r="N28" i="92"/>
  <c r="O28" i="92" s="1"/>
  <c r="P28" i="92" s="1"/>
  <c r="AF27" i="92"/>
  <c r="AG27" i="92" s="1"/>
  <c r="AH27" i="92" s="1"/>
  <c r="AL27" i="92"/>
  <c r="AM27" i="92" s="1"/>
  <c r="AN27" i="92" s="1"/>
  <c r="T27" i="92"/>
  <c r="U27" i="92" s="1"/>
  <c r="V27" i="92" s="1"/>
  <c r="Z27" i="92"/>
  <c r="AA27" i="92" s="1"/>
  <c r="AB27" i="92" s="1"/>
  <c r="H27" i="92"/>
  <c r="I27" i="92" s="1"/>
  <c r="J27" i="92" s="1"/>
  <c r="N27" i="92"/>
  <c r="O27" i="92" s="1"/>
  <c r="P27" i="92" s="1"/>
  <c r="AF26" i="92"/>
  <c r="AG26" i="92" s="1"/>
  <c r="AH26" i="92" s="1"/>
  <c r="AL26" i="92"/>
  <c r="AM26" i="92" s="1"/>
  <c r="AN26" i="92" s="1"/>
  <c r="T26" i="92"/>
  <c r="U26" i="92" s="1"/>
  <c r="V26" i="92" s="1"/>
  <c r="Z26" i="92"/>
  <c r="AA26" i="92" s="1"/>
  <c r="AB26" i="92" s="1"/>
  <c r="H26" i="92"/>
  <c r="I26" i="92" s="1"/>
  <c r="J26" i="92" s="1"/>
  <c r="N26" i="92"/>
  <c r="O26" i="92" s="1"/>
  <c r="P26" i="92" s="1"/>
  <c r="AF25" i="92"/>
  <c r="AG25" i="92" s="1"/>
  <c r="AH25" i="92" s="1"/>
  <c r="AL25" i="92"/>
  <c r="AM25" i="92" s="1"/>
  <c r="AN25" i="92" s="1"/>
  <c r="T25" i="92"/>
  <c r="U25" i="92" s="1"/>
  <c r="V25" i="92" s="1"/>
  <c r="Z25" i="92"/>
  <c r="AA25" i="92" s="1"/>
  <c r="AB25" i="92" s="1"/>
  <c r="H25" i="92"/>
  <c r="I25" i="92" s="1"/>
  <c r="J25" i="92" s="1"/>
  <c r="N25" i="92"/>
  <c r="O25" i="92" s="1"/>
  <c r="P25" i="92" s="1"/>
  <c r="AF24" i="92"/>
  <c r="AG24" i="92" s="1"/>
  <c r="AH24" i="92" s="1"/>
  <c r="AL24" i="92"/>
  <c r="AM24" i="92" s="1"/>
  <c r="AN24" i="92" s="1"/>
  <c r="T24" i="92"/>
  <c r="U24" i="92" s="1"/>
  <c r="V24" i="92" s="1"/>
  <c r="Z24" i="92"/>
  <c r="AA24" i="92" s="1"/>
  <c r="AB24" i="92" s="1"/>
  <c r="H24" i="92"/>
  <c r="I24" i="92" s="1"/>
  <c r="J24" i="92" s="1"/>
  <c r="N24" i="92"/>
  <c r="O24" i="92" s="1"/>
  <c r="P24" i="92" s="1"/>
  <c r="AF23" i="92"/>
  <c r="AG23" i="92" s="1"/>
  <c r="AH23" i="92" s="1"/>
  <c r="AL23" i="92"/>
  <c r="AM23" i="92" s="1"/>
  <c r="AN23" i="92" s="1"/>
  <c r="T23" i="92"/>
  <c r="U23" i="92" s="1"/>
  <c r="V23" i="92" s="1"/>
  <c r="Z23" i="92"/>
  <c r="AA23" i="92" s="1"/>
  <c r="AB23" i="92" s="1"/>
  <c r="H23" i="92"/>
  <c r="I23" i="92" s="1"/>
  <c r="J23" i="92" s="1"/>
  <c r="N23" i="92"/>
  <c r="O23" i="92" s="1"/>
  <c r="P23" i="92" s="1"/>
  <c r="AF22" i="92"/>
  <c r="AG22" i="92" s="1"/>
  <c r="AH22" i="92" s="1"/>
  <c r="AL22" i="92"/>
  <c r="AM22" i="92" s="1"/>
  <c r="AN22" i="92" s="1"/>
  <c r="T22" i="92"/>
  <c r="U22" i="92" s="1"/>
  <c r="V22" i="92" s="1"/>
  <c r="Z22" i="92"/>
  <c r="AA22" i="92" s="1"/>
  <c r="AB22" i="92" s="1"/>
  <c r="H22" i="92"/>
  <c r="I22" i="92" s="1"/>
  <c r="J22" i="92" s="1"/>
  <c r="N22" i="92"/>
  <c r="O22" i="92" s="1"/>
  <c r="P22" i="92" s="1"/>
  <c r="Z21" i="92"/>
  <c r="AA21" i="92" s="1"/>
  <c r="AB21" i="92" s="1"/>
  <c r="AF21" i="92"/>
  <c r="AG21" i="92" s="1"/>
  <c r="AH21" i="92" s="1"/>
  <c r="H21" i="92"/>
  <c r="I21" i="92" s="1"/>
  <c r="J21" i="92" s="1"/>
  <c r="T21" i="92"/>
  <c r="U21" i="92" s="1"/>
  <c r="V21" i="92" s="1"/>
  <c r="AF20" i="92"/>
  <c r="AG20" i="92" s="1"/>
  <c r="AH20" i="92" s="1"/>
  <c r="AL20" i="92"/>
  <c r="AM20" i="92" s="1"/>
  <c r="AN20" i="92" s="1"/>
  <c r="T20" i="92"/>
  <c r="U20" i="92" s="1"/>
  <c r="V20" i="92" s="1"/>
  <c r="Z20" i="92"/>
  <c r="AA20" i="92" s="1"/>
  <c r="AB20" i="92" s="1"/>
  <c r="H20" i="92"/>
  <c r="I20" i="92" s="1"/>
  <c r="J20" i="92" s="1"/>
  <c r="N20" i="92"/>
  <c r="O20" i="92" s="1"/>
  <c r="P20" i="92" s="1"/>
  <c r="Z19" i="92"/>
  <c r="AA19" i="92" s="1"/>
  <c r="AB19" i="92" s="1"/>
  <c r="AF19" i="92"/>
  <c r="AG19" i="92" s="1"/>
  <c r="AH19" i="92" s="1"/>
  <c r="H19" i="92"/>
  <c r="I19" i="92" s="1"/>
  <c r="J19" i="92" s="1"/>
  <c r="T19" i="92"/>
  <c r="U19" i="92" s="1"/>
  <c r="V19" i="92" s="1"/>
  <c r="AF18" i="92"/>
  <c r="AG18" i="92" s="1"/>
  <c r="AH18" i="92" s="1"/>
  <c r="AL18" i="92"/>
  <c r="AM18" i="92" s="1"/>
  <c r="AN18" i="92" s="1"/>
  <c r="T18" i="92"/>
  <c r="U18" i="92" s="1"/>
  <c r="V18" i="92" s="1"/>
  <c r="Z18" i="92"/>
  <c r="AA18" i="92" s="1"/>
  <c r="AB18" i="92" s="1"/>
  <c r="H18" i="92"/>
  <c r="I18" i="92" s="1"/>
  <c r="J18" i="92" s="1"/>
  <c r="N18" i="92"/>
  <c r="O18" i="92" s="1"/>
  <c r="P18" i="92" s="1"/>
  <c r="Z17" i="92"/>
  <c r="AA17" i="92" s="1"/>
  <c r="AB17" i="92" s="1"/>
  <c r="AF17" i="92"/>
  <c r="AG17" i="92" s="1"/>
  <c r="AH17" i="92" s="1"/>
  <c r="H17" i="92"/>
  <c r="I17" i="92" s="1"/>
  <c r="J17" i="92" s="1"/>
  <c r="T17" i="92"/>
  <c r="U17" i="92" s="1"/>
  <c r="V17" i="92" s="1"/>
  <c r="AF39" i="96"/>
  <c r="AG39" i="96" s="1"/>
  <c r="AH39" i="96" s="1"/>
  <c r="AL39" i="96"/>
  <c r="AM39" i="96" s="1"/>
  <c r="AN39" i="96" s="1"/>
  <c r="T39" i="96"/>
  <c r="U39" i="96" s="1"/>
  <c r="V39" i="96" s="1"/>
  <c r="Z39" i="96"/>
  <c r="AA39" i="96" s="1"/>
  <c r="AB39" i="96" s="1"/>
  <c r="H39" i="96"/>
  <c r="I39" i="96" s="1"/>
  <c r="J39" i="96" s="1"/>
  <c r="N39" i="96"/>
  <c r="O39" i="96" s="1"/>
  <c r="P39" i="96" s="1"/>
  <c r="AF38" i="96"/>
  <c r="AG38" i="96" s="1"/>
  <c r="AH38" i="96" s="1"/>
  <c r="AL38" i="96"/>
  <c r="AM38" i="96" s="1"/>
  <c r="AN38" i="96" s="1"/>
  <c r="T38" i="96"/>
  <c r="U38" i="96" s="1"/>
  <c r="V38" i="96" s="1"/>
  <c r="Z38" i="96"/>
  <c r="AA38" i="96" s="1"/>
  <c r="AB38" i="96" s="1"/>
  <c r="H38" i="96"/>
  <c r="I38" i="96" s="1"/>
  <c r="J38" i="96" s="1"/>
  <c r="N38" i="96"/>
  <c r="O38" i="96" s="1"/>
  <c r="P38" i="96" s="1"/>
  <c r="AF37" i="96"/>
  <c r="AG37" i="96" s="1"/>
  <c r="AH37" i="96" s="1"/>
  <c r="AL37" i="96"/>
  <c r="AM37" i="96" s="1"/>
  <c r="AN37" i="96" s="1"/>
  <c r="T37" i="96"/>
  <c r="U37" i="96" s="1"/>
  <c r="V37" i="96" s="1"/>
  <c r="Z37" i="96"/>
  <c r="AA37" i="96" s="1"/>
  <c r="AB37" i="96" s="1"/>
  <c r="H37" i="96"/>
  <c r="I37" i="96" s="1"/>
  <c r="J37" i="96" s="1"/>
  <c r="N37" i="96"/>
  <c r="O37" i="96" s="1"/>
  <c r="P37" i="96" s="1"/>
  <c r="AF36" i="96"/>
  <c r="AG36" i="96" s="1"/>
  <c r="AH36" i="96" s="1"/>
  <c r="AL36" i="96"/>
  <c r="AM36" i="96" s="1"/>
  <c r="AN36" i="96" s="1"/>
  <c r="T36" i="96"/>
  <c r="U36" i="96" s="1"/>
  <c r="V36" i="96" s="1"/>
  <c r="Z36" i="96"/>
  <c r="AA36" i="96" s="1"/>
  <c r="AB36" i="96" s="1"/>
  <c r="H36" i="96"/>
  <c r="I36" i="96" s="1"/>
  <c r="J36" i="96" s="1"/>
  <c r="N36" i="96"/>
  <c r="O36" i="96" s="1"/>
  <c r="P36" i="96" s="1"/>
  <c r="AF35" i="96"/>
  <c r="AG35" i="96" s="1"/>
  <c r="AH35" i="96" s="1"/>
  <c r="AL35" i="96"/>
  <c r="AM35" i="96" s="1"/>
  <c r="AN35" i="96" s="1"/>
  <c r="T35" i="96"/>
  <c r="U35" i="96" s="1"/>
  <c r="V35" i="96" s="1"/>
  <c r="Z35" i="96"/>
  <c r="AA35" i="96" s="1"/>
  <c r="AB35" i="96" s="1"/>
  <c r="H35" i="96"/>
  <c r="I35" i="96" s="1"/>
  <c r="J35" i="96" s="1"/>
  <c r="N35" i="96"/>
  <c r="O35" i="96" s="1"/>
  <c r="P35" i="96" s="1"/>
  <c r="AF34" i="96"/>
  <c r="AG34" i="96" s="1"/>
  <c r="AH34" i="96" s="1"/>
  <c r="AL34" i="96"/>
  <c r="AM34" i="96" s="1"/>
  <c r="AN34" i="96" s="1"/>
  <c r="T34" i="96"/>
  <c r="U34" i="96" s="1"/>
  <c r="V34" i="96" s="1"/>
  <c r="Z34" i="96"/>
  <c r="AA34" i="96" s="1"/>
  <c r="AB34" i="96" s="1"/>
  <c r="H34" i="96"/>
  <c r="I34" i="96" s="1"/>
  <c r="J34" i="96" s="1"/>
  <c r="N34" i="96"/>
  <c r="O34" i="96" s="1"/>
  <c r="P34" i="96" s="1"/>
  <c r="AF33" i="96"/>
  <c r="AG33" i="96" s="1"/>
  <c r="AH33" i="96" s="1"/>
  <c r="AL33" i="96"/>
  <c r="AM33" i="96" s="1"/>
  <c r="AN33" i="96" s="1"/>
  <c r="T33" i="96"/>
  <c r="U33" i="96" s="1"/>
  <c r="V33" i="96" s="1"/>
  <c r="Z33" i="96"/>
  <c r="AA33" i="96" s="1"/>
  <c r="AB33" i="96" s="1"/>
  <c r="H33" i="96"/>
  <c r="I33" i="96" s="1"/>
  <c r="J33" i="96" s="1"/>
  <c r="N33" i="96"/>
  <c r="O33" i="96" s="1"/>
  <c r="P33" i="96" s="1"/>
  <c r="AF32" i="96"/>
  <c r="AG32" i="96" s="1"/>
  <c r="AH32" i="96" s="1"/>
  <c r="AL32" i="96"/>
  <c r="AM32" i="96" s="1"/>
  <c r="AN32" i="96" s="1"/>
  <c r="T32" i="96"/>
  <c r="U32" i="96" s="1"/>
  <c r="V32" i="96" s="1"/>
  <c r="Z32" i="96"/>
  <c r="AA32" i="96" s="1"/>
  <c r="AB32" i="96" s="1"/>
  <c r="H32" i="96"/>
  <c r="I32" i="96" s="1"/>
  <c r="J32" i="96" s="1"/>
  <c r="N32" i="96"/>
  <c r="O32" i="96" s="1"/>
  <c r="P32" i="96" s="1"/>
  <c r="AF31" i="96"/>
  <c r="AG31" i="96" s="1"/>
  <c r="AH31" i="96" s="1"/>
  <c r="AL31" i="96"/>
  <c r="AM31" i="96" s="1"/>
  <c r="AN31" i="96" s="1"/>
  <c r="T31" i="96"/>
  <c r="U31" i="96" s="1"/>
  <c r="V31" i="96" s="1"/>
  <c r="Z31" i="96"/>
  <c r="AA31" i="96" s="1"/>
  <c r="AB31" i="96" s="1"/>
  <c r="H31" i="96"/>
  <c r="I31" i="96" s="1"/>
  <c r="J31" i="96" s="1"/>
  <c r="N31" i="96"/>
  <c r="O31" i="96" s="1"/>
  <c r="P31" i="96" s="1"/>
  <c r="AF30" i="96"/>
  <c r="AG30" i="96" s="1"/>
  <c r="AH30" i="96" s="1"/>
  <c r="AL30" i="96"/>
  <c r="AM30" i="96" s="1"/>
  <c r="AN30" i="96" s="1"/>
  <c r="T30" i="96"/>
  <c r="U30" i="96" s="1"/>
  <c r="V30" i="96" s="1"/>
  <c r="Z30" i="96"/>
  <c r="AA30" i="96" s="1"/>
  <c r="AB30" i="96" s="1"/>
  <c r="H30" i="96"/>
  <c r="I30" i="96" s="1"/>
  <c r="J30" i="96" s="1"/>
  <c r="N30" i="96"/>
  <c r="O30" i="96" s="1"/>
  <c r="P30" i="96" s="1"/>
  <c r="AF29" i="96"/>
  <c r="AG29" i="96" s="1"/>
  <c r="AH29" i="96" s="1"/>
  <c r="AL29" i="96"/>
  <c r="AM29" i="96" s="1"/>
  <c r="AN29" i="96" s="1"/>
  <c r="T29" i="96"/>
  <c r="U29" i="96" s="1"/>
  <c r="V29" i="96" s="1"/>
  <c r="Z29" i="96"/>
  <c r="AA29" i="96" s="1"/>
  <c r="AB29" i="96" s="1"/>
  <c r="H29" i="96"/>
  <c r="I29" i="96" s="1"/>
  <c r="J29" i="96" s="1"/>
  <c r="N29" i="96"/>
  <c r="O29" i="96" s="1"/>
  <c r="P29" i="96" s="1"/>
  <c r="AF28" i="96"/>
  <c r="AG28" i="96" s="1"/>
  <c r="AH28" i="96" s="1"/>
  <c r="AL28" i="96"/>
  <c r="AM28" i="96" s="1"/>
  <c r="AN28" i="96" s="1"/>
  <c r="T28" i="96"/>
  <c r="U28" i="96" s="1"/>
  <c r="V28" i="96" s="1"/>
  <c r="Z28" i="96"/>
  <c r="AA28" i="96" s="1"/>
  <c r="AB28" i="96" s="1"/>
  <c r="H28" i="96"/>
  <c r="I28" i="96" s="1"/>
  <c r="J28" i="96" s="1"/>
  <c r="N28" i="96"/>
  <c r="O28" i="96" s="1"/>
  <c r="P28" i="96" s="1"/>
  <c r="AF27" i="96"/>
  <c r="AG27" i="96" s="1"/>
  <c r="AH27" i="96" s="1"/>
  <c r="AL27" i="96"/>
  <c r="AM27" i="96" s="1"/>
  <c r="AN27" i="96" s="1"/>
  <c r="T27" i="96"/>
  <c r="U27" i="96" s="1"/>
  <c r="V27" i="96" s="1"/>
  <c r="Z27" i="96"/>
  <c r="AA27" i="96" s="1"/>
  <c r="AB27" i="96" s="1"/>
  <c r="H27" i="96"/>
  <c r="I27" i="96" s="1"/>
  <c r="J27" i="96" s="1"/>
  <c r="N27" i="96"/>
  <c r="O27" i="96" s="1"/>
  <c r="P27" i="96" s="1"/>
  <c r="AF26" i="96"/>
  <c r="AG26" i="96" s="1"/>
  <c r="AH26" i="96" s="1"/>
  <c r="AL26" i="96"/>
  <c r="AM26" i="96" s="1"/>
  <c r="AN26" i="96" s="1"/>
  <c r="T26" i="96"/>
  <c r="U26" i="96" s="1"/>
  <c r="V26" i="96" s="1"/>
  <c r="Z26" i="96"/>
  <c r="AA26" i="96" s="1"/>
  <c r="AB26" i="96" s="1"/>
  <c r="H26" i="96"/>
  <c r="I26" i="96" s="1"/>
  <c r="J26" i="96" s="1"/>
  <c r="N26" i="96"/>
  <c r="O26" i="96" s="1"/>
  <c r="P26" i="96" s="1"/>
  <c r="AF25" i="96"/>
  <c r="AG25" i="96" s="1"/>
  <c r="AH25" i="96" s="1"/>
  <c r="AL25" i="96"/>
  <c r="AM25" i="96" s="1"/>
  <c r="AN25" i="96" s="1"/>
  <c r="T25" i="96"/>
  <c r="U25" i="96" s="1"/>
  <c r="V25" i="96" s="1"/>
  <c r="Z25" i="96"/>
  <c r="AA25" i="96" s="1"/>
  <c r="AB25" i="96" s="1"/>
  <c r="H25" i="96"/>
  <c r="I25" i="96" s="1"/>
  <c r="J25" i="96" s="1"/>
  <c r="N25" i="96"/>
  <c r="O25" i="96" s="1"/>
  <c r="P25" i="96" s="1"/>
  <c r="AF24" i="96"/>
  <c r="AG24" i="96" s="1"/>
  <c r="AH24" i="96" s="1"/>
  <c r="AL24" i="96"/>
  <c r="AM24" i="96" s="1"/>
  <c r="AN24" i="96" s="1"/>
  <c r="T24" i="96"/>
  <c r="U24" i="96" s="1"/>
  <c r="V24" i="96" s="1"/>
  <c r="Z24" i="96"/>
  <c r="AA24" i="96" s="1"/>
  <c r="AB24" i="96" s="1"/>
  <c r="H24" i="96"/>
  <c r="I24" i="96" s="1"/>
  <c r="J24" i="96" s="1"/>
  <c r="N24" i="96"/>
  <c r="O24" i="96" s="1"/>
  <c r="P24" i="96" s="1"/>
  <c r="AF23" i="96"/>
  <c r="AG23" i="96" s="1"/>
  <c r="AH23" i="96" s="1"/>
  <c r="AL23" i="96"/>
  <c r="AM23" i="96" s="1"/>
  <c r="AN23" i="96" s="1"/>
  <c r="T23" i="96"/>
  <c r="U23" i="96" s="1"/>
  <c r="V23" i="96" s="1"/>
  <c r="Z23" i="96"/>
  <c r="AA23" i="96" s="1"/>
  <c r="AB23" i="96" s="1"/>
  <c r="H23" i="96"/>
  <c r="I23" i="96" s="1"/>
  <c r="J23" i="96" s="1"/>
  <c r="N23" i="96"/>
  <c r="O23" i="96" s="1"/>
  <c r="P23" i="96" s="1"/>
  <c r="AF22" i="96"/>
  <c r="AG22" i="96" s="1"/>
  <c r="AH22" i="96" s="1"/>
  <c r="AL22" i="96"/>
  <c r="AM22" i="96" s="1"/>
  <c r="AN22" i="96" s="1"/>
  <c r="T22" i="96"/>
  <c r="U22" i="96" s="1"/>
  <c r="V22" i="96" s="1"/>
  <c r="Z22" i="96"/>
  <c r="AA22" i="96" s="1"/>
  <c r="AB22" i="96" s="1"/>
  <c r="H22" i="96"/>
  <c r="I22" i="96" s="1"/>
  <c r="J22" i="96" s="1"/>
  <c r="N22" i="96"/>
  <c r="O22" i="96" s="1"/>
  <c r="P22" i="96" s="1"/>
  <c r="AF21" i="96"/>
  <c r="AG21" i="96" s="1"/>
  <c r="AH21" i="96" s="1"/>
  <c r="AL21" i="96"/>
  <c r="AM21" i="96" s="1"/>
  <c r="AN21" i="96" s="1"/>
  <c r="T21" i="96"/>
  <c r="U21" i="96" s="1"/>
  <c r="V21" i="96" s="1"/>
  <c r="Z21" i="96"/>
  <c r="AA21" i="96" s="1"/>
  <c r="AB21" i="96" s="1"/>
  <c r="H21" i="96"/>
  <c r="I21" i="96" s="1"/>
  <c r="J21" i="96" s="1"/>
  <c r="N21" i="96"/>
  <c r="O21" i="96" s="1"/>
  <c r="P21" i="96" s="1"/>
  <c r="AF20" i="96"/>
  <c r="AG20" i="96" s="1"/>
  <c r="AH20" i="96" s="1"/>
  <c r="AL20" i="96"/>
  <c r="AM20" i="96" s="1"/>
  <c r="AN20" i="96" s="1"/>
  <c r="T20" i="96"/>
  <c r="U20" i="96" s="1"/>
  <c r="V20" i="96" s="1"/>
  <c r="Z20" i="96"/>
  <c r="AA20" i="96" s="1"/>
  <c r="AB20" i="96" s="1"/>
  <c r="H20" i="96"/>
  <c r="I20" i="96" s="1"/>
  <c r="J20" i="96" s="1"/>
  <c r="N20" i="96"/>
  <c r="O20" i="96" s="1"/>
  <c r="P20" i="96" s="1"/>
  <c r="AF19" i="96"/>
  <c r="AG19" i="96" s="1"/>
  <c r="AH19" i="96" s="1"/>
  <c r="AL19" i="96"/>
  <c r="AM19" i="96" s="1"/>
  <c r="AN19" i="96" s="1"/>
  <c r="T19" i="96"/>
  <c r="U19" i="96" s="1"/>
  <c r="V19" i="96" s="1"/>
  <c r="Z19" i="96"/>
  <c r="AA19" i="96" s="1"/>
  <c r="AB19" i="96" s="1"/>
  <c r="H19" i="96"/>
  <c r="I19" i="96" s="1"/>
  <c r="J19" i="96" s="1"/>
  <c r="N19" i="96"/>
  <c r="O19" i="96" s="1"/>
  <c r="P19" i="96" s="1"/>
  <c r="AF18" i="96"/>
  <c r="AG18" i="96" s="1"/>
  <c r="AH18" i="96" s="1"/>
  <c r="AL18" i="96"/>
  <c r="AM18" i="96" s="1"/>
  <c r="AN18" i="96" s="1"/>
  <c r="T18" i="96"/>
  <c r="U18" i="96" s="1"/>
  <c r="V18" i="96" s="1"/>
  <c r="Z18" i="96"/>
  <c r="AA18" i="96" s="1"/>
  <c r="AB18" i="96" s="1"/>
  <c r="H18" i="96"/>
  <c r="I18" i="96" s="1"/>
  <c r="J18" i="96" s="1"/>
  <c r="N18" i="96"/>
  <c r="O18" i="96" s="1"/>
  <c r="P18" i="96" s="1"/>
  <c r="AF17" i="96"/>
  <c r="AG17" i="96" s="1"/>
  <c r="AH17" i="96" s="1"/>
  <c r="AL17" i="96"/>
  <c r="AM17" i="96" s="1"/>
  <c r="AN17" i="96" s="1"/>
  <c r="T17" i="96"/>
  <c r="U17" i="96" s="1"/>
  <c r="V17" i="96" s="1"/>
  <c r="Z17" i="96"/>
  <c r="AA17" i="96" s="1"/>
  <c r="AB17" i="96" s="1"/>
  <c r="H17" i="96"/>
  <c r="I17" i="96" s="1"/>
  <c r="J17" i="96" s="1"/>
  <c r="N17" i="96"/>
  <c r="O17" i="96" s="1"/>
  <c r="P17" i="96" s="1"/>
  <c r="N23" i="90"/>
  <c r="O23" i="90" s="1"/>
  <c r="P23" i="90" s="1"/>
  <c r="H33" i="90"/>
  <c r="I33" i="90" s="1"/>
  <c r="J33" i="90" s="1"/>
  <c r="Z33" i="90"/>
  <c r="AA33" i="90" s="1"/>
  <c r="AB33" i="90" s="1"/>
  <c r="AF33" i="90"/>
  <c r="AG33" i="90" s="1"/>
  <c r="AH33" i="90" s="1"/>
  <c r="C33" i="90" s="1"/>
  <c r="N38" i="90"/>
  <c r="O38" i="90" s="1"/>
  <c r="P38" i="90" s="1"/>
  <c r="T38" i="90"/>
  <c r="U38" i="90" s="1"/>
  <c r="V38" i="90" s="1"/>
  <c r="Z38" i="90"/>
  <c r="AA38" i="90" s="1"/>
  <c r="AB38" i="90" s="1"/>
  <c r="H38" i="90"/>
  <c r="I38" i="90" s="1"/>
  <c r="J38" i="90" s="1"/>
  <c r="C37" i="90"/>
  <c r="N36" i="90"/>
  <c r="O36" i="90" s="1"/>
  <c r="P36" i="90" s="1"/>
  <c r="AF36" i="90"/>
  <c r="AG36" i="90" s="1"/>
  <c r="AH36" i="90" s="1"/>
  <c r="T36" i="90"/>
  <c r="U36" i="90" s="1"/>
  <c r="V36" i="90" s="1"/>
  <c r="Z36" i="90"/>
  <c r="AA36" i="90" s="1"/>
  <c r="AB36" i="90" s="1"/>
  <c r="H36" i="90"/>
  <c r="I36" i="90" s="1"/>
  <c r="J36" i="90" s="1"/>
  <c r="C35" i="90"/>
  <c r="N34" i="90"/>
  <c r="O34" i="90" s="1"/>
  <c r="P34" i="90" s="1"/>
  <c r="AF34" i="90"/>
  <c r="AG34" i="90" s="1"/>
  <c r="AH34" i="90" s="1"/>
  <c r="T34" i="90"/>
  <c r="U34" i="90" s="1"/>
  <c r="V34" i="90" s="1"/>
  <c r="Z34" i="90"/>
  <c r="AA34" i="90" s="1"/>
  <c r="AB34" i="90" s="1"/>
  <c r="H34" i="90"/>
  <c r="I34" i="90" s="1"/>
  <c r="J34" i="90" s="1"/>
  <c r="Z32" i="90"/>
  <c r="AA32" i="90" s="1"/>
  <c r="AB32" i="90" s="1"/>
  <c r="AF32" i="90"/>
  <c r="AG32" i="90" s="1"/>
  <c r="AH32" i="90" s="1"/>
  <c r="H32" i="90"/>
  <c r="I32" i="90" s="1"/>
  <c r="J32" i="90" s="1"/>
  <c r="N32" i="90"/>
  <c r="O32" i="90" s="1"/>
  <c r="P32" i="90" s="1"/>
  <c r="T32" i="90"/>
  <c r="U32" i="90" s="1"/>
  <c r="V32" i="90" s="1"/>
  <c r="Z31" i="90"/>
  <c r="AA31" i="90" s="1"/>
  <c r="AB31" i="90" s="1"/>
  <c r="AF31" i="90"/>
  <c r="AG31" i="90" s="1"/>
  <c r="AH31" i="90" s="1"/>
  <c r="H31" i="90"/>
  <c r="I31" i="90" s="1"/>
  <c r="J31" i="90" s="1"/>
  <c r="T31" i="90"/>
  <c r="U31" i="90" s="1"/>
  <c r="V31" i="90" s="1"/>
  <c r="N31" i="90"/>
  <c r="O31" i="90" s="1"/>
  <c r="P31" i="90" s="1"/>
  <c r="Z30" i="90"/>
  <c r="AA30" i="90" s="1"/>
  <c r="AB30" i="90" s="1"/>
  <c r="AF30" i="90"/>
  <c r="AG30" i="90" s="1"/>
  <c r="AH30" i="90" s="1"/>
  <c r="H30" i="90"/>
  <c r="I30" i="90" s="1"/>
  <c r="J30" i="90" s="1"/>
  <c r="T30" i="90"/>
  <c r="U30" i="90" s="1"/>
  <c r="V30" i="90" s="1"/>
  <c r="N30" i="90"/>
  <c r="O30" i="90" s="1"/>
  <c r="P30" i="90" s="1"/>
  <c r="Z29" i="90"/>
  <c r="AA29" i="90" s="1"/>
  <c r="AB29" i="90" s="1"/>
  <c r="AF29" i="90"/>
  <c r="AG29" i="90" s="1"/>
  <c r="AH29" i="90" s="1"/>
  <c r="H29" i="90"/>
  <c r="I29" i="90" s="1"/>
  <c r="J29" i="90" s="1"/>
  <c r="T29" i="90"/>
  <c r="U29" i="90" s="1"/>
  <c r="V29" i="90" s="1"/>
  <c r="N28" i="90"/>
  <c r="O28" i="90" s="1"/>
  <c r="P28" i="90" s="1"/>
  <c r="AF28" i="90"/>
  <c r="AG28" i="90" s="1"/>
  <c r="AH28" i="90" s="1"/>
  <c r="T28" i="90"/>
  <c r="U28" i="90" s="1"/>
  <c r="V28" i="90" s="1"/>
  <c r="Z28" i="90"/>
  <c r="AA28" i="90" s="1"/>
  <c r="AB28" i="90" s="1"/>
  <c r="H28" i="90"/>
  <c r="I28" i="90" s="1"/>
  <c r="J28" i="90" s="1"/>
  <c r="N27" i="90"/>
  <c r="O27" i="90" s="1"/>
  <c r="P27" i="90" s="1"/>
  <c r="Z27" i="90"/>
  <c r="AA27" i="90" s="1"/>
  <c r="AB27" i="90" s="1"/>
  <c r="H27" i="90"/>
  <c r="I27" i="90" s="1"/>
  <c r="J27" i="90" s="1"/>
  <c r="T27" i="90"/>
  <c r="U27" i="90" s="1"/>
  <c r="V27" i="90" s="1"/>
  <c r="H26" i="90"/>
  <c r="I26" i="90" s="1"/>
  <c r="J26" i="90" s="1"/>
  <c r="AF26" i="90"/>
  <c r="AG26" i="90" s="1"/>
  <c r="AH26" i="90" s="1"/>
  <c r="T26" i="90"/>
  <c r="U26" i="90" s="1"/>
  <c r="V26" i="90" s="1"/>
  <c r="Z26" i="90"/>
  <c r="AA26" i="90" s="1"/>
  <c r="AB26" i="90" s="1"/>
  <c r="N26" i="90"/>
  <c r="O26" i="90" s="1"/>
  <c r="P26" i="90" s="1"/>
  <c r="Z25" i="90"/>
  <c r="AA25" i="90" s="1"/>
  <c r="AB25" i="90" s="1"/>
  <c r="AF25" i="90"/>
  <c r="AG25" i="90" s="1"/>
  <c r="AH25" i="90" s="1"/>
  <c r="H25" i="90"/>
  <c r="I25" i="90" s="1"/>
  <c r="J25" i="90" s="1"/>
  <c r="T25" i="90"/>
  <c r="U25" i="90" s="1"/>
  <c r="V25" i="90" s="1"/>
  <c r="N25" i="90"/>
  <c r="O25" i="90" s="1"/>
  <c r="P25" i="90" s="1"/>
  <c r="N24" i="90"/>
  <c r="O24" i="90" s="1"/>
  <c r="P24" i="90" s="1"/>
  <c r="T24" i="90"/>
  <c r="U24" i="90" s="1"/>
  <c r="V24" i="90" s="1"/>
  <c r="Z24" i="90"/>
  <c r="AA24" i="90" s="1"/>
  <c r="AB24" i="90" s="1"/>
  <c r="H24" i="90"/>
  <c r="I24" i="90" s="1"/>
  <c r="J24" i="90" s="1"/>
  <c r="T23" i="90"/>
  <c r="U23" i="90" s="1"/>
  <c r="V23" i="90" s="1"/>
  <c r="H23" i="90"/>
  <c r="I23" i="90" s="1"/>
  <c r="J23" i="90" s="1"/>
  <c r="Z23" i="90"/>
  <c r="AA23" i="90" s="1"/>
  <c r="AB23" i="90" s="1"/>
  <c r="H22" i="90"/>
  <c r="I22" i="90" s="1"/>
  <c r="J22" i="90" s="1"/>
  <c r="AF22" i="90"/>
  <c r="AG22" i="90" s="1"/>
  <c r="AH22" i="90" s="1"/>
  <c r="T22" i="90"/>
  <c r="U22" i="90" s="1"/>
  <c r="V22" i="90" s="1"/>
  <c r="Z22" i="90"/>
  <c r="AA22" i="90" s="1"/>
  <c r="AB22" i="90" s="1"/>
  <c r="Z21" i="90"/>
  <c r="AA21" i="90" s="1"/>
  <c r="AB21" i="90" s="1"/>
  <c r="AF21" i="90"/>
  <c r="AG21" i="90" s="1"/>
  <c r="AH21" i="90" s="1"/>
  <c r="H21" i="90"/>
  <c r="I21" i="90" s="1"/>
  <c r="J21" i="90" s="1"/>
  <c r="T21" i="90"/>
  <c r="U21" i="90" s="1"/>
  <c r="V21" i="90" s="1"/>
  <c r="N21" i="90"/>
  <c r="O21" i="90" s="1"/>
  <c r="P21" i="90" s="1"/>
  <c r="N20" i="90"/>
  <c r="O20" i="90" s="1"/>
  <c r="P20" i="90" s="1"/>
  <c r="AF20" i="90"/>
  <c r="AG20" i="90" s="1"/>
  <c r="AH20" i="90" s="1"/>
  <c r="H20" i="90"/>
  <c r="I20" i="90" s="1"/>
  <c r="J20" i="90" s="1"/>
  <c r="Z20" i="90"/>
  <c r="AA20" i="90" s="1"/>
  <c r="AB20" i="90" s="1"/>
  <c r="H19" i="90"/>
  <c r="I19" i="90" s="1"/>
  <c r="J19" i="90" s="1"/>
  <c r="Z19" i="90"/>
  <c r="AA19" i="90" s="1"/>
  <c r="AB19" i="90" s="1"/>
  <c r="N19" i="90"/>
  <c r="O19" i="90" s="1"/>
  <c r="P19" i="90" s="1"/>
  <c r="Z18" i="90"/>
  <c r="AA18" i="90" s="1"/>
  <c r="AB18" i="90" s="1"/>
  <c r="AF18" i="90"/>
  <c r="AG18" i="90" s="1"/>
  <c r="AH18" i="90" s="1"/>
  <c r="H18" i="90"/>
  <c r="I18" i="90" s="1"/>
  <c r="J18" i="90" s="1"/>
  <c r="N17" i="90"/>
  <c r="O17" i="90" s="1"/>
  <c r="P17" i="90" s="1"/>
  <c r="Z17" i="90"/>
  <c r="AA17" i="90" s="1"/>
  <c r="AB17" i="90" s="1"/>
  <c r="H17" i="90"/>
  <c r="I17" i="90" s="1"/>
  <c r="J17" i="90" s="1"/>
  <c r="T17" i="90"/>
  <c r="U17" i="90" s="1"/>
  <c r="V17" i="90" s="1"/>
  <c r="N16" i="90"/>
  <c r="O16" i="90" s="1"/>
  <c r="P16" i="90" s="1"/>
  <c r="AF16" i="90"/>
  <c r="AG16" i="90" s="1"/>
  <c r="AH16" i="90" s="1"/>
  <c r="H16" i="90"/>
  <c r="I16" i="90" s="1"/>
  <c r="J16" i="90" s="1"/>
  <c r="Z16" i="90"/>
  <c r="AA16" i="90" s="1"/>
  <c r="AB16" i="90" s="1"/>
  <c r="N24" i="94"/>
  <c r="O24" i="94" s="1"/>
  <c r="P24" i="94" s="1"/>
  <c r="N28" i="94"/>
  <c r="O28" i="94" s="1"/>
  <c r="P28" i="94" s="1"/>
  <c r="H30" i="94"/>
  <c r="I30" i="94" s="1"/>
  <c r="J30" i="94" s="1"/>
  <c r="N22" i="94"/>
  <c r="O22" i="94" s="1"/>
  <c r="P22" i="94" s="1"/>
  <c r="C22" i="94" s="1"/>
  <c r="N26" i="94"/>
  <c r="O26" i="94" s="1"/>
  <c r="P26" i="94" s="1"/>
  <c r="H28" i="94"/>
  <c r="I28" i="94" s="1"/>
  <c r="J28" i="94" s="1"/>
  <c r="N33" i="94"/>
  <c r="O33" i="94" s="1"/>
  <c r="P33" i="94" s="1"/>
  <c r="C33" i="94" s="1"/>
  <c r="C30" i="94"/>
  <c r="N20" i="94"/>
  <c r="O20" i="94" s="1"/>
  <c r="P20" i="94" s="1"/>
  <c r="N34" i="94"/>
  <c r="O34" i="94" s="1"/>
  <c r="P34" i="94" s="1"/>
  <c r="N36" i="94"/>
  <c r="O36" i="94" s="1"/>
  <c r="P36" i="94" s="1"/>
  <c r="C36" i="94" s="1"/>
  <c r="H35" i="94"/>
  <c r="I35" i="94" s="1"/>
  <c r="J35" i="94" s="1"/>
  <c r="T35" i="94"/>
  <c r="U35" i="94" s="1"/>
  <c r="V35" i="94" s="1"/>
  <c r="C34" i="94"/>
  <c r="C32" i="94"/>
  <c r="H31" i="94"/>
  <c r="I31" i="94" s="1"/>
  <c r="J31" i="94" s="1"/>
  <c r="N31" i="94"/>
  <c r="O31" i="94" s="1"/>
  <c r="P31" i="94" s="1"/>
  <c r="H29" i="94"/>
  <c r="I29" i="94" s="1"/>
  <c r="J29" i="94" s="1"/>
  <c r="N29" i="94"/>
  <c r="O29" i="94" s="1"/>
  <c r="P29" i="94" s="1"/>
  <c r="C28" i="94"/>
  <c r="H27" i="94"/>
  <c r="I27" i="94" s="1"/>
  <c r="J27" i="94" s="1"/>
  <c r="N27" i="94"/>
  <c r="O27" i="94" s="1"/>
  <c r="P27" i="94" s="1"/>
  <c r="H26" i="94"/>
  <c r="I26" i="94" s="1"/>
  <c r="J26" i="94" s="1"/>
  <c r="C26" i="94" s="1"/>
  <c r="H25" i="94"/>
  <c r="I25" i="94" s="1"/>
  <c r="J25" i="94" s="1"/>
  <c r="T25" i="94"/>
  <c r="U25" i="94" s="1"/>
  <c r="V25" i="94" s="1"/>
  <c r="C24" i="94"/>
  <c r="H20" i="94"/>
  <c r="I20" i="94" s="1"/>
  <c r="J20" i="94" s="1"/>
  <c r="C20" i="94" s="1"/>
  <c r="H17" i="94"/>
  <c r="I17" i="94" s="1"/>
  <c r="J17" i="94" s="1"/>
  <c r="N17" i="94"/>
  <c r="O17" i="94" s="1"/>
  <c r="P17" i="94" s="1"/>
  <c r="H16" i="94"/>
  <c r="I16" i="94" s="1"/>
  <c r="J16" i="94" s="1"/>
  <c r="T16" i="94"/>
  <c r="U16" i="94" s="1"/>
  <c r="V16" i="94" s="1"/>
  <c r="H34" i="88"/>
  <c r="I34" i="88" s="1"/>
  <c r="J34" i="88" s="1"/>
  <c r="Z30" i="88"/>
  <c r="AA30" i="88" s="1"/>
  <c r="AB30" i="88" s="1"/>
  <c r="T30" i="88"/>
  <c r="U30" i="88" s="1"/>
  <c r="V30" i="88" s="1"/>
  <c r="H33" i="88"/>
  <c r="I33" i="88" s="1"/>
  <c r="J33" i="88" s="1"/>
  <c r="AL40" i="88"/>
  <c r="AM40" i="88" s="1"/>
  <c r="AN40" i="88" s="1"/>
  <c r="AR40" i="88"/>
  <c r="AS40" i="88" s="1"/>
  <c r="AT40" i="88" s="1"/>
  <c r="T40" i="88"/>
  <c r="U40" i="88" s="1"/>
  <c r="V40" i="88" s="1"/>
  <c r="Z40" i="88"/>
  <c r="AA40" i="88" s="1"/>
  <c r="AB40" i="88" s="1"/>
  <c r="Z39" i="88"/>
  <c r="AA39" i="88" s="1"/>
  <c r="AB39" i="88" s="1"/>
  <c r="AL39" i="88"/>
  <c r="AM39" i="88" s="1"/>
  <c r="AN39" i="88" s="1"/>
  <c r="H39" i="88"/>
  <c r="I39" i="88" s="1"/>
  <c r="J39" i="88" s="1"/>
  <c r="N39" i="88"/>
  <c r="O39" i="88" s="1"/>
  <c r="P39" i="88" s="1"/>
  <c r="T39" i="88"/>
  <c r="U39" i="88" s="1"/>
  <c r="V39" i="88" s="1"/>
  <c r="AL38" i="88"/>
  <c r="AM38" i="88" s="1"/>
  <c r="AN38" i="88" s="1"/>
  <c r="AR38" i="88"/>
  <c r="AS38" i="88" s="1"/>
  <c r="AT38" i="88" s="1"/>
  <c r="T38" i="88"/>
  <c r="U38" i="88" s="1"/>
  <c r="V38" i="88" s="1"/>
  <c r="Z38" i="88"/>
  <c r="AA38" i="88" s="1"/>
  <c r="AB38" i="88" s="1"/>
  <c r="G37" i="88"/>
  <c r="Z37" i="88"/>
  <c r="AA37" i="88" s="1"/>
  <c r="AB37" i="88" s="1"/>
  <c r="AL37" i="88"/>
  <c r="AM37" i="88" s="1"/>
  <c r="AN37" i="88" s="1"/>
  <c r="H37" i="88"/>
  <c r="I37" i="88" s="1"/>
  <c r="J37" i="88" s="1"/>
  <c r="N37" i="88"/>
  <c r="O37" i="88" s="1"/>
  <c r="P37" i="88" s="1"/>
  <c r="T37" i="88"/>
  <c r="U37" i="88" s="1"/>
  <c r="V37" i="88" s="1"/>
  <c r="N36" i="88"/>
  <c r="O36" i="88" s="1"/>
  <c r="P36" i="88" s="1"/>
  <c r="AL36" i="88"/>
  <c r="AM36" i="88" s="1"/>
  <c r="AN36" i="88" s="1"/>
  <c r="T36" i="88"/>
  <c r="U36" i="88" s="1"/>
  <c r="V36" i="88" s="1"/>
  <c r="Z36" i="88"/>
  <c r="AA36" i="88" s="1"/>
  <c r="AB36" i="88" s="1"/>
  <c r="G36" i="88"/>
  <c r="H36" i="88"/>
  <c r="I36" i="88" s="1"/>
  <c r="J36" i="88" s="1"/>
  <c r="G35" i="88"/>
  <c r="AL35" i="88"/>
  <c r="AM35" i="88" s="1"/>
  <c r="AN35" i="88" s="1"/>
  <c r="H35" i="88"/>
  <c r="I35" i="88" s="1"/>
  <c r="J35" i="88" s="1"/>
  <c r="Z35" i="88"/>
  <c r="AA35" i="88" s="1"/>
  <c r="AB35" i="88" s="1"/>
  <c r="N35" i="88"/>
  <c r="O35" i="88" s="1"/>
  <c r="P35" i="88" s="1"/>
  <c r="T35" i="88"/>
  <c r="U35" i="88" s="1"/>
  <c r="V35" i="88" s="1"/>
  <c r="Z34" i="88"/>
  <c r="AA34" i="88" s="1"/>
  <c r="AB34" i="88" s="1"/>
  <c r="AL34" i="88"/>
  <c r="AM34" i="88" s="1"/>
  <c r="AN34" i="88" s="1"/>
  <c r="G34" i="88"/>
  <c r="N34" i="88"/>
  <c r="O34" i="88" s="1"/>
  <c r="P34" i="88" s="1"/>
  <c r="T34" i="88"/>
  <c r="U34" i="88" s="1"/>
  <c r="V34" i="88" s="1"/>
  <c r="G33" i="88"/>
  <c r="AL33" i="88"/>
  <c r="AM33" i="88" s="1"/>
  <c r="AN33" i="88" s="1"/>
  <c r="T33" i="88"/>
  <c r="U33" i="88" s="1"/>
  <c r="V33" i="88" s="1"/>
  <c r="N33" i="88"/>
  <c r="O33" i="88" s="1"/>
  <c r="P33" i="88" s="1"/>
  <c r="Z33" i="88"/>
  <c r="AA33" i="88" s="1"/>
  <c r="AB33" i="88" s="1"/>
  <c r="H32" i="88"/>
  <c r="I32" i="88" s="1"/>
  <c r="J32" i="88" s="1"/>
  <c r="AR32" i="88"/>
  <c r="AS32" i="88" s="1"/>
  <c r="AT32" i="88" s="1"/>
  <c r="G32" i="88"/>
  <c r="AL32" i="88"/>
  <c r="AM32" i="88" s="1"/>
  <c r="AN32" i="88" s="1"/>
  <c r="N32" i="88"/>
  <c r="O32" i="88" s="1"/>
  <c r="P32" i="88" s="1"/>
  <c r="T32" i="88"/>
  <c r="U32" i="88" s="1"/>
  <c r="V32" i="88" s="1"/>
  <c r="Z32" i="88"/>
  <c r="AA32" i="88" s="1"/>
  <c r="AB32" i="88" s="1"/>
  <c r="G31" i="88"/>
  <c r="AR31" i="88"/>
  <c r="AS31" i="88" s="1"/>
  <c r="AT31" i="88" s="1"/>
  <c r="Z31" i="88"/>
  <c r="AA31" i="88" s="1"/>
  <c r="AB31" i="88" s="1"/>
  <c r="AL31" i="88"/>
  <c r="AM31" i="88" s="1"/>
  <c r="AN31" i="88" s="1"/>
  <c r="H31" i="88"/>
  <c r="I31" i="88" s="1"/>
  <c r="J31" i="88" s="1"/>
  <c r="N31" i="88"/>
  <c r="O31" i="88" s="1"/>
  <c r="P31" i="88" s="1"/>
  <c r="T31" i="88"/>
  <c r="U31" i="88" s="1"/>
  <c r="V31" i="88" s="1"/>
  <c r="H30" i="88"/>
  <c r="I30" i="88" s="1"/>
  <c r="J30" i="88" s="1"/>
  <c r="AL30" i="88"/>
  <c r="AM30" i="88" s="1"/>
  <c r="AN30" i="88" s="1"/>
  <c r="N30" i="88"/>
  <c r="O30" i="88" s="1"/>
  <c r="P30" i="88" s="1"/>
  <c r="G30" i="88"/>
  <c r="Z29" i="88"/>
  <c r="AA29" i="88" s="1"/>
  <c r="AB29" i="88" s="1"/>
  <c r="AL29" i="88"/>
  <c r="AM29" i="88" s="1"/>
  <c r="AN29" i="88" s="1"/>
  <c r="T29" i="88"/>
  <c r="U29" i="88" s="1"/>
  <c r="V29" i="88" s="1"/>
  <c r="N29" i="88"/>
  <c r="O29" i="88" s="1"/>
  <c r="P29" i="88" s="1"/>
  <c r="AL28" i="88"/>
  <c r="AM28" i="88" s="1"/>
  <c r="AN28" i="88" s="1"/>
  <c r="AR28" i="88"/>
  <c r="AS28" i="88" s="1"/>
  <c r="AT28" i="88" s="1"/>
  <c r="N28" i="88"/>
  <c r="O28" i="88" s="1"/>
  <c r="P28" i="88" s="1"/>
  <c r="G28" i="88"/>
  <c r="T28" i="88"/>
  <c r="U28" i="88" s="1"/>
  <c r="V28" i="88" s="1"/>
  <c r="Z28" i="88"/>
  <c r="AA28" i="88" s="1"/>
  <c r="AB28" i="88" s="1"/>
  <c r="G27" i="88"/>
  <c r="Z27" i="88"/>
  <c r="AA27" i="88" s="1"/>
  <c r="AB27" i="88" s="1"/>
  <c r="AL27" i="88"/>
  <c r="AM27" i="88" s="1"/>
  <c r="AN27" i="88" s="1"/>
  <c r="H27" i="88"/>
  <c r="I27" i="88" s="1"/>
  <c r="J27" i="88" s="1"/>
  <c r="N27" i="88"/>
  <c r="O27" i="88" s="1"/>
  <c r="P27" i="88" s="1"/>
  <c r="T27" i="88"/>
  <c r="U27" i="88" s="1"/>
  <c r="V27" i="88" s="1"/>
  <c r="G26" i="88"/>
  <c r="AL26" i="88"/>
  <c r="AM26" i="88" s="1"/>
  <c r="AN26" i="88" s="1"/>
  <c r="T26" i="88"/>
  <c r="U26" i="88" s="1"/>
  <c r="V26" i="88" s="1"/>
  <c r="Z26" i="88"/>
  <c r="AA26" i="88" s="1"/>
  <c r="AB26" i="88" s="1"/>
  <c r="N26" i="88"/>
  <c r="O26" i="88" s="1"/>
  <c r="P26" i="88" s="1"/>
  <c r="H26" i="88"/>
  <c r="I26" i="88" s="1"/>
  <c r="J26" i="88" s="1"/>
  <c r="AL25" i="88"/>
  <c r="AM25" i="88" s="1"/>
  <c r="AN25" i="88" s="1"/>
  <c r="AR25" i="88"/>
  <c r="AS25" i="88" s="1"/>
  <c r="AT25" i="88" s="1"/>
  <c r="H25" i="88"/>
  <c r="I25" i="88" s="1"/>
  <c r="J25" i="88" s="1"/>
  <c r="Z25" i="88"/>
  <c r="AA25" i="88" s="1"/>
  <c r="AB25" i="88" s="1"/>
  <c r="T25" i="88"/>
  <c r="U25" i="88" s="1"/>
  <c r="V25" i="88" s="1"/>
  <c r="N25" i="88"/>
  <c r="O25" i="88" s="1"/>
  <c r="P25" i="88" s="1"/>
  <c r="H24" i="88"/>
  <c r="I24" i="88" s="1"/>
  <c r="J24" i="88" s="1"/>
  <c r="AL24" i="88"/>
  <c r="AM24" i="88" s="1"/>
  <c r="AN24" i="88" s="1"/>
  <c r="T24" i="88"/>
  <c r="U24" i="88" s="1"/>
  <c r="V24" i="88" s="1"/>
  <c r="Z24" i="88"/>
  <c r="AA24" i="88" s="1"/>
  <c r="AB24" i="88" s="1"/>
  <c r="G24" i="88"/>
  <c r="N24" i="88"/>
  <c r="O24" i="88" s="1"/>
  <c r="P24" i="88" s="1"/>
  <c r="H23" i="88"/>
  <c r="I23" i="88" s="1"/>
  <c r="J23" i="88" s="1"/>
  <c r="Z23" i="88"/>
  <c r="AA23" i="88" s="1"/>
  <c r="AB23" i="88" s="1"/>
  <c r="AL23" i="88"/>
  <c r="AM23" i="88" s="1"/>
  <c r="AN23" i="88" s="1"/>
  <c r="G23" i="88"/>
  <c r="T23" i="88"/>
  <c r="U23" i="88" s="1"/>
  <c r="V23" i="88" s="1"/>
  <c r="N23" i="88"/>
  <c r="O23" i="88" s="1"/>
  <c r="P23" i="88" s="1"/>
  <c r="T22" i="88"/>
  <c r="U22" i="88" s="1"/>
  <c r="V22" i="88" s="1"/>
  <c r="AL22" i="88"/>
  <c r="AM22" i="88" s="1"/>
  <c r="AN22" i="88" s="1"/>
  <c r="H22" i="88"/>
  <c r="I22" i="88" s="1"/>
  <c r="J22" i="88" s="1"/>
  <c r="N22" i="88"/>
  <c r="O22" i="88" s="1"/>
  <c r="P22" i="88" s="1"/>
  <c r="G22" i="88"/>
  <c r="H21" i="88"/>
  <c r="I21" i="88" s="1"/>
  <c r="J21" i="88" s="1"/>
  <c r="AR21" i="88"/>
  <c r="AS21" i="88" s="1"/>
  <c r="AT21" i="88" s="1"/>
  <c r="Z21" i="88"/>
  <c r="AA21" i="88" s="1"/>
  <c r="AB21" i="88" s="1"/>
  <c r="AL21" i="88"/>
  <c r="AM21" i="88" s="1"/>
  <c r="AN21" i="88" s="1"/>
  <c r="G21" i="88"/>
  <c r="N21" i="88"/>
  <c r="O21" i="88" s="1"/>
  <c r="P21" i="88" s="1"/>
  <c r="T21" i="88"/>
  <c r="U21" i="88" s="1"/>
  <c r="V21" i="88" s="1"/>
  <c r="G20" i="88"/>
  <c r="AL20" i="88"/>
  <c r="AM20" i="88" s="1"/>
  <c r="AN20" i="88" s="1"/>
  <c r="T20" i="88"/>
  <c r="U20" i="88" s="1"/>
  <c r="V20" i="88" s="1"/>
  <c r="Z20" i="88"/>
  <c r="AA20" i="88" s="1"/>
  <c r="AB20" i="88" s="1"/>
  <c r="N20" i="88"/>
  <c r="O20" i="88" s="1"/>
  <c r="P20" i="88" s="1"/>
  <c r="H20" i="88"/>
  <c r="I20" i="88" s="1"/>
  <c r="J20" i="88" s="1"/>
  <c r="H19" i="88"/>
  <c r="I19" i="88" s="1"/>
  <c r="J19" i="88" s="1"/>
  <c r="AL19" i="88"/>
  <c r="AM19" i="88" s="1"/>
  <c r="AN19" i="88" s="1"/>
  <c r="G19" i="88"/>
  <c r="N19" i="88"/>
  <c r="O19" i="88" s="1"/>
  <c r="P19" i="88" s="1"/>
  <c r="T19" i="88"/>
  <c r="U19" i="88" s="1"/>
  <c r="V19" i="88" s="1"/>
  <c r="G18" i="88"/>
  <c r="AL18" i="88"/>
  <c r="AM18" i="88" s="1"/>
  <c r="AN18" i="88" s="1"/>
  <c r="H18" i="88"/>
  <c r="I18" i="88" s="1"/>
  <c r="J18" i="88" s="1"/>
  <c r="T18" i="88"/>
  <c r="U18" i="88" s="1"/>
  <c r="V18" i="88" s="1"/>
  <c r="N18" i="88"/>
  <c r="O18" i="88" s="1"/>
  <c r="P18" i="88" s="1"/>
  <c r="C33" i="82" l="1"/>
  <c r="C34" i="82"/>
  <c r="C23" i="82"/>
  <c r="C28" i="82"/>
  <c r="C37" i="82"/>
  <c r="C36" i="82"/>
  <c r="C32" i="82"/>
  <c r="C30" i="82"/>
  <c r="C29" i="82"/>
  <c r="C26" i="82"/>
  <c r="C25" i="82"/>
  <c r="C22" i="82"/>
  <c r="C21" i="82"/>
  <c r="C19" i="82"/>
  <c r="C18" i="82"/>
  <c r="C19" i="93"/>
  <c r="C35" i="93"/>
  <c r="C37" i="93"/>
  <c r="C36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8" i="93"/>
  <c r="C17" i="93"/>
  <c r="C16" i="93"/>
  <c r="C15" i="93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37" i="96"/>
  <c r="C39" i="96"/>
  <c r="C38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8" i="90"/>
  <c r="C28" i="90"/>
  <c r="C16" i="90"/>
  <c r="C34" i="90"/>
  <c r="C20" i="90"/>
  <c r="C26" i="90"/>
  <c r="C36" i="90"/>
  <c r="C38" i="90"/>
  <c r="C32" i="90"/>
  <c r="C31" i="90"/>
  <c r="C30" i="90"/>
  <c r="C29" i="90"/>
  <c r="C27" i="90"/>
  <c r="C25" i="90"/>
  <c r="C24" i="90"/>
  <c r="C23" i="90"/>
  <c r="C22" i="90"/>
  <c r="C21" i="90"/>
  <c r="C19" i="90"/>
  <c r="C17" i="90"/>
  <c r="C29" i="94"/>
  <c r="C25" i="94"/>
  <c r="C35" i="94"/>
  <c r="C17" i="94"/>
  <c r="C27" i="94"/>
  <c r="C16" i="94"/>
  <c r="C31" i="94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</calcChain>
</file>

<file path=xl/comments1.xml><?xml version="1.0" encoding="utf-8"?>
<comments xmlns="http://schemas.openxmlformats.org/spreadsheetml/2006/main">
  <authors>
    <author>Чулков Александр Сергеевич</author>
  </authors>
  <commentList>
    <comment ref="B18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значение;6Взвешенное значение;7Взвешенное значение))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оценке;6Применим ли в оценке;7Применим ли в оценке)=0;0;1)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Свободный "1Оценка"
Итоги подводятся только по видимым элементам (сумма).
Включена типовая формула:
=ЕСЛИ(1Применим ли в оценке=1;(MIN(Вес1.1;Вес1.2;Вес1.3;Вес1.4;Вес1.5;Вес1.6;Вес1.7))*((100/MIN(Вес1.1;Вес1.2;Вес1.3;Вес1.4;Вес1.5;Вес1.6;Вес1.7))/Сумма весов*Вес1.1/MIN(Вес1.1;Вес1.2;Вес1.3;Вес1.4;Вес1.5;Вес1.6;Вес1.7));"")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оценке=1;(MIN(Вес1.1;Вес1.2;Вес1.3;Вес1.4;Вес1.5;Вес1.6;Вес1.7))*((100/MIN(Вес1.1;Вес1.2;Вес1.3;Вес1.4;Вес1.5;Вес1.6;Вес1.7))/Сумма весов*Вес1.1/MIN(Вес1.1;Вес1.2;Вес1.3;Вес1.4;Вес1.5;Вес1.6;Вес1.7));"")</t>
        </r>
      </text>
    </comment>
    <comment ref="I18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применяется";(1Вес расчетный/100*1Взвешенное значение_копия)/100))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планирования].[(Внедрение ГРБС (бюджета муниципального образования город Краснодар) процедур среднесрочного финансового планирования ДАННЫЕ)]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внутренние процедуры подготовки бюджетных проектировок на очередной финансовый год и плановый период]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внутренние процедуры подготовки бюджетных проектировок на очередной финансовый год и плановый период]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M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внутренние процедуры подготовки бюджетных проектировок на очередной финансовый год и плановый период]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оценке=1;(MIN(Вес1.1;Вес1.2;Вес1.3;Вес1.4;Вес1.5;Вес1.6;Вес1.7))*((100/MIN(Вес1.1;Вес1.2;Вес1.3;Вес1.4;Вес1.5;Вес1.6;Вес1.7))/Сумма весов*Вес1.2/MIN(Вес1.1;Вес1.2;Вес1.3;Вес1.4;Вес1.5;Вес1.6;Вес1.7));"")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внутренние процедуры подготовки бюджетных проектировок на очередной финансовый год и плановый период]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Q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порядок составления, утверждения и ведения бюджетных смет]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порядок составления, утверждения и ведения бюджетных смет]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S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порядок составления, утверждения и ведения бюджетных смет]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T18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оценке=1;(MIN(Вес1.1;Вес1.2;Вес1.3;Вес1.4;Вес1.5;Вес1.6;Вес1.7))*((100/MIN(Вес1.1;Вес1.2;Вес1.3;Вес1.4;Вес1.5;Вес1.6;Вес1.7))/Сумма весов*Вес1.3/MIN(Вес1.1;Вес1.2;Вес1.3;Вес1.4;Вес1.5;Вес1.6;Вес1.7));"")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порядок составления, утверждения и ведения бюджетных смет]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W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планирование].[Доля бюджетных ассигнований, представленных в программном виде]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X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планирование].[Доля бюджетных ассигнований, представленных в программном виде]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Y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планирование].[Доля бюджетных ассигнований, представленных в программном виде]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Z18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оценке=1;(MIN(Вес1.1;Вес1.2;Вес1.3;Вес1.4;Вес1.5;Вес1.6;Вес1.7))*((100/MIN(Вес1.1;Вес1.2;Вес1.3;Вес1.4;Вес1.5;Вес1.6;Вес1.7))/Сумма весов*Вес1.4/MIN(Вес1.1;Вес1.2;Вес1.3;Вес1.4;Вес1.5;Вес1.6;Вес1.7));"")</t>
        </r>
      </text>
    </comment>
    <comment ref="AA18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"Показатели.Оценка качества ФМ_Сопоставимый"
[Все показатели].[Среднесрочное финансовое планирование].[Доля бюджетных ассигнований, представленных в программном виде]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C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D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E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F18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оценке=1;(MIN(Вес1.1;Вес1.2;Вес1.3;Вес1.4;Вес1.5;Вес1.6;Вес1.7))*((100/MIN(Вес1.1;Вес1.2;Вес1.3;Вес1.4;Вес1.5;Вес1.6;Вес1.7))/Сумма весов*Вес1.5/MIN(Вес1.1;Вес1.2;Вес1.3;Вес1.4;Вес1.5;Вес1.6;Вес1.7));"")</t>
        </r>
      </text>
    </comment>
    <comment ref="AG18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"Показатели.Оценка качества ФМ_Сопоставимый"
[Все показатели].[Среднесрочное финансовое планирование].[Качество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I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доля суммы изменений в сводную бюджетную роспись местного бюджета]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J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доля суммы изменений в сводную бюджетную роспись местного бюджета]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K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доля суммы изменений в сводную бюджетную роспись местного бюджета]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L18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=ЕСЛИ(6Применим ли в оценке=1;(MIN(Вес1.1;Вес1.2;Вес1.3;Вес1.4;Вес1.5;Вес1.6;Вес1.7))*((100/MIN(Вес1.1;Вес1.2;Вес1.3;Вес1.4;Вес1.5;Вес1.6;Вес1.7))/Сумма весов*Вес1.6/MIN(Вес1.1;Вес1.2;Вес1.3;Вес1.4;Вес1.5;Вес1.6;Вес1.7));"")</t>
        </r>
      </text>
    </comment>
    <comment ref="AM18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=ЕСЛИ(6Вес расчетный="";"не применяется";ЕСЛИ(6Применим ли в оценке=0;"не применяется";6Вес расчетный*6Оценка показателя/100))</t>
        </r>
      </text>
    </comment>
    <comment ref="AN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=ЕСЛИ(ЕЧИСЛО(6Оценка с уч веса);6Оценка с уч веса;"")
Частный фильтр "Показатели.Оценка качества ФМ_Сопоставимый"
[Все показатели].[Среднесрочное финансовое планирование].[Качество планирования расходов: доля суммы изменений в сводную бюджетную роспись местного бюджета]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O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составления прогнозных показателей исполнения бюджетных обязательств]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P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составления прогнозных показателей исполнения бюджетных обязательств]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Q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составления прогнозных показателей исполнения бюджетных обязательств]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R18" authorId="0" shapeId="0">
      <text>
        <r>
          <rPr>
            <b/>
            <sz val="9"/>
            <color indexed="81"/>
            <rFont val="Tahoma"/>
            <charset val="1"/>
          </rPr>
          <t>Свободный "7Вес расчетный"
Итоги подводятся только по видимым элементам (сумма).
Включена типовая формула:
=ЕСЛИ(7Применим ли в оценке=1;(MIN(Вес1.1;Вес1.2;Вес1.3;Вес1.4;Вес1.5;Вес1.6;Вес1.7))*((100/MIN(Вес1.1;Вес1.2;Вес1.3;Вес1.4;Вес1.5;Вес1.6;Вес1.7))/Сумма весов*Вес1.7/MIN(Вес1.1;Вес1.2;Вес1.3;Вес1.4;Вес1.5;Вес1.6;Вес1.7));"")</t>
        </r>
      </text>
    </comment>
    <comment ref="AS18" authorId="0" shapeId="0">
      <text>
        <r>
          <rPr>
            <b/>
            <sz val="9"/>
            <color indexed="81"/>
            <rFont val="Tahoma"/>
            <charset val="1"/>
          </rPr>
          <t>Свободный "7Оценка с уч веса"
Итоги подводятся только по видимым элементам (сумма).
Включена типовая формула:
=ЕСЛИ(7Вес расчетный="";"не применяется";ЕСЛИ(7Применим ли в оценке=0;"не применяется";7Вес расчетный*7Оценка показателя/100))</t>
        </r>
      </text>
    </comment>
    <comment ref="AT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=ЕСЛИ(ЕЧИСЛО(7Оценка с уч веса);7Оценка с уч веса;"")
Частный фильтр "Показатели.Оценка качества ФМ_Сопоставимый"
[Все показатели].[Среднесрочное финансовое планирование].[Качество составления прогнозных показателей исполнения бюджетных обязательств]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U18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оценке=1;Вес1.1/MIN(Вес1.1;Вес1.2;Вес1.3;Вес1.4;Вес1.5;Вес1.6;Вес1.7);"")</t>
        </r>
      </text>
    </comment>
    <comment ref="AV18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оценке=1;Вес1.2/MIN(Вес1.1;Вес1.2;Вес1.3;Вес1.4;Вес1.5;Вес1.6;Вес1.7);"")</t>
        </r>
      </text>
    </comment>
    <comment ref="AW18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оценке=1;Вес1.3/MIN(Вес1.1;Вес1.2;Вес1.3;Вес1.4;Вес1.5;Вес1.6;Вес1.7);"")</t>
        </r>
      </text>
    </comment>
    <comment ref="AX18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оценке=1;Вес1.4/MIN(Вес1.1;Вес1.2;Вес1.3;Вес1.4;Вес1.5;Вес1.6;Вес1.7);"")</t>
        </r>
      </text>
    </comment>
    <comment ref="AY18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оценке=1;Вес1.5/MIN(Вес1.1;Вес1.2;Вес1.3;Вес1.4;Вес1.5;Вес1.6;Вес1.7);"")</t>
        </r>
      </text>
    </comment>
    <comment ref="AZ18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=ЕСЛИ(6Применим ли в оценке=1;Вес1.6/MIN(Вес1.1;Вес1.2;Вес1.3;Вес1.4;Вес1.5;Вес1.6;Вес1.7);"")</t>
        </r>
      </text>
    </comment>
    <comment ref="BA18" authorId="0" shapeId="0">
      <text>
        <r>
          <rPr>
            <b/>
            <sz val="9"/>
            <color indexed="81"/>
            <rFont val="Tahoma"/>
            <charset val="1"/>
          </rPr>
          <t>Свободный "7"
Итоги подводятся только по видимым элементам (сумма).
Включена типовая формула:
=ЕСЛИ(7Применим ли в оценке=1;Вес1.7/MIN(Вес1.1;Вес1.2;Вес1.3;Вес1.4;Вес1.5;Вес1.6;Вес1.7);"")</t>
        </r>
      </text>
    </comment>
    <comment ref="BB18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=SUM(1:7)</t>
        </r>
      </text>
    </comment>
  </commentList>
</comments>
</file>

<file path=xl/comments2.xml><?xml version="1.0" encoding="utf-8"?>
<comments xmlns="http://schemas.openxmlformats.org/spreadsheetml/2006/main">
  <authors>
    <author>Чулков Александр Сергеевич</author>
  </authors>
  <commentList>
    <comment ref="B14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значение))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оценке)=0;0;1)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правовой базы главных администраторов доходов местного бюджета по администрированию доходов местного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правовой базы главных администраторов доходов местного бюджета по администрированию доходов местного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G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правовой базы главных администраторов доходов местного бюджета по администрированию доходов местного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оценке=1;(MIN(Вес2.1;Вес2.2;Вес2.3))*((100/MIN(Вес2.1;Вес2.2;Вес2.3))/Сумма весов*Вес2.1/MIN(Вес2.1;Вес2.2;Вес2.3));"")</t>
        </r>
      </text>
    </comment>
    <comment ref="I14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правовой базы главных администраторов доходов местного бюджета по администрированию доходов местного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K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бюджету, имеющие целевое назначение, источником финансового обеспечения которых являются средства федерального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бюджету, имеющие целевое назначение, источником финансового обеспечения которых являются средства федерального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M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бюджету, имеющие целевое назначение, источником финансового обеспечения которых являются средства федерального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N14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оценке=1;(MIN(Вес2.1;Вес2.2;Вес2.3))*((100/MIN(Вес2.1;Вес2.2;Вес2.3))/Сумма весов*Вес2.2/MIN(Вес2.1;Вес2.2;Вес2.3));"")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бюджету, имеющие целевое назначение, источником финансового обеспечения которых являются средства федерального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Q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R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S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T14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оценке=1;(MIN(Вес2.1;Вес2.2;Вес2.3))*((100/MIN(Вес2.1;Вес2.2;Вес2.3))/Сумма весов*Вес2.3/MIN(Вес2.1;Вес2.2;Вес2.3));"")</t>
        </r>
      </text>
    </comment>
    <comment ref="U14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W14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оценке=1;Вес2.1/MIN(Вес2.1;Вес2.2;Вес2.3);"")</t>
        </r>
      </text>
    </comment>
    <comment ref="X14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оценке=1;Вес2.2/MIN(Вес2.1;Вес2.2;Вес2.3);"")</t>
        </r>
      </text>
    </comment>
    <comment ref="Y14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оценке=1;Вес2.3/MIN(Вес2.1;Вес2.2;Вес2.3);"")</t>
        </r>
      </text>
    </comment>
    <comment ref="Z14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=SUM(1:3)</t>
        </r>
      </text>
    </comment>
  </commentList>
</comments>
</file>

<file path=xl/comments3.xml><?xml version="1.0" encoding="utf-8"?>
<comments xmlns="http://schemas.openxmlformats.org/spreadsheetml/2006/main">
  <authors>
    <author>Чулков Александр Сергеевич</author>
  </authors>
  <commentList>
    <comment ref="B16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значение))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оценке)=0;0;1)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осуществления равномерности расходов]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осуществления равномерности расходов]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осуществления равномерности расходов]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оценке=1;(MIN(Вес3.1;Вес3.2;Вес3.3;Вес3.4;Вес3.5))*((100/MIN(Вес3.1;Вес3.2;Вес3.3;Вес3.4;Вес3.5))/Сумма весов*Вес3.1/MIN(Вес3.1;Вес3.2;Вес3.3;Вес3.4;Вес3.5));"")</t>
        </r>
      </text>
    </comment>
    <comment ref="I16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осуществления равномерности расходов]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поквартального исполнения кассового плана ГРБС в части кассовых выплат по расходам местного бюджета с учётом прогнозных значений]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поквартального исполнения кассового плана ГРБС в части кассовых выплат по расходам местного бюджета с учётом прогнозных значений]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поквартального исполнения кассового плана ГРБС в части кассовых выплат по расходам местного бюджета с учётом прогнозных значений]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оценке=1;(MIN(Вес3.1;Вес3.2;Вес3.3;Вес3.4;Вес3.5))*((100/MIN(Вес3.1;Вес3.2;Вес3.3;Вес3.4;Вес3.5))/Сумма весов*Вес3.2/MIN(Вес3.1;Вес3.2;Вес3.3;Вес3.4;Вес3.5));"")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поквартального исполнения кассового плана ГРБС в части кассовых выплат по расходам местного бюджета с учётом прогнозных значений]</t>
        </r>
      </text>
    </comment>
    <comment ref="Q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бюджета]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бюджета]</t>
        </r>
      </text>
    </comment>
    <comment ref="S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бюджета]</t>
        </r>
      </text>
    </comment>
    <comment ref="T16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оценке=1;(MIN(Вес3.1;Вес3.2;Вес3.3;Вес3.4;Вес3.5))*((100/MIN(Вес3.1;Вес3.2;Вес3.3;Вес3.4;Вес3.5))/Сумма весов*Вес3.3/MIN(Вес3.1;Вес3.2;Вес3.3;Вес3.4;Вес3.5));"")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бюджета]</t>
        </r>
      </text>
    </comment>
    <comment ref="W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управления ГРБС кредиторской задолженностью по расчётам с поставщиками и подрядчиками]</t>
        </r>
      </text>
    </comment>
    <comment ref="X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управления ГРБС кредиторской задолженностью по расчётам с поставщиками и подрядчиками]</t>
        </r>
      </text>
    </comment>
    <comment ref="Y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управления ГРБС кредиторской задолженностью по расчётам с поставщиками и подрядчиками]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оценке=1;(MIN(Вес3.1;Вес3.2;Вес3.3;Вес3.4;Вес3.5))*((100/MIN(Вес3.1;Вес3.2;Вес3.3;Вес3.4;Вес3.5))/Сумма весов*Вес3.4/MIN(Вес3.1;Вес3.2;Вес3.3;Вес3.4;Вес3.5));"")</t>
        </r>
      </text>
    </comment>
    <comment ref="AA16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управления ГРБС кредиторской задолженностью по расчётам с поставщиками и подрядчиками]</t>
        </r>
      </text>
    </comment>
    <comment ref="AC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расходов].[Наличие просроченной кредиторской задолженности ГРБС и подведомственных ПБС на конец отчётного периода]</t>
        </r>
      </text>
    </comment>
    <comment ref="AD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расходов].[Наличие просроченной кредиторской задолженности ГРБС и подведомственных ПБС на конец отчётного периода]</t>
        </r>
      </text>
    </comment>
    <comment ref="AE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расходов].[Наличие просроченной кредиторской задолженности ГРБС и подведомственных ПБС на конец отчётного периода]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оценке=1;(MIN(Вес3.1;Вес3.2;Вес3.3;Вес3.4;Вес3.5))*((100/MIN(Вес3.1;Вес3.2;Вес3.3;Вес3.4;Вес3.5))/Сумма весов*Вес3.5/MIN(Вес3.1;Вес3.2;Вес3.3;Вес3.4;Вес3.5));"")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расходов].[Наличие просроченной кредиторской задолженности ГРБС и подведомственных ПБС на конец отчётного периода]</t>
        </r>
      </text>
    </comment>
    <comment ref="AI16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оценке=1;Вес3.1/MIN(Вес3.1;Вес3.2;Вес3.3;Вес3.4;Вес3.5);"")</t>
        </r>
      </text>
    </comment>
    <comment ref="AJ16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оценке=1;Вес3.2/MIN(Вес3.1;Вес3.2;Вес3.3;Вес3.4;Вес3.5);"")</t>
        </r>
      </text>
    </comment>
    <comment ref="AK16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оценке=1;Вес3.3/MIN(Вес3.1;Вес3.2;Вес3.3;Вес3.4;Вес3.5);"")</t>
        </r>
      </text>
    </comment>
    <comment ref="AL16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оценке=1;Вес3.4/MIN(Вес3.1;Вес3.2;Вес3.3;Вес3.4;Вес3.5);"")</t>
        </r>
      </text>
    </comment>
    <comment ref="AM16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оценке=1;Вес3.5/MIN(Вес3.1;Вес3.2;Вес3.3;Вес3.4;Вес3.5);"")</t>
        </r>
      </text>
    </comment>
    <comment ref="AN16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=SUM(1:5)</t>
        </r>
      </text>
    </comment>
  </commentList>
</comments>
</file>

<file path=xl/comments4.xml><?xml version="1.0" encoding="utf-8"?>
<comments xmlns="http://schemas.openxmlformats.org/spreadsheetml/2006/main">
  <authors>
    <author>Чулков Александр Сергеевич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значение;6Взвешенное значение))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отчетность].[(Учёт и отчетность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оценке;6Применим ли в оценке)=0;0;1)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отчетность].[(Учёт и отчетность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отчетность].[Методические рекомендации (указания) ГРБС по реализации учётной политики]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отчетность].[Методические рекомендации (указания) ГРБС по реализации учётной политики]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отчетность].[Методические рекомендации (указания) ГРБС по реализации учётной политики]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оценке=1;(MIN(Вес4.1;Вес4.2;Вес4.3;Вес4.4;Вес4.5;Вес4.6))*((100/MIN(Вес4.1;Вес4.2;Вес4.3;Вес4.4;Вес4.5;Вес4.6))/Сумма весов*Вес4.1/MIN(Вес4.1;Вес4.2;Вес4.3;Вес4.4;Вес4.5;Вес4.6));"")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отчетность].[Методические рекомендации (указания) ГРБС по реализации учётной политики]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отчетность].[Наличие единой автоматизированной системы сбора и свода бюджетной отчётности]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отчетность].[Наличие единой автоматизированной системы сбора и свода бюджетной отчётности]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отчетность].[Наличие единой автоматизированной системы сбора и свода бюджетной отчётности]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оценке=1;(MIN(Вес4.1;Вес4.2;Вес4.3;Вес4.4;Вес4.5;Вес4.6))*((100/MIN(Вес4.1;Вес4.2;Вес4.3;Вес4.4;Вес4.5;Вес4.6))/Сумма весов*Вес4.2/MIN(Вес4.1;Вес4.2;Вес4.3;Вес4.4;Вес4.5;Вес4.6));"")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отчетность].[Наличие единой автоматизированной системы сбора и свода бюджетной отчётности]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Q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отчетность].[Применение получателями средств местного бюджета программных комплексов по автоматизации бюджетного учёта]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отчетность].[Применение получателями средств местного бюджета программных комплексов по автоматизации бюджетного учёта]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S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отчетность].[Применение получателями средств местного бюджета программных комплексов по автоматизации бюджетного учёта]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оценке=1;(MIN(Вес4.1;Вес4.2;Вес4.3;Вес4.4;Вес4.5;Вес4.6))*((100/MIN(Вес4.1;Вес4.2;Вес4.3;Вес4.4;Вес4.5;Вес4.6))/Сумма весов*Вес4.3/MIN(Вес4.1;Вес4.2;Вес4.3;Вес4.4;Вес4.5;Вес4.6));"")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отчетность].[Применение получателями средств местного бюджета программных комплексов по автоматизации бюджетного учёта]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отчетность].[Представление в составе годовой бюджетной отчётности Сведений о мерах по повышению эффективности расходования бюджетных средств]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X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отчетность].[Представление в составе годовой бюджетной отчётности Сведений о мерах по повышению эффективности расходования бюджетных средств]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Y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отчетность].[Представление в составе годовой бюджетной отчётности Сведений о мерах по повышению эффективности расходования бюджетных средств]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Z17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оценке=1;(MIN(Вес4.1;Вес4.2;Вес4.3;Вес4.4;Вес4.5))*((100/MIN(Вес4.1;Вес4.2;Вес4.3;Вес4.4;Вес4.5))/Сумма весов*Вес4.4/MIN(Вес4.1;Вес4.2;Вес4.3;Вес4.4;Вес4.5));"")</t>
        </r>
      </text>
    </comment>
    <comment ref="AA17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отчетность].[Представление в составе годовой бюджетной отчётности Сведений о мерах по повышению эффективности расходования бюджетных средств]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отчетность].[Соответствие приведённых в Сведениях о результатах деятельности,  показателям, указанным в обоснованиях бюджетных ассигнований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отчетность].[Соответствие приведённых в Сведениях о результатах деятельности,  показателям, указанным в обоснованиях бюджетных ассигнований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отчетность].[Соответствие приведённых в Сведениях о результатах деятельности,  показателям, указанным в обоснованиях бюджетных ассигнований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F17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оценке=1;(MIN(Вес4.1;Вес4.2;Вес4.3;Вес4.4;Вес4.5;Вес4.6))*((100/MIN(Вес4.1;Вес4.2;Вес4.3;Вес4.4;Вес4.5;Вес4.6))/Сумма весов*Вес4.5/MIN(Вес4.1;Вес4.2;Вес4.3;Вес4.4;Вес4.5;Вес4.6));"")</t>
        </r>
      </text>
    </comment>
    <comment ref="AG17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показатели].[Учёт и отчетность].[Соответствие приведённых в Сведениях о результатах деятельности,  показателям, указанным в обоснованиях бюджетных ассигнований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I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показатели].[Учёт и отчетность].[Эффективность управления дебиторской задолженностью по расчётам с дебиторами]</t>
        </r>
      </text>
    </comment>
    <comment ref="A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показатели].[Учёт и отчетность].[Эффективность управления дебиторской задолженностью по расчётам с дебиторами]</t>
        </r>
      </text>
    </comment>
    <comment ref="A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показатели].[Учёт и отчетность].[Эффективность управления дебиторской задолженностью по расчётам с дебиторами]</t>
        </r>
      </text>
    </comment>
    <comment ref="AL17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=ЕСЛИ(6Применим ли в оценке=1;(MIN(Вес4.1;Вес4.2;Вес4.3;Вес4.4;Вес4.5;Вес4.6))*((100/MIN(Вес4.1;Вес4.2;Вес4.3;Вес4.4;Вес4.5;Вес4.6))/Сумма весов*Вес4.6/MIN(Вес4.1;Вес4.2;Вес4.3;Вес4.4;Вес4.5;Вес4.6));"")</t>
        </r>
      </text>
    </comment>
    <comment ref="AM17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=ЕСЛИ(6Вес расчетный="";"не применяется";ЕСЛИ(6Применим ли в оценке=0;"не применяется";6Вес расчетный*6Оценка показателя/100))</t>
        </r>
      </text>
    </comment>
    <comment ref="AN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=ЕСЛИ(ЕЧИСЛО(6Оценка с уч веса);6Оценка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показатели].[Учёт и отчетность].[Эффективность управления дебиторской задолженностью по расчётам с дебиторами]</t>
        </r>
      </text>
    </comment>
    <comment ref="AO17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оценке=1;Вес4.1/MIN(Вес4.1;Вес4.2;Вес4.3;Вес4.4;Вес4.5;Вес4.6);"")</t>
        </r>
      </text>
    </comment>
    <comment ref="AP17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оценке=1;Вес4.2/MIN(Вес4.1;Вес4.2;Вес4.3;Вес4.4;Вес4.5;Вес4.6);"")</t>
        </r>
      </text>
    </comment>
    <comment ref="AQ17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оценке=1;Вес4.3/MIN(Вес4.1;Вес4.2;Вес4.3;Вес4.4;Вес4.5;Вес4.6);"")</t>
        </r>
      </text>
    </comment>
    <comment ref="AR17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оценке=1;Вес4.4/MIN(Вес4.1;Вес4.2;Вес4.3;Вес4.4;Вес4.5;Вес4.6);"")</t>
        </r>
      </text>
    </comment>
    <comment ref="AS17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оценке=1;Вес4.5/MIN(Вес4.1;Вес4.2;Вес4.3;Вес4.4;Вес4.5;Вес4.6);"")</t>
        </r>
      </text>
    </comment>
    <comment ref="AT17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=ЕСЛИ(6Применим ли в оценке=1;Вес4.6/MIN(Вес4.1;Вес4.2;Вес4.3;Вес4.4;Вес4.5;Вес4.6);"")</t>
        </r>
      </text>
    </comment>
    <comment ref="AU17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=SUM(1:6)</t>
        </r>
      </text>
    </comment>
  </commentList>
</comments>
</file>

<file path=xl/comments5.xml><?xml version="1.0" encoding="utf-8"?>
<comments xmlns="http://schemas.openxmlformats.org/spreadsheetml/2006/main">
  <authors>
    <author>Чулков Александр Сергеевич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значение;6Взвешенное значение))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аудит].[(Контроль и аудит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оценке;6Применим ли в оценке)=0;0;1)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аудит].[(Контроль и аудит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участника мониторинга об организации внутреннего финансового аудита (контроля)]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участника мониторинга об организации внутреннего финансового аудита (контроля)]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участника мониторинга об организации внутреннего финансового аудита (контроля)]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оценке=1;(MIN(Вес5.1;Вес5.2;Вес5.3;Вес5.4;Вес5.5;Вес5.6))*((100/MIN(Вес5.1;Вес5.2;Вес5.3;Вес5.4;Вес5.5;Вес5.6))/Сумма весов*Вес5.1/MIN(Вес5.1;Вес5.2;Вес5.3;Вес5.4;Вес5.5;Вес5.6));"")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участника мониторинга об организации внутреннего финансового аудита (контроля)]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оценке=1;(MIN(Вес5.1;Вес5.2;Вес5.3;Вес5.4;Вес5.5;Вес5.6))*((100/MIN(Вес5.1;Вес5.2;Вес5.3;Вес5.4;Вес5.5;Вес5.6))/Сумма весов*Вес5.2/MIN(Вес5.1;Вес5.2;Вес5.3;Вес5.4;Вес5.5;Вес5.6));"")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Q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аудит].[Осуществление мероприятий внутреннего контроля]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аудит].[Осуществление мероприятий внутреннего контроля]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S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аудит].[Осуществление мероприятий внутреннего контроля]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оценке=1;(MIN(Вес5.1;Вес5.2;Вес5.3;Вес5.4;Вес5.5;Вес5.6))*((100/MIN(Вес5.1;Вес5.2;Вес5.3;Вес5.4;Вес5.5;Вес5.6))/Сумма весов*Вес5.3/MIN(Вес5.1;Вес5.2;Вес5.3;Вес5.4;Вес5.5;Вес5.6));"")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аудит].[Осуществление мероприятий внутреннего контроля]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аудит].[Динамика нарушений, выявленных в ходе внешних контрольных мероприятий]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X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аудит].[Динамика нарушений, выявленных в ходе внешних контрольных мероприятий]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Y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аудит].[Динамика нарушений, выявленных в ходе внешних контрольных мероприятий]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Z17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оценке=1;(MIN(Вес5.1;Вес5.2;Вес5.3;Вес5.4;Вес5.5;Вес5.6))*((100/MIN(Вес5.1;Вес5.2;Вес5.3;Вес5.4;Вес5.5;Вес5.6))/Сумма весов*Вес5.4/MIN(Вес5.1;Вес5.2;Вес5.3;Вес5.4;Вес5.5;Вес5.6));"")</t>
        </r>
      </text>
    </comment>
    <comment ref="AA17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аудит].[Динамика нарушений, выявленных в ходе внешних контрольных мероприятий]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аудит].[Проведение инвентаризаций]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аудит].[Проведение инвентаризаций]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аудит].[Проведение инвентаризаций]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F17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оценке=1;(MIN(Вес5.1;Вес5.2;Вес5.3;Вес5.4;Вес5.5;Вес5.6))*((100/MIN(Вес5.1;Вес5.2;Вес5.3;Вес5.4;Вес5.5;Вес5.6))/Сумма весов*Вес5.5/MIN(Вес5.1;Вес5.2;Вес5.3;Вес5.4;Вес5.5;Вес5.6));"")</t>
        </r>
      </text>
    </comment>
    <comment ref="AG17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аудит].[Проведение инвентаризаций]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I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аудит].[Доля недостач и хищений денежных средств и материальных ценностей]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аудит].[Доля недостач и хищений денежных средств и материальных ценностей]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аудит].[Доля недостач и хищений денежных средств и материальных ценностей]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L17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=ЕСЛИ(6Применим ли в оценке=1;(MIN(Вес5.1;Вес5.2;Вес5.3;Вес5.4;Вес5.5;Вес5.6))*((100/MIN(Вес5.1;Вес5.2;Вес5.3;Вес5.4;Вес5.5;Вес5.6))/Сумма весов*Вес5.6/MIN(Вес5.1;Вес5.2;Вес5.3;Вес5.4;Вес5.5;Вес5.6));"")</t>
        </r>
      </text>
    </comment>
    <comment ref="AM17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=ЕСЛИ(6Вес расчетный="";"не применяется";ЕСЛИ(6Применим ли в оценке=0;"не применяется";6Вес расчетный*6Оценка показателя/100))</t>
        </r>
      </text>
    </comment>
    <comment ref="AN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=ЕСЛИ(ЕЧИСЛО(6Оценка с уч веса);6Оценка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показатели].[Контроль и аудит].[Доля недостач и хищений денежных средств и материальных ценностей]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O17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оценке=1;Вес5.1/MIN(Вес5.1;Вес5.2;Вес5.3;Вес5.4;Вес5.5;Вес5.6);"")</t>
        </r>
      </text>
    </comment>
    <comment ref="AP17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оценке=1;Вес5.2/MIN(Вес5.1;Вес5.2;Вес5.3;Вес5.4;Вес5.5;Вес5.6);"")</t>
        </r>
      </text>
    </comment>
    <comment ref="AQ17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оценке=1;Вес5.3/MIN(Вес5.1;Вес5.2;Вес5.3;Вес5.4;Вес5.5;Вес5.6);"")</t>
        </r>
      </text>
    </comment>
    <comment ref="AR17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оценке=1;Вес5.4/MIN(Вес5.1;Вес5.2;Вес5.3;Вес5.4;Вес5.5;Вес5.6);"")</t>
        </r>
      </text>
    </comment>
    <comment ref="AS17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оценке=1;Вес5.5/MIN(Вес5.1;Вес5.2;Вес5.3;Вес5.4;Вес5.5;Вес5.6);"")</t>
        </r>
      </text>
    </comment>
    <comment ref="AT17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=ЕСЛИ(6Применим ли в оценке=1;Вес5.6/MIN(Вес5.1;Вес5.2;Вес5.3;Вес5.4;Вес5.5;Вес5.6);"")</t>
        </r>
      </text>
    </comment>
    <comment ref="AU17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=SUM(1:6)</t>
        </r>
      </text>
    </comment>
  </commentList>
</comments>
</file>

<file path=xl/comments6.xml><?xml version="1.0" encoding="utf-8"?>
<comments xmlns="http://schemas.openxmlformats.org/spreadsheetml/2006/main">
  <authors>
    <author>Чулков Александр Сергеевич</author>
  </authors>
  <commentList>
    <comment ref="B15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значение))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оценке)=0;0;1)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ГРБС].[Квалификация сотрудников, осуществляющих финансово-экономическую деятельность 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ГРБС].[Квалификация сотрудников, осуществляющих финансово-экономическую деятельность 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G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ГРБС].[Квалификация сотрудников, осуществляющих финансово-экономическую деятельность 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оценке=1;(MIN(Вес6.1;Вес6.2;Вес6.3;Вес6.4))*((100/MIN(Вес6.1;Вес6.2;Вес6.3;Вес6.4))/Сумма весов*Вес6.1/MIN(Вес6.1;Вес6.2;Вес6.3;Вес6.4));"")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ГРБС].[Квалификация сотрудников, осуществляющих финансово-экономическую деятельность 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ГРБС].[Дополнительное профессиональное образование сотрудников, осуществляющих финансово-экономическую деятельность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ГРБС].[Дополнительное профессиональное образование сотрудников, осуществляющих финансово-экономическую деятельность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ГРБС].[Дополнительное профессиональное образование сотрудников, осуществляющих финансово-экономическую деятельность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оценке=1;(MIN(Вес6.1;Вес6.2;Вес6.3;Вес6.4))*((100/MIN(Вес6.1;Вес6.2;Вес6.3;Вес6.4))/Сумма весов*Вес6.2/MIN(Вес6.1;Вес6.2;Вес6.3;Вес6.4));"")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ГРБС].[Дополнительное профессиональное образование сотрудников, осуществляющих финансово-экономическую деятельность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ГРБС].[Укомплектованность должностей  сотрудниками, осуществляющих финансово - экономическую деятельность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R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ГРБС].[Укомплектованность должностей  сотрудниками, осуществляющих финансово - экономическую деятельность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S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ГРБС].[Укомплектованность должностей  сотрудниками, осуществляющих финансово - экономическую деятельность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T15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оценке=1;(MIN(Вес6.1;Вес6.2;Вес6.3;Вес6.4))*((100/MIN(Вес6.1;Вес6.2;Вес6.3;Вес6.4))/Сумма весов*Вес6.3/MIN(Вес6.1;Вес6.2;Вес6.3;Вес6.4));"")</t>
        </r>
      </text>
    </comment>
    <comment ref="U15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ГРБС].[Укомплектованность должностей  сотрудниками, осуществляющих финансово - экономическую деятельность ГРБС]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W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X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Y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Z15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оценке=1;(MIN(Вес6.1;Вес6.2;Вес6.3;Вес6.4))*((100/MIN(Вес6.1;Вес6.2;Вес6.3;Вес6.4))/Сумма весов*Вес6.4/MIN(Вес6.1;Вес6.2;Вес6.3;Вес6.4));"")</t>
        </r>
      </text>
    </comment>
    <comment ref="AA15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периодов].[2017]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лет]
Частный фильтр "Источники данных"
[Все источники данных].[ФО Оценка качества ФМ - 2017 0]
Параметр "Источник данных" (от родительской задачи)</t>
        </r>
      </text>
    </comment>
    <comment ref="AC15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оценке=1;Вес6.1/MIN(Вес6.1;Вес6.2;Вес6.3;Вес6.4);"")</t>
        </r>
      </text>
    </comment>
    <comment ref="AD15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оценке=1;Вес6.2/MIN(Вес6.1;Вес6.2;Вес6.3;Вес6.4);"")</t>
        </r>
      </text>
    </comment>
    <comment ref="AE15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оценке=1;Вес6.3/MIN(Вес6.1;Вес6.2;Вес6.3;Вес6.4);"")</t>
        </r>
      </text>
    </comment>
    <comment ref="AF15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оценке=1;Вес6.4/MIN(Вес6.1;Вес6.2;Вес6.3;Вес6.4);"")</t>
        </r>
      </text>
    </comment>
    <comment ref="AG15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=SUM(1:4)</t>
        </r>
      </text>
    </comment>
  </commentList>
</comments>
</file>

<file path=xl/comments7.xml><?xml version="1.0" encoding="utf-8"?>
<comments xmlns="http://schemas.openxmlformats.org/spreadsheetml/2006/main">
  <authors>
    <author>Чулков Александр Сергеевич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значение;6Взвешенное значение))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показатели].[Итоговая оценка по главному распорядителю средств местного бюджета]
Значение показателя из базы: 88,0487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Включена типовая формула:
=ЕСЛИ(SUM(1Применим ли в оценке;2Применим ли в оценке;3Применим ли в оценке;4Применим ли в оценке;5Применим ли в оценке;6Применим ли в оценке)=0;0;1)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показатели].[Итоговая оценка по главному распорядителю средств местного бюджета]
Значение показателя из базы: 1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Значение из базы (по всем элементам): 1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Значение из базы (по всем элементам): 0,8571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Свободный "1Оценка показателя (%)"
Итоги подводятся только по видимым элементам (среднее).
Включена типовая формула:
=1Взвешенное значение_копия*100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(не вычислять).
Включена типовая формула:
=ЕСЛИ(1Применим ли в оценке=1;(MIN(Вес1;Вес2;Вес3;Вес4;Вес5;Вес6))*((100/MIN(Вес1;Вес2;Вес3;Вес4;Вес5;Вес6))/Сумма весов*Вес1/MIN(Вес1;Вес2;Вес3;Вес4;Вес5;Вес6));"")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 (%)/100))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Значение показателя из базы: 0,8571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Значение из базы (по всем элементам): 1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Значение из базы (по всем элементам): 1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Свободный "2Оценка показателя (%)"
Итоги подводятся только по видимым элементам (среднее).
Включена типовая формула:
=2Взвешенное значение_копия*100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(не вычислять).
Включена типовая формула:
=ЕСЛИ(1Применим ли в оценке=1;(MIN(Вес1;Вес2;Вес3;Вес4;Вес5;Вес6))*((100/MIN(Вес1;Вес2;Вес3;Вес4;Вес5;Вес6))/Сумма весов*Вес2/MIN(Вес1;Вес2;Вес3;Вес4;Вес5;Вес6));"")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 (%)/100))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=ЕСЛИ(ЕЧИСЛО(2Оценка с уч веса);2Оценка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Значение показателя из базы: 1</t>
        </r>
      </text>
    </comment>
    <comment ref="Q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Значение из базы (по всем элементам): 1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Значение из базы (по всем элементам): 0,8525</t>
        </r>
      </text>
    </comment>
    <comment ref="S17" authorId="0" shapeId="0">
      <text>
        <r>
          <rPr>
            <b/>
            <sz val="9"/>
            <color indexed="81"/>
            <rFont val="Tahoma"/>
            <charset val="1"/>
          </rPr>
          <t>Свободный "3Оценка показателя (%)"
Итоги подводятся только по видимым элементам (сумма).
Включена типовая формула:
=3Взвешенное значение_копия*100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=ЕСЛИ(1Применим ли в оценке=1;(MIN(Вес1;Вес2;Вес3;Вес4;Вес5;Вес6))*((100/MIN(Вес1;Вес2;Вес3;Вес4;Вес5;Вес6))/Сумма весов*Вес3/MIN(Вес1;Вес2;Вес3;Вес4;Вес5;Вес6));"")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 (%)/100))</t>
        </r>
      </text>
    </comment>
    <comment ref="V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Значение показателя из базы: 0,8525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показатели].[Учёт и отчетность].[(Учёт и отчетность ДАННЫЕ)]
Значение из базы (по всем элементам): 1</t>
        </r>
      </text>
    </comment>
    <comment ref="X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показатели].[Учёт и отчетность].[(Учёт и отчетность ДАННЫЕ)]
Значение из базы (по всем элементам): 1</t>
        </r>
      </text>
    </comment>
    <comment ref="Y17" authorId="0" shapeId="0">
      <text>
        <r>
          <rPr>
            <b/>
            <sz val="9"/>
            <color indexed="81"/>
            <rFont val="Tahoma"/>
            <charset val="1"/>
          </rPr>
          <t>Свободный "4Оценка показателя (%)"
Итоги подводятся только по видимым элементам (сумма).
Включена типовая формула:
=4Взвешенное значение_копия*100</t>
        </r>
      </text>
    </comment>
    <comment ref="Z17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=ЕСЛИ(1Применим ли в оценке=1;(MIN(Вес1;Вес2;Вес3;Вес4;Вес5;Вес6))*((100/MIN(Вес1;Вес2;Вес3;Вес4;Вес5;Вес6))/Сумма весов*Вес4/MIN(Вес1;Вес2;Вес3;Вес4;Вес5;Вес6));"")</t>
        </r>
      </text>
    </comment>
    <comment ref="AA17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применяется";4Вес расчетный*4Оценка показателя (%)/100))</t>
        </r>
      </text>
    </comment>
    <comment ref="AB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показатели].[Учёт и отчетность].[(Учёт и отчетность ДАННЫЕ)]
Значение показателя из базы: 1</t>
        </r>
      </text>
    </comment>
    <comment ref="A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показатели].[Контроль и аудит].[(Контроль и аудит ДАННЫЕ)]
Значение из базы (по всем элементам): 1</t>
        </r>
      </text>
    </comment>
    <comment ref="A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показатели].[Контроль и аудит].[(Контроль и аудит ДАННЫЕ)]
Значение из базы (по всем элементам): 0,5714</t>
        </r>
      </text>
    </comment>
    <comment ref="AE17" authorId="0" shapeId="0">
      <text>
        <r>
          <rPr>
            <b/>
            <sz val="9"/>
            <color indexed="81"/>
            <rFont val="Tahoma"/>
            <charset val="1"/>
          </rPr>
          <t>Свободный "5Оценка показателя (%)"
Итоги подводятся только по видимым элементам (сумма).
Включена типовая формула:
=5Взвешенное значение_копия*100</t>
        </r>
      </text>
    </comment>
    <comment ref="AF17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=ЕСЛИ(1Применим ли в оценке=1;(MIN(Вес1;Вес2;Вес3;Вес4;Вес5;Вес6))*((100/MIN(Вес1;Вес2;Вес3;Вес4;Вес5;Вес6))/Сумма весов*Вес5/MIN(Вес1;Вес2;Вес3;Вес4;Вес5;Вес6));"")</t>
        </r>
      </text>
    </comment>
    <comment ref="AG17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 (%)/100))</t>
        </r>
      </text>
    </comment>
    <comment ref="AH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показатели].[Контроль и аудит].[(Контроль и аудит ДАННЫЕ)]
Значение показателя из базы: 0,5714</t>
        </r>
      </text>
    </comment>
    <comment ref="AI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Значение из базы (по всем элементам): 1</t>
        </r>
      </text>
    </comment>
    <comment ref="A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Значение из базы (по всем элементам): 1</t>
        </r>
      </text>
    </comment>
    <comment ref="AK17" authorId="0" shapeId="0">
      <text>
        <r>
          <rPr>
            <b/>
            <sz val="9"/>
            <color indexed="81"/>
            <rFont val="Tahoma"/>
            <charset val="1"/>
          </rPr>
          <t>Свободный "6Оценка показателя (%)"
Итоги подводятся только по видимым элементам (сумма).
Включена типовая формула:
=6Взвешенное значение_копия*100</t>
        </r>
      </text>
    </comment>
    <comment ref="AL17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=ЕСЛИ(1Применим ли в оценке=1;(MIN(Вес1;Вес2;Вес3;Вес4;Вес5;Вес6))*((100/MIN(Вес1;Вес2;Вес3;Вес4;Вес5;Вес6))/Сумма весов*Вес6/MIN(Вес1;Вес2;Вес3;Вес4;Вес5;Вес6));"")</t>
        </r>
      </text>
    </comment>
    <comment ref="AM17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=ЕСЛИ(6Вес расчетный="";"не применяется";ЕСЛИ(6Применим ли в оценке=0;"не применяется";6Вес расчетный*6Оценка показателя (%)/100))</t>
        </r>
      </text>
    </comment>
    <comment ref="AN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=ЕСЛИ(ЕЧИСЛО(6Оценка с уч веса);6Оценка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Значение показателя из базы: 1</t>
        </r>
      </text>
    </comment>
    <comment ref="AO17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оценке=1;Вес1/MIN(Вес1;Вес2;Вес3;Вес4;Вес5;Вес6);"")</t>
        </r>
      </text>
    </comment>
    <comment ref="AP17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оценке=1;Вес2/MIN(Вес1;Вес2;Вес3;Вес4;Вес5;Вес6);"")</t>
        </r>
      </text>
    </comment>
    <comment ref="AQ17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оценке=1;Вес3/MIN(Вес1;Вес2;Вес3;Вес4;Вес5;Вес6);"")</t>
        </r>
      </text>
    </comment>
    <comment ref="AR17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оценке=1;Вес4/MIN(Вес1;Вес2;Вес3;Вес4;Вес5;Вес6);"")</t>
        </r>
      </text>
    </comment>
    <comment ref="AS17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оценке=1;Вес5/MIN(Вес1;Вес2;Вес3;Вес4;Вес5;Вес6);"")</t>
        </r>
      </text>
    </comment>
    <comment ref="AT17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=ЕСЛИ(6Применим ли в оценке=1;Вес6/MIN(Вес1;Вес2;Вес3;Вес4;Вес5;Вес6);"")</t>
        </r>
      </text>
    </comment>
    <comment ref="AU17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=SUM(1:6)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72,8756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0,5086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0,5086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Q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0,3764</t>
        </r>
      </text>
    </comment>
    <comment ref="V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0,3764</t>
        </r>
      </text>
    </comment>
    <comment ref="W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B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AC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</t>
        </r>
      </text>
    </comment>
    <comment ref="AH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</t>
        </r>
      </text>
    </comment>
    <comment ref="AI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0,8467</t>
        </r>
      </text>
    </comment>
    <comment ref="AN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0,8467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73,9918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0,7222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0,7222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Q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0,541</t>
        </r>
      </text>
    </comment>
    <comment ref="V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0,541</t>
        </r>
      </text>
    </comment>
    <comment ref="W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0,8204</t>
        </r>
      </text>
    </comment>
    <comment ref="AB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0,8204</t>
        </r>
      </text>
    </comment>
    <comment ref="AC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0,5714</t>
        </r>
      </text>
    </comment>
    <comment ref="AH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0,5714</t>
        </r>
      </text>
    </comment>
    <comment ref="AI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0,77</t>
        </r>
      </text>
    </comment>
    <comment ref="AN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0,77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26,9993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0,3333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0,3333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V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W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AB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AC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AH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AI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AN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79,4738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0,5952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0,5952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Q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0,8525</t>
        </r>
      </text>
    </comment>
    <comment ref="V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0,8525</t>
        </r>
      </text>
    </comment>
    <comment ref="W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0,915</t>
        </r>
      </text>
    </comment>
    <comment ref="AB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0,915</t>
        </r>
      </text>
    </comment>
    <comment ref="AC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0,5714</t>
        </r>
      </text>
    </comment>
    <comment ref="AH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0,5714</t>
        </r>
      </text>
    </comment>
    <comment ref="AI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0,82</t>
        </r>
      </text>
    </comment>
    <comment ref="AN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0,82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59,1807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0,6667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0,6667</t>
        </r>
      </text>
    </comment>
    <comment ref="K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0,4615</t>
        </r>
      </text>
    </comment>
    <comment ref="P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0,4615</t>
        </r>
      </text>
    </comment>
    <comment ref="Q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0,34</t>
        </r>
      </text>
    </comment>
    <comment ref="V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0,34</t>
        </r>
      </text>
    </comment>
    <comment ref="W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</t>
        </r>
      </text>
    </comment>
    <comment ref="AB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</t>
        </r>
      </text>
    </comment>
    <comment ref="AC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</t>
        </r>
      </text>
    </comment>
    <comment ref="AH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</t>
        </r>
      </text>
    </comment>
    <comment ref="AI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0,885</t>
        </r>
      </text>
    </comment>
    <comment ref="AN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0,885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68,5426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0,8656</t>
        </r>
      </text>
    </comment>
    <comment ref="J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0,8656</t>
        </r>
      </text>
    </comment>
    <comment ref="K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</t>
        </r>
      </text>
    </comment>
    <comment ref="P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</t>
        </r>
      </text>
    </comment>
    <comment ref="Q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0,37</t>
        </r>
      </text>
    </comment>
    <comment ref="V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0,37</t>
        </r>
      </text>
    </comment>
    <comment ref="W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0,8222</t>
        </r>
      </text>
    </comment>
    <comment ref="AB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0,8222</t>
        </r>
      </text>
    </comment>
    <comment ref="AC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</t>
        </r>
      </text>
    </comment>
    <comment ref="AH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</t>
        </r>
      </text>
    </comment>
    <comment ref="AI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0,7832</t>
        </r>
      </text>
    </comment>
    <comment ref="AN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0,7832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60,2962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0,7192</t>
        </r>
      </text>
    </comment>
    <comment ref="J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0,7192</t>
        </r>
      </text>
    </comment>
    <comment ref="K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0,4615</t>
        </r>
      </text>
    </comment>
    <comment ref="P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0,4615</t>
        </r>
      </text>
    </comment>
    <comment ref="Q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0,6094</t>
        </r>
      </text>
    </comment>
    <comment ref="V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0,6094</t>
        </r>
      </text>
    </comment>
    <comment ref="W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0,66</t>
        </r>
      </text>
    </comment>
    <comment ref="AB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0,66</t>
        </r>
      </text>
    </comment>
    <comment ref="AC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</t>
        </r>
      </text>
    </comment>
    <comment ref="AH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</t>
        </r>
      </text>
    </comment>
    <comment ref="AI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0,8275</t>
        </r>
      </text>
    </comment>
    <comment ref="AN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0,8275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38,7651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0,3781</t>
        </r>
      </text>
    </comment>
    <comment ref="J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0,3781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0,52</t>
        </r>
      </text>
    </comment>
    <comment ref="V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0,52</t>
        </r>
      </text>
    </comment>
    <comment ref="W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</t>
        </r>
      </text>
    </comment>
    <comment ref="AB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</t>
        </r>
      </text>
    </comment>
    <comment ref="AC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0,1</t>
        </r>
      </text>
    </comment>
    <comment ref="AH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0,1</t>
        </r>
      </text>
    </comment>
    <comment ref="AI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0,8525</t>
        </r>
      </text>
    </comment>
    <comment ref="AN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0,8525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41,5924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0,3889</t>
        </r>
      </text>
    </comment>
    <comment ref="J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0,3889</t>
        </r>
      </text>
    </comment>
    <comment ref="K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0,52</t>
        </r>
      </text>
    </comment>
    <comment ref="V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0,52</t>
        </r>
      </text>
    </comment>
    <comment ref="W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0,9717</t>
        </r>
      </text>
    </comment>
    <comment ref="AB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0,9717</t>
        </r>
      </text>
    </comment>
    <comment ref="AC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0,1</t>
        </r>
      </text>
    </comment>
    <comment ref="AH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0,1</t>
        </r>
      </text>
    </comment>
    <comment ref="AI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0,705</t>
        </r>
      </text>
    </comment>
    <comment ref="AN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0,705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56,7897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0,7167</t>
        </r>
      </text>
    </comment>
    <comment ref="J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0,7167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0,2308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0,2308</t>
        </r>
      </text>
    </comment>
    <comment ref="Q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0,37</t>
        </r>
      </text>
    </comment>
    <comment ref="V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0,37</t>
        </r>
      </text>
    </comment>
    <comment ref="W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0,83</t>
        </r>
      </text>
    </comment>
    <comment ref="AB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0,83</t>
        </r>
      </text>
    </comment>
    <comment ref="AC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</t>
        </r>
      </text>
    </comment>
    <comment ref="AH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</t>
        </r>
      </text>
    </comment>
    <comment ref="AI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0,7473</t>
        </r>
      </text>
    </comment>
    <comment ref="AN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0,7473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53,6539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0,7124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0,7124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0,35</t>
        </r>
      </text>
    </comment>
    <comment ref="P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0,35</t>
        </r>
      </text>
    </comment>
    <comment ref="Q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0,4208</t>
        </r>
      </text>
    </comment>
    <comment ref="V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0,4208</t>
        </r>
      </text>
    </comment>
    <comment ref="W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0,6963</t>
        </r>
      </text>
    </comment>
    <comment ref="AB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0,6963</t>
        </r>
      </text>
    </comment>
    <comment ref="AC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</t>
        </r>
      </text>
    </comment>
    <comment ref="AH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</t>
        </r>
      </text>
    </comment>
    <comment ref="AI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0,8633</t>
        </r>
      </text>
    </comment>
    <comment ref="AN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0,8633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59,7362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0,7222</t>
        </r>
      </text>
    </comment>
    <comment ref="J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0,7222</t>
        </r>
      </text>
    </comment>
    <comment ref="K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0,35</t>
        </r>
      </text>
    </comment>
    <comment ref="P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0,35</t>
        </r>
      </text>
    </comment>
    <comment ref="Q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0,6632</t>
        </r>
      </text>
    </comment>
    <comment ref="V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0,6632</t>
        </r>
      </text>
    </comment>
    <comment ref="W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0,39</t>
        </r>
      </text>
    </comment>
    <comment ref="AB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0,39</t>
        </r>
      </text>
    </comment>
    <comment ref="AC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</t>
        </r>
      </text>
    </comment>
    <comment ref="AH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</t>
        </r>
      </text>
    </comment>
    <comment ref="AI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0,7256</t>
        </r>
      </text>
    </comment>
    <comment ref="AN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0,7256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70,4552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0,8737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0,8737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Q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0,5656</t>
        </r>
      </text>
    </comment>
    <comment ref="V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0,5656</t>
        </r>
      </text>
    </comment>
    <comment ref="W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0,5567</t>
        </r>
      </text>
    </comment>
    <comment ref="AB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0,5567</t>
        </r>
      </text>
    </comment>
    <comment ref="AC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</t>
        </r>
      </text>
    </comment>
    <comment ref="AH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</t>
        </r>
      </text>
    </comment>
    <comment ref="AI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0,2645</t>
        </r>
      </text>
    </comment>
    <comment ref="AN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0,2645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67,4787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0,6667</t>
        </r>
      </text>
    </comment>
    <comment ref="J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0,6667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</t>
        </r>
      </text>
    </comment>
    <comment ref="P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</t>
        </r>
      </text>
    </comment>
    <comment ref="Q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0,6755</t>
        </r>
      </text>
    </comment>
    <comment ref="V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0,6755</t>
        </r>
      </text>
    </comment>
    <comment ref="W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0,57</t>
        </r>
      </text>
    </comment>
    <comment ref="AB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0,57</t>
        </r>
      </text>
    </comment>
    <comment ref="AC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0,875</t>
        </r>
      </text>
    </comment>
    <comment ref="AH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0,875</t>
        </r>
      </text>
    </comment>
    <comment ref="AI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0,6168</t>
        </r>
      </text>
    </comment>
    <comment ref="AN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0,6168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36,5763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0,3203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0,3203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0,52</t>
        </r>
      </text>
    </comment>
    <comment ref="V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0,52</t>
        </r>
      </text>
    </comment>
    <comment ref="W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0,13</t>
        </r>
      </text>
    </comment>
    <comment ref="AB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0,13</t>
        </r>
      </text>
    </comment>
    <comment ref="AC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</t>
        </r>
      </text>
    </comment>
    <comment ref="AH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</t>
        </r>
      </text>
    </comment>
    <comment ref="AI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0,77</t>
        </r>
      </text>
    </comment>
    <comment ref="AN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0,77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36,2458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0,4498</t>
        </r>
      </text>
    </comment>
    <comment ref="J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0,4498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0,52</t>
        </r>
      </text>
    </comment>
    <comment ref="V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0,52</t>
        </r>
      </text>
    </comment>
    <comment ref="W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</t>
        </r>
      </text>
    </comment>
    <comment ref="AB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</t>
        </r>
      </text>
    </comment>
    <comment ref="AC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</t>
        </r>
      </text>
    </comment>
    <comment ref="AH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</t>
        </r>
      </text>
    </comment>
    <comment ref="AI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0,77</t>
        </r>
      </text>
    </comment>
    <comment ref="AN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0,77</t>
        </r>
      </text>
    </comment>
    <comment ref="C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38,9594</t>
        </r>
      </text>
    </comment>
    <comment ref="D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0,4044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0,4044</t>
        </r>
      </text>
    </comment>
    <comment ref="K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0,52</t>
        </r>
      </text>
    </comment>
    <comment ref="V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0,52</t>
        </r>
      </text>
    </comment>
    <comment ref="W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</t>
        </r>
      </text>
    </comment>
    <comment ref="AB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</t>
        </r>
      </text>
    </comment>
    <comment ref="AC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</t>
        </r>
      </text>
    </comment>
    <comment ref="AH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</t>
        </r>
      </text>
    </comment>
    <comment ref="AI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0,8467</t>
        </r>
      </text>
    </comment>
    <comment ref="AN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0,8467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47,7749</t>
        </r>
      </text>
    </comment>
    <comment ref="D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0,4864</t>
        </r>
      </text>
    </comment>
    <comment ref="J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0,4864</t>
        </r>
      </text>
    </comment>
    <comment ref="K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0,52</t>
        </r>
      </text>
    </comment>
    <comment ref="V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0,52</t>
        </r>
      </text>
    </comment>
    <comment ref="W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0,6567</t>
        </r>
      </text>
    </comment>
    <comment ref="AB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0,6567</t>
        </r>
      </text>
    </comment>
    <comment ref="AC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</t>
        </r>
      </text>
    </comment>
    <comment ref="AH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</t>
        </r>
      </text>
    </comment>
    <comment ref="AI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0,751</t>
        </r>
      </text>
    </comment>
    <comment ref="AN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0,751</t>
        </r>
      </text>
    </comment>
    <comment ref="C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42,8819</t>
        </r>
      </text>
    </comment>
    <comment ref="D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0,6389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0,6389</t>
        </r>
      </text>
    </comment>
    <comment ref="K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0,6089</t>
        </r>
      </text>
    </comment>
    <comment ref="V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0,6089</t>
        </r>
      </text>
    </comment>
    <comment ref="W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0,5458</t>
        </r>
      </text>
    </comment>
    <comment ref="AB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0,5458</t>
        </r>
      </text>
    </comment>
    <comment ref="AC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0,1</t>
        </r>
      </text>
    </comment>
    <comment ref="AH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0,1</t>
        </r>
      </text>
    </comment>
    <comment ref="AI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0,77</t>
        </r>
      </text>
    </comment>
    <comment ref="AN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0,77</t>
        </r>
      </text>
    </comment>
    <comment ref="C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55,9421</t>
        </r>
      </text>
    </comment>
    <comment ref="D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0,6936</t>
        </r>
      </text>
    </comment>
    <comment ref="J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0,6936</t>
        </r>
      </text>
    </comment>
    <comment ref="K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0,2308</t>
        </r>
      </text>
    </comment>
    <comment ref="P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0,2308</t>
        </r>
      </text>
    </comment>
    <comment ref="Q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0,6374</t>
        </r>
      </text>
    </comment>
    <comment ref="V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0,6374</t>
        </r>
      </text>
    </comment>
    <comment ref="W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0,5275</t>
        </r>
      </text>
    </comment>
    <comment ref="AB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0,5275</t>
        </r>
      </text>
    </comment>
    <comment ref="AC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</t>
        </r>
      </text>
    </comment>
    <comment ref="AH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</t>
        </r>
      </text>
    </comment>
    <comment ref="AI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0,77</t>
        </r>
      </text>
    </comment>
    <comment ref="AN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0,77</t>
        </r>
      </text>
    </comment>
    <comment ref="C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50,7686</t>
        </r>
      </text>
    </comment>
    <comment ref="D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0,5556</t>
        </r>
      </text>
    </comment>
    <comment ref="J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0,5556</t>
        </r>
      </text>
    </comment>
    <comment ref="K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0,35</t>
        </r>
      </text>
    </comment>
    <comment ref="P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0,35</t>
        </r>
      </text>
    </comment>
    <comment ref="Q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0,52</t>
        </r>
      </text>
    </comment>
    <comment ref="V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0,52</t>
        </r>
      </text>
    </comment>
    <comment ref="W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0,4142</t>
        </r>
      </text>
    </comment>
    <comment ref="AB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0,4142</t>
        </r>
      </text>
    </comment>
    <comment ref="AC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</t>
        </r>
      </text>
    </comment>
    <comment ref="AH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</t>
        </r>
      </text>
    </comment>
    <comment ref="AI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0,7088</t>
        </r>
      </text>
    </comment>
    <comment ref="AN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0,7088</t>
        </r>
      </text>
    </comment>
    <comment ref="C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45,0153</t>
        </r>
      </text>
    </comment>
    <comment ref="D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0,3333</t>
        </r>
      </text>
    </comment>
    <comment ref="J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0,3333</t>
        </r>
      </text>
    </comment>
    <comment ref="K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0,2308</t>
        </r>
      </text>
    </comment>
    <comment ref="P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0,2308</t>
        </r>
      </text>
    </comment>
    <comment ref="Q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0,52</t>
        </r>
      </text>
    </comment>
    <comment ref="V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0,52</t>
        </r>
      </text>
    </comment>
    <comment ref="W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0,57</t>
        </r>
      </text>
    </comment>
    <comment ref="AB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0,57</t>
        </r>
      </text>
    </comment>
    <comment ref="AC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</t>
        </r>
      </text>
    </comment>
    <comment ref="AH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</t>
        </r>
      </text>
    </comment>
    <comment ref="AI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0,885</t>
        </r>
      </text>
    </comment>
    <comment ref="AN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0,885</t>
        </r>
      </text>
    </comment>
  </commentList>
</comments>
</file>

<file path=xl/comments8.xml><?xml version="1.0" encoding="utf-8"?>
<comments xmlns="http://schemas.openxmlformats.org/spreadsheetml/2006/main">
  <authors>
    <author>Чулков Александр Сергеевич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"Показатели.Оценка качества ФМ_Сопоставимый"
[Все показатели].[Итоговая оценка по главному распорядителю средств местного бюджета]
Частный фильтр "Период.Период"
[Данные всех периодов].[2017]
Параметр "Год" (от родительской задачи)
Значение из базы (по всем элементам): 88,0487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Свободный "Ранг"
Итоги подводятся только по видимым элементам (сумма).
Включена типовая формула:
=ЕСЛИ(Взвешенное значение="";"";RANK(Взвешенное значение;Криста_Мера_17_0))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79,4738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73,9918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72,8756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70,4552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68,5426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67,4787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60,2962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59,7362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59,1807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56,7897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55,9421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53,6539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50,7686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47,7749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45,0153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42,8819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41,5924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38,9594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38,7651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36,5763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36,2458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26,9993</t>
        </r>
      </text>
    </comment>
  </commentList>
</comments>
</file>

<file path=xl/sharedStrings.xml><?xml version="1.0" encoding="utf-8"?>
<sst xmlns="http://schemas.openxmlformats.org/spreadsheetml/2006/main" count="763" uniqueCount="154">
  <si>
    <t>Итоговая оценка качества финансового менеджмента</t>
  </si>
  <si>
    <t>2. По необходимости откорректировать значение показателя "Применим ли в оценке" и веса показателей по НПА.</t>
  </si>
  <si>
    <t>Вес показателя, согласно НПА:</t>
  </si>
  <si>
    <t>применимость направления 1</t>
  </si>
  <si>
    <t>Применим ли к оценке</t>
  </si>
  <si>
    <t>Вспомогательные столбцы для расчета веса</t>
  </si>
  <si>
    <t>Сумма балов</t>
  </si>
  <si>
    <t>3. Проверить данные. Если всё корректно, то записать данные в систему (нажать на кнопку "Записать данные" на панели инструментов).</t>
  </si>
  <si>
    <t>Наименование ГРБС</t>
  </si>
  <si>
    <t>Код</t>
  </si>
  <si>
    <t>Вес направления оценки, согласно НПА:</t>
  </si>
  <si>
    <t>2. По необходимости откорректировать значение оценки направления "Применим ли в оценке" и веса направлений оценки по НПА.</t>
  </si>
  <si>
    <t>Итого баллов</t>
  </si>
  <si>
    <t>Сумма баллов</t>
  </si>
  <si>
    <t>Инструкция:</t>
  </si>
  <si>
    <t>1. Необходимо обновить лист (нажать на кнопку "Обновить" на панелиинструментов).</t>
  </si>
  <si>
    <t>Значение показателя (в %)</t>
  </si>
  <si>
    <t>Оценка показателя       (в баллах)</t>
  </si>
  <si>
    <t>Вес показателя</t>
  </si>
  <si>
    <t>Вес направления</t>
  </si>
  <si>
    <t>Итоговая оценка</t>
  </si>
  <si>
    <t>Городская Дума Краснодара</t>
  </si>
  <si>
    <t>Департамент финансов администрации муниципального образования город Краснодар</t>
  </si>
  <si>
    <t>Контрольно-счётная палата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</si>
  <si>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</si>
  <si>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Департамент строительства администрации муниципального образования город Краснодар</t>
  </si>
  <si>
    <t>Управление гражданской защиты администрации муниципального образования город Краснодар</t>
  </si>
  <si>
    <t>Департамент муниципальной собственности и городских земель администрации муниципального образования город Краснодар</t>
  </si>
  <si>
    <t>Избирательная комиссия муниципального образования город Краснодар</t>
  </si>
  <si>
    <t>Департамент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</si>
  <si>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</si>
  <si>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</si>
  <si>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</si>
  <si>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</si>
  <si>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</si>
  <si>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Администрация Прикубанского внутригородского округа города Краснодара</t>
  </si>
  <si>
    <t>Администрация Карасунского внутригородского округа города Краснодара</t>
  </si>
  <si>
    <t>Управление по социальным вопросам администрации муниципального образования город Краснодар</t>
  </si>
  <si>
    <t>Управление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</si>
  <si>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</si>
  <si>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</si>
  <si>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901</t>
  </si>
  <si>
    <t>902</t>
  </si>
  <si>
    <t>905</t>
  </si>
  <si>
    <t>910</t>
  </si>
  <si>
    <t>917</t>
  </si>
  <si>
    <t>918</t>
  </si>
  <si>
    <t>920</t>
  </si>
  <si>
    <t>921</t>
  </si>
  <si>
    <t>922</t>
  </si>
  <si>
    <t>925</t>
  </si>
  <si>
    <t>926</t>
  </si>
  <si>
    <t>928</t>
  </si>
  <si>
    <t>929</t>
  </si>
  <si>
    <t>932</t>
  </si>
  <si>
    <t>933</t>
  </si>
  <si>
    <t>934</t>
  </si>
  <si>
    <t>935</t>
  </si>
  <si>
    <t>936</t>
  </si>
  <si>
    <t>938</t>
  </si>
  <si>
    <t>953</t>
  </si>
  <si>
    <t>956</t>
  </si>
  <si>
    <t>Вес показателя (расчетный)</t>
  </si>
  <si>
    <t>Применимость показателя</t>
  </si>
  <si>
    <t>Оценка с учетом веса         (в баллах)</t>
  </si>
  <si>
    <t>применимость направления</t>
  </si>
  <si>
    <t>Рейтинг</t>
  </si>
  <si>
    <t>1. Необходимо обновить лист (нажать на кнопку "Обновить" на панели инструментов).</t>
  </si>
  <si>
    <t>ПРИМЕЧАНИЕ: обновление выдает предупреждение о невыполнении макроса. Макрос будет корректно выполнен, когда будут данные.</t>
  </si>
  <si>
    <t>Ранг</t>
  </si>
  <si>
    <t>1. Среднесрочное финансовое планирование</t>
  </si>
  <si>
    <t>2. Исполнение местного бюджета в части доходов</t>
  </si>
  <si>
    <t>3. Исполнение местного бюджета в части расходов</t>
  </si>
  <si>
    <t>4. Учёт и отчетность</t>
  </si>
  <si>
    <t>5. Контроль и аудит</t>
  </si>
  <si>
    <t>6. Кадровый потенциал сотрудников, осуществляющих финансово-экономическую деятельность ГРБС</t>
  </si>
  <si>
    <t xml:space="preserve">1.1 Внедрение ГРБС процедур среднесрочного финансового планирования </t>
  </si>
  <si>
    <t>1.2 Качество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</si>
  <si>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 Качество правового акта ГРБС, регулирующего порядок составления, утверждения и ведения бюджетных смет</t>
  </si>
  <si>
    <t>1.4 Доля бюджетных ассигнований, представленных в программном виде</t>
  </si>
  <si>
    <t>1.5 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</t>
  </si>
  <si>
    <t xml:space="preserve">1.6 Качество планирования расходов: доля суммы изменений в сводную бюджетную роспись местного бюджета </t>
  </si>
  <si>
    <t xml:space="preserve">1.7 Качество составления прогнозных показателей исполнения бюджетных обязательств методических рекомендаций </t>
  </si>
  <si>
    <t>1.1 "Внедрение ГРБС процедур среднесрочного финансового планирования"</t>
  </si>
  <si>
    <t>1.2 "Качество правового акта ГРБС, регулирующего внутренние процедуры подготовки бюджетных проектировок на очередной финансовый год и плановый период"</t>
  </si>
  <si>
    <t>1.7 "Качество составления прогнозных показателей исполнения бюджетных обязательств"</t>
  </si>
  <si>
    <t>1.6 "Качество планирования расходов: доля суммы изменений в сводную бюджетную роспись местного бюджета"</t>
  </si>
  <si>
    <t>1.5 "Качество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ассигнований"</t>
  </si>
  <si>
    <t>1.4 "Доля бюджетных ассигнований, представленных в программном виде"</t>
  </si>
  <si>
    <t>1.3 "Качество правового акта ГРБС, регулирующего порядок составления, утверждения и ведения бюджетных смет"</t>
  </si>
  <si>
    <t>2.1 "Качество правовой базы главных администраторов доходов местного бюджета по администрированию доходов местного бюджета"</t>
  </si>
  <si>
    <t>2.3 "Качество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бюджета"</t>
  </si>
  <si>
    <t>2.2 "Качество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 в форме субсидий, субвенций и иных межбюджетных трансфертов, имеющих целевое назначение (далее – межбюджетные трансферты, имеющие целевое назначение), источником финансового обеспечения которых являются средства федерального бюджета"</t>
  </si>
  <si>
    <t>2.1 Качество правовой базы главных администраторов доходов местного бюджета по администрированию доходов местного бюджета</t>
  </si>
  <si>
    <t>2.2 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 в форме субсидий, субвенций и иных межбюджетных трансфертов, имеющих целевое назначение (далее – межбюджетные трансферты, имеющие целевое назначение), источником финансового обеспечения которых являются средства федерального бюджета</t>
  </si>
  <si>
    <t>2.3 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</t>
  </si>
  <si>
    <t>3.1 "Качество осуществления равномерности расходов"</t>
  </si>
  <si>
    <t>3.2 "Качество поквартального исполнения кассового плана ГРБС в части кассовых выплат по расходам местного бюджета с учётом прогнозных значений"</t>
  </si>
  <si>
    <t>3.3 "Эффективность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 "</t>
  </si>
  <si>
    <t>3.4 "Эффективность управления ГРБС кредиторской задолженностью по расчётам с поставщиками и подрядчиками"</t>
  </si>
  <si>
    <t>3.5 "Наличие просроченной кредиторской задолженности ГРБС и подведомственных ПБС на конец отчётного периода"</t>
  </si>
  <si>
    <t>3.1 Качество осуществления равномерности расходов</t>
  </si>
  <si>
    <t>3.2 Качество поквартального исполнения кассового плана ГРБС в части кассовых выплат по расходам местного бюджета с учётом прогнозных значений</t>
  </si>
  <si>
    <t>3.3 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</t>
  </si>
  <si>
    <t>3.4 Эффективность управления ГРБС кредиторской задолженностью по расчётам с поставщиками и подрядчиками</t>
  </si>
  <si>
    <t>3.5 Наличие просроченной кредиторской задолженности ГРБС и подведомственных ПБС на конец отчётного периода</t>
  </si>
  <si>
    <t>4.1 "Методические рекомендации (указания) ГРБС по реализации учётной политики"</t>
  </si>
  <si>
    <t>4.2 "Наличие единой автоматизированной системы сбора и свода бюджетной отчётности"</t>
  </si>
  <si>
    <t>4.3 "Применение получателями средств местного бюджета программных комплексов по автоматизации бюджетного учёта"</t>
  </si>
  <si>
    <t>4.4 "Представление в составе годовой бюджетной отчётности Сведений о мерах по повышению эффективности расходования бюджетных средств"</t>
  </si>
  <si>
    <t>4.5 "Соответствие приведённых в Сведениях о результатах деятельности,  показателям, указанным в обоснованиях бюджетных ассигнований ГРБС"</t>
  </si>
  <si>
    <t>4.1 Методические рекомендации (указания) ГРБС по реализации учётной политики</t>
  </si>
  <si>
    <t>4.2 Наличие единой автоматизированной системы сбора и свода бюджетной отчётности</t>
  </si>
  <si>
    <t>4.3 Применение получателями средств местного бюджета программных комплексов по автоматизации бюджетного учёта</t>
  </si>
  <si>
    <t>4.4 Представление в составе годовой бюджетной отчётности Сведений о мерах по повышению эффективности расходования бюджетных средств</t>
  </si>
  <si>
    <t>4.5 Соответствие приведённых в Сведениях о результатах деятельности,  показателям, указанным в обоснованиях бюджетных ассигнований ГРБС</t>
  </si>
  <si>
    <t>5.1 Качество правового акта участника мониторинга об организации внутреннего финансового аудита (контроля)</t>
  </si>
  <si>
    <t>5.2 "Качество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учреждений"</t>
  </si>
  <si>
    <t>5.2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</t>
  </si>
  <si>
    <t>5.3 "Осуществление мероприятий внутреннего контроля"</t>
  </si>
  <si>
    <t>5.3 Осуществление мероприятий внутреннего контроля</t>
  </si>
  <si>
    <t>5.4 Динамика нарушений, выявленных в ходе внешних контрольных мероприятий</t>
  </si>
  <si>
    <t>5.4 "Динамика нарушений, выявленных в ходе внешних контрольных мероприятий"</t>
  </si>
  <si>
    <t>5.5 "Проведение инвентаризаций"</t>
  </si>
  <si>
    <t>5.6 "Доля недостач и хищений денежных средств и материальных ценностей"</t>
  </si>
  <si>
    <t>5.5 Проведение инвентаризаций</t>
  </si>
  <si>
    <t>5.6 Доля недостач и хищений денежных средств и материальных ценностей</t>
  </si>
  <si>
    <t>6.1 Квалификация сотрудников, осуществляющих финансово-экономическую деятельность  ГРБС</t>
  </si>
  <si>
    <t>6.2 Дополнительное профессиональное образование сотрудников, осуществляющих финансово-экономическую деятельность ГРБС</t>
  </si>
  <si>
    <t>6.3 Укомплектованность должностей  сотрудниками, осуществляющих финансово - экономическую деятельность ГРБС</t>
  </si>
  <si>
    <t>6.4 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</t>
  </si>
  <si>
    <t>6.1 "Квалификация сотрудников, осуществляющих финансово-экономическую деятельность  ГРБС"</t>
  </si>
  <si>
    <t>6.2 "Дополнительное профессиональное образование сотрудников, осуществляющих финансово-экономическую деятельность ГРБС"</t>
  </si>
  <si>
    <t>6.3 "Укомплектованность должностей  сотрудниками, осуществляющих финансово - экономическую деятельность ГРБС"</t>
  </si>
  <si>
    <t>6.4 " 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лет"</t>
  </si>
  <si>
    <t>Оценка направления</t>
  </si>
  <si>
    <t>Применимость направления - Исполнение местного бюджета в части доходов</t>
  </si>
  <si>
    <t>Применимость направления - Исполнение местного бюджета в части расходов</t>
  </si>
  <si>
    <t>Применимость направления - Учёт и отчетность</t>
  </si>
  <si>
    <t>Применимость направления - Кадровый потенциал сотрудников, осуществляющих финансово-экономическую деятельность ГРБС</t>
  </si>
  <si>
    <t>Применимость направления - Контроль и аудит</t>
  </si>
  <si>
    <t xml:space="preserve">Значение показателя </t>
  </si>
  <si>
    <t>Значение показателя )</t>
  </si>
  <si>
    <t>применимость направления - Среднесрочное финансовое планирование</t>
  </si>
  <si>
    <t>Оценка (с учетом веса)</t>
  </si>
  <si>
    <t>Оценка с учетом 
веса (в баллах)</t>
  </si>
  <si>
    <t>Оценка 
направления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</si>
  <si>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</si>
  <si>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Администрация муниципального образования город Краснодар</t>
  </si>
  <si>
    <t xml:space="preserve">Оценка показателя       (в баллах) </t>
  </si>
  <si>
    <t>923</t>
  </si>
  <si>
    <t>4.6. Эффективность управления дебитор-ской задолженно-стью по расчётам с дебиторами</t>
  </si>
  <si>
    <t>908</t>
  </si>
  <si>
    <t>Управление финансового контроля администрации муниципального образования город 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</si>
</sst>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[Red]\-#,##0.000"/>
    <numFmt numFmtId="165" formatCode="#,##0.0;[Red]\-#,##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62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gray125">
        <fgColor indexed="39"/>
        <bgColor indexed="9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07">
    <xf numFmtId="0" fontId="0" fillId="0" borderId="0">
      <protection locked="0"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3" fillId="14" borderId="3" applyNumberFormat="0">
      <alignment horizontal="right" vertical="top" wrapText="1"/>
    </xf>
    <xf numFmtId="0" fontId="26" fillId="14" borderId="3" applyNumberFormat="0">
      <alignment horizontal="right" vertical="top" wrapText="1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3" fillId="0" borderId="3" applyNumberFormat="0">
      <alignment horizontal="right" vertical="top"/>
    </xf>
    <xf numFmtId="0" fontId="26" fillId="0" borderId="3" applyNumberFormat="0">
      <alignment horizontal="right" vertical="top"/>
    </xf>
    <xf numFmtId="0" fontId="4" fillId="0" borderId="4" applyNumberFormat="0">
      <alignment horizontal="right" vertical="top"/>
    </xf>
    <xf numFmtId="0" fontId="3" fillId="15" borderId="3" applyNumberFormat="0">
      <alignment horizontal="right" vertical="top"/>
    </xf>
    <xf numFmtId="0" fontId="3" fillId="15" borderId="3" applyNumberFormat="0">
      <alignment horizontal="right" vertical="top"/>
    </xf>
    <xf numFmtId="0" fontId="4" fillId="15" borderId="4" applyNumberFormat="0">
      <alignment horizontal="right" vertical="top"/>
    </xf>
    <xf numFmtId="49" fontId="3" fillId="13" borderId="3">
      <alignment horizontal="left" vertical="top"/>
    </xf>
    <xf numFmtId="49" fontId="9" fillId="0" borderId="3">
      <alignment horizontal="left" vertical="top"/>
    </xf>
    <xf numFmtId="49" fontId="9" fillId="0" borderId="3">
      <alignment horizontal="left" vertical="top"/>
    </xf>
    <xf numFmtId="49" fontId="14" fillId="0" borderId="4">
      <alignment horizontal="left" vertical="top"/>
    </xf>
    <xf numFmtId="49" fontId="3" fillId="13" borderId="3">
      <alignment horizontal="left" vertical="top"/>
    </xf>
    <xf numFmtId="49" fontId="4" fillId="16" borderId="4">
      <alignment horizontal="center" vertic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6" borderId="3">
      <alignment horizontal="left" vertical="top" wrapText="1"/>
    </xf>
    <xf numFmtId="0" fontId="3" fillId="6" borderId="3">
      <alignment horizontal="left" vertical="top" wrapText="1"/>
    </xf>
    <xf numFmtId="0" fontId="4" fillId="17" borderId="4">
      <alignment horizontal="center" vertical="center" wrapText="1"/>
    </xf>
    <xf numFmtId="0" fontId="9" fillId="0" borderId="3">
      <alignment horizontal="left" vertical="top" wrapText="1"/>
    </xf>
    <xf numFmtId="0" fontId="9" fillId="0" borderId="3">
      <alignment horizontal="left" vertical="top" wrapText="1"/>
    </xf>
    <xf numFmtId="0" fontId="14" fillId="0" borderId="4">
      <alignment horizontal="left" vertical="top" wrapText="1"/>
    </xf>
    <xf numFmtId="0" fontId="3" fillId="2" borderId="3">
      <alignment horizontal="left" vertical="top" wrapText="1"/>
    </xf>
    <xf numFmtId="0" fontId="3" fillId="2" borderId="3">
      <alignment horizontal="left" vertical="top" wrapText="1"/>
    </xf>
    <xf numFmtId="0" fontId="4" fillId="18" borderId="4">
      <alignment horizontal="left" vertical="top" wrapText="1"/>
    </xf>
    <xf numFmtId="0" fontId="3" fillId="19" borderId="3">
      <alignment horizontal="left" vertical="top" wrapText="1"/>
    </xf>
    <xf numFmtId="0" fontId="3" fillId="19" borderId="3">
      <alignment horizontal="left" vertical="top" wrapText="1"/>
    </xf>
    <xf numFmtId="0" fontId="4" fillId="20" borderId="4">
      <alignment horizontal="center" vertical="center" wrapText="1"/>
    </xf>
    <xf numFmtId="0" fontId="3" fillId="21" borderId="3">
      <alignment horizontal="left" vertical="top" wrapText="1"/>
    </xf>
    <xf numFmtId="0" fontId="3" fillId="21" borderId="3">
      <alignment horizontal="left" vertical="top" wrapText="1"/>
    </xf>
    <xf numFmtId="0" fontId="4" fillId="22" borderId="4">
      <alignment horizontal="left" vertical="top" wrapText="1"/>
    </xf>
    <xf numFmtId="0" fontId="4" fillId="22" borderId="4">
      <alignment horizontal="center" vertical="center" wrapText="1"/>
    </xf>
    <xf numFmtId="0" fontId="3" fillId="23" borderId="3">
      <alignment horizontal="left" vertical="top" wrapText="1"/>
    </xf>
    <xf numFmtId="0" fontId="3" fillId="0" borderId="3">
      <alignment horizontal="left" vertical="top" wrapText="1"/>
    </xf>
    <xf numFmtId="0" fontId="3" fillId="0" borderId="3">
      <alignment horizontal="left" vertical="top" wrapText="1"/>
    </xf>
    <xf numFmtId="0" fontId="4" fillId="0" borderId="4">
      <alignment horizontal="left" vertical="top" wrapText="1"/>
    </xf>
    <xf numFmtId="0" fontId="3" fillId="23" borderId="3">
      <alignment horizontal="left" vertical="top" wrapText="1"/>
    </xf>
    <xf numFmtId="0" fontId="4" fillId="24" borderId="4">
      <alignment horizontal="left" vertical="top" wrapText="1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27" fillId="0" borderId="0">
      <alignment horizontal="left" vertical="top"/>
    </xf>
    <xf numFmtId="0" fontId="14" fillId="0" borderId="8" applyNumberFormat="0" applyFill="0" applyAlignment="0" applyProtection="0"/>
    <xf numFmtId="0" fontId="15" fillId="25" borderId="9" applyNumberFormat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" fillId="0" borderId="0"/>
    <xf numFmtId="0" fontId="25" fillId="0" borderId="0"/>
    <xf numFmtId="0" fontId="26" fillId="0" borderId="0"/>
    <xf numFmtId="0" fontId="4" fillId="0" borderId="0">
      <protection locked="0"/>
    </xf>
    <xf numFmtId="0" fontId="3" fillId="6" borderId="10" applyNumberFormat="0">
      <alignment horizontal="right" vertical="top"/>
    </xf>
    <xf numFmtId="0" fontId="3" fillId="2" borderId="10" applyNumberFormat="0">
      <alignment horizontal="right" vertical="top"/>
    </xf>
    <xf numFmtId="0" fontId="3" fillId="0" borderId="3" applyNumberFormat="0">
      <alignment horizontal="right" vertical="top"/>
    </xf>
    <xf numFmtId="0" fontId="3" fillId="0" borderId="3" applyNumberFormat="0">
      <alignment horizontal="right" vertical="top"/>
    </xf>
    <xf numFmtId="0" fontId="4" fillId="0" borderId="4" applyNumberFormat="0">
      <alignment horizontal="right" vertical="top"/>
    </xf>
    <xf numFmtId="0" fontId="3" fillId="2" borderId="10" applyNumberFormat="0">
      <alignment horizontal="right" vertical="top"/>
    </xf>
    <xf numFmtId="0" fontId="4" fillId="18" borderId="10" applyNumberFormat="0">
      <alignment horizontal="right" vertical="top"/>
    </xf>
    <xf numFmtId="0" fontId="3" fillId="0" borderId="3" applyNumberFormat="0">
      <alignment horizontal="right" vertical="top"/>
    </xf>
    <xf numFmtId="0" fontId="3" fillId="0" borderId="3" applyNumberFormat="0">
      <alignment horizontal="right" vertical="top"/>
    </xf>
    <xf numFmtId="0" fontId="4" fillId="0" borderId="4" applyNumberFormat="0">
      <alignment horizontal="right" vertical="top"/>
    </xf>
    <xf numFmtId="0" fontId="3" fillId="6" borderId="10" applyNumberFormat="0">
      <alignment horizontal="right" vertical="top"/>
    </xf>
    <xf numFmtId="0" fontId="4" fillId="17" borderId="10" applyNumberFormat="0">
      <alignment horizontal="right" vertical="top"/>
    </xf>
    <xf numFmtId="0" fontId="3" fillId="19" borderId="10" applyNumberFormat="0">
      <alignment horizontal="right" vertical="top"/>
    </xf>
    <xf numFmtId="0" fontId="3" fillId="0" borderId="3" applyNumberFormat="0">
      <alignment horizontal="right" vertical="top"/>
    </xf>
    <xf numFmtId="0" fontId="3" fillId="0" borderId="3" applyNumberFormat="0">
      <alignment horizontal="right" vertical="top"/>
    </xf>
    <xf numFmtId="0" fontId="4" fillId="0" borderId="4" applyNumberFormat="0">
      <alignment horizontal="right" vertical="top"/>
    </xf>
    <xf numFmtId="0" fontId="3" fillId="19" borderId="10" applyNumberFormat="0">
      <alignment horizontal="right" vertical="top"/>
    </xf>
    <xf numFmtId="0" fontId="4" fillId="20" borderId="10" applyNumberFormat="0">
      <alignment horizontal="right" vertical="top"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7" borderId="11" applyNumberFormat="0" applyFont="0" applyAlignment="0" applyProtection="0"/>
    <xf numFmtId="49" fontId="20" fillId="14" borderId="3">
      <alignment horizontal="center" vertical="top" wrapText="1"/>
    </xf>
    <xf numFmtId="49" fontId="3" fillId="0" borderId="3">
      <alignment horizontal="left" vertical="top" wrapText="1"/>
    </xf>
    <xf numFmtId="49" fontId="3" fillId="0" borderId="3">
      <alignment horizontal="left" vertical="top" wrapText="1"/>
    </xf>
    <xf numFmtId="49" fontId="28" fillId="0" borderId="4">
      <alignment horizontal="left" vertical="top" wrapText="1"/>
    </xf>
    <xf numFmtId="49" fontId="20" fillId="26" borderId="3">
      <alignment horizontal="left" vertical="top" wrapText="1"/>
    </xf>
    <xf numFmtId="49" fontId="6" fillId="28" borderId="4">
      <alignment horizontal="left" vertical="top" wrapText="1"/>
    </xf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" fillId="14" borderId="3">
      <alignment horizontal="left" vertical="top" wrapText="1"/>
    </xf>
    <xf numFmtId="0" fontId="3" fillId="0" borderId="3">
      <alignment horizontal="left" vertical="top" wrapText="1"/>
    </xf>
    <xf numFmtId="0" fontId="3" fillId="0" borderId="3">
      <alignment horizontal="left" vertical="top" wrapText="1"/>
    </xf>
    <xf numFmtId="0" fontId="4" fillId="0" borderId="4">
      <alignment horizontal="left" vertical="top" wrapText="1"/>
    </xf>
    <xf numFmtId="0" fontId="26" fillId="14" borderId="3">
      <alignment horizontal="left" vertical="top" wrapText="1"/>
    </xf>
    <xf numFmtId="0" fontId="4" fillId="24" borderId="4">
      <alignment horizontal="left" vertical="top" wrapText="1"/>
    </xf>
    <xf numFmtId="0" fontId="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5" borderId="1" applyNumberFormat="0" applyAlignment="0" applyProtection="0"/>
    <xf numFmtId="0" fontId="6" fillId="5" borderId="1" applyNumberFormat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3" fillId="14" borderId="3" applyNumberFormat="0">
      <alignment horizontal="right" vertical="top" wrapText="1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3" fillId="0" borderId="3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15" borderId="4" applyNumberFormat="0">
      <alignment horizontal="right" vertical="top"/>
    </xf>
    <xf numFmtId="0" fontId="4" fillId="15" borderId="4" applyNumberFormat="0">
      <alignment horizontal="right" vertical="top"/>
    </xf>
    <xf numFmtId="0" fontId="4" fillId="15" borderId="4" applyNumberFormat="0">
      <alignment horizontal="right" vertical="top"/>
    </xf>
    <xf numFmtId="0" fontId="4" fillId="15" borderId="4" applyNumberFormat="0">
      <alignment horizontal="right" vertical="top"/>
    </xf>
    <xf numFmtId="0" fontId="4" fillId="15" borderId="4" applyNumberFormat="0">
      <alignment horizontal="right" vertical="top"/>
    </xf>
    <xf numFmtId="0" fontId="4" fillId="15" borderId="4" applyNumberFormat="0">
      <alignment horizontal="right" vertical="top"/>
    </xf>
    <xf numFmtId="49" fontId="14" fillId="0" borderId="4">
      <alignment horizontal="left" vertical="top"/>
    </xf>
    <xf numFmtId="49" fontId="14" fillId="0" borderId="4">
      <alignment horizontal="left" vertical="top"/>
    </xf>
    <xf numFmtId="49" fontId="14" fillId="0" borderId="4">
      <alignment horizontal="left" vertical="top"/>
    </xf>
    <xf numFmtId="49" fontId="14" fillId="0" borderId="4">
      <alignment horizontal="left" vertical="top"/>
    </xf>
    <xf numFmtId="49" fontId="14" fillId="0" borderId="4">
      <alignment horizontal="left" vertical="top"/>
    </xf>
    <xf numFmtId="49" fontId="14" fillId="0" borderId="4">
      <alignment horizontal="left" vertical="top"/>
    </xf>
    <xf numFmtId="49" fontId="4" fillId="16" borderId="4">
      <alignment horizontal="left" vertical="top"/>
    </xf>
    <xf numFmtId="49" fontId="4" fillId="16" borderId="4">
      <alignment horizontal="left" vertical="top"/>
    </xf>
    <xf numFmtId="49" fontId="4" fillId="16" borderId="4">
      <alignment horizontal="left" vertical="top"/>
    </xf>
    <xf numFmtId="49" fontId="4" fillId="16" borderId="4">
      <alignment horizontal="left" vertical="top"/>
    </xf>
    <xf numFmtId="49" fontId="4" fillId="16" borderId="4">
      <alignment horizontal="left" vertical="top"/>
    </xf>
    <xf numFmtId="49" fontId="4" fillId="16" borderId="4">
      <alignment horizontal="left" vertical="top"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17" borderId="4">
      <alignment horizontal="left" vertical="top" wrapText="1"/>
    </xf>
    <xf numFmtId="0" fontId="4" fillId="17" borderId="4">
      <alignment horizontal="left" vertical="top" wrapText="1"/>
    </xf>
    <xf numFmtId="0" fontId="4" fillId="17" borderId="4">
      <alignment horizontal="left" vertical="top" wrapText="1"/>
    </xf>
    <xf numFmtId="0" fontId="4" fillId="17" borderId="4">
      <alignment horizontal="left" vertical="top" wrapText="1"/>
    </xf>
    <xf numFmtId="0" fontId="4" fillId="17" borderId="4">
      <alignment horizontal="left" vertical="top" wrapText="1"/>
    </xf>
    <xf numFmtId="0" fontId="4" fillId="17" borderId="4">
      <alignment horizontal="left" vertical="top" wrapText="1"/>
    </xf>
    <xf numFmtId="0" fontId="14" fillId="0" borderId="4">
      <alignment horizontal="left" vertical="top" wrapText="1"/>
    </xf>
    <xf numFmtId="0" fontId="14" fillId="0" borderId="4">
      <alignment horizontal="left" vertical="top" wrapText="1"/>
    </xf>
    <xf numFmtId="0" fontId="14" fillId="0" borderId="4">
      <alignment horizontal="left" vertical="top" wrapText="1"/>
    </xf>
    <xf numFmtId="0" fontId="14" fillId="0" borderId="4">
      <alignment horizontal="left" vertical="top" wrapText="1"/>
    </xf>
    <xf numFmtId="0" fontId="14" fillId="0" borderId="4">
      <alignment horizontal="left" vertical="top" wrapText="1"/>
    </xf>
    <xf numFmtId="0" fontId="14" fillId="0" borderId="4">
      <alignment horizontal="left" vertical="top" wrapText="1"/>
    </xf>
    <xf numFmtId="0" fontId="4" fillId="18" borderId="4">
      <alignment horizontal="left" vertical="top" wrapText="1"/>
    </xf>
    <xf numFmtId="0" fontId="4" fillId="18" borderId="4">
      <alignment horizontal="left" vertical="top" wrapText="1"/>
    </xf>
    <xf numFmtId="0" fontId="4" fillId="18" borderId="4">
      <alignment horizontal="left" vertical="top" wrapText="1"/>
    </xf>
    <xf numFmtId="0" fontId="4" fillId="18" borderId="4">
      <alignment horizontal="left" vertical="top" wrapText="1"/>
    </xf>
    <xf numFmtId="0" fontId="4" fillId="18" borderId="4">
      <alignment horizontal="left" vertical="top" wrapText="1"/>
    </xf>
    <xf numFmtId="0" fontId="4" fillId="18" borderId="4">
      <alignment horizontal="left" vertical="top" wrapText="1"/>
    </xf>
    <xf numFmtId="0" fontId="4" fillId="20" borderId="4">
      <alignment horizontal="left" vertical="top" wrapText="1"/>
    </xf>
    <xf numFmtId="0" fontId="4" fillId="20" borderId="4">
      <alignment horizontal="left" vertical="top" wrapText="1"/>
    </xf>
    <xf numFmtId="0" fontId="4" fillId="20" borderId="4">
      <alignment horizontal="left" vertical="top" wrapText="1"/>
    </xf>
    <xf numFmtId="0" fontId="4" fillId="20" borderId="4">
      <alignment horizontal="left" vertical="top" wrapText="1"/>
    </xf>
    <xf numFmtId="0" fontId="4" fillId="20" borderId="4">
      <alignment horizontal="left" vertical="top" wrapText="1"/>
    </xf>
    <xf numFmtId="0" fontId="4" fillId="20" borderId="4">
      <alignment horizontal="left" vertical="top" wrapText="1"/>
    </xf>
    <xf numFmtId="0" fontId="4" fillId="22" borderId="4">
      <alignment horizontal="left" vertical="top" wrapText="1"/>
    </xf>
    <xf numFmtId="0" fontId="4" fillId="22" borderId="4">
      <alignment horizontal="left" vertical="top" wrapText="1"/>
    </xf>
    <xf numFmtId="0" fontId="4" fillId="22" borderId="4">
      <alignment horizontal="left" vertical="top" wrapText="1"/>
    </xf>
    <xf numFmtId="0" fontId="4" fillId="22" borderId="4">
      <alignment horizontal="left" vertical="top" wrapText="1"/>
    </xf>
    <xf numFmtId="0" fontId="4" fillId="22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27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left" vertical="top"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18" borderId="10" applyNumberFormat="0">
      <alignment horizontal="right" vertical="top"/>
    </xf>
    <xf numFmtId="0" fontId="4" fillId="18" borderId="10" applyNumberFormat="0">
      <alignment horizontal="right" vertical="top"/>
    </xf>
    <xf numFmtId="0" fontId="4" fillId="18" borderId="10" applyNumberFormat="0">
      <alignment horizontal="right" vertical="top"/>
    </xf>
    <xf numFmtId="0" fontId="4" fillId="18" borderId="10" applyNumberFormat="0">
      <alignment horizontal="right" vertical="top"/>
    </xf>
    <xf numFmtId="0" fontId="4" fillId="18" borderId="10" applyNumberFormat="0">
      <alignment horizontal="right" vertical="top"/>
    </xf>
    <xf numFmtId="0" fontId="4" fillId="18" borderId="10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17" borderId="10" applyNumberFormat="0">
      <alignment horizontal="right" vertical="top"/>
    </xf>
    <xf numFmtId="0" fontId="4" fillId="17" borderId="10" applyNumberFormat="0">
      <alignment horizontal="right" vertical="top"/>
    </xf>
    <xf numFmtId="0" fontId="4" fillId="17" borderId="10" applyNumberFormat="0">
      <alignment horizontal="right" vertical="top"/>
    </xf>
    <xf numFmtId="0" fontId="4" fillId="17" borderId="10" applyNumberFormat="0">
      <alignment horizontal="right" vertical="top"/>
    </xf>
    <xf numFmtId="0" fontId="4" fillId="17" borderId="10" applyNumberFormat="0">
      <alignment horizontal="right" vertical="top"/>
    </xf>
    <xf numFmtId="0" fontId="4" fillId="17" borderId="10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20" borderId="10" applyNumberFormat="0">
      <alignment horizontal="right" vertical="top"/>
    </xf>
    <xf numFmtId="0" fontId="4" fillId="20" borderId="10" applyNumberFormat="0">
      <alignment horizontal="right" vertical="top"/>
    </xf>
    <xf numFmtId="0" fontId="4" fillId="20" borderId="10" applyNumberFormat="0">
      <alignment horizontal="right" vertical="top"/>
    </xf>
    <xf numFmtId="0" fontId="4" fillId="20" borderId="10" applyNumberFormat="0">
      <alignment horizontal="right" vertical="top"/>
    </xf>
    <xf numFmtId="0" fontId="4" fillId="20" borderId="10" applyNumberFormat="0">
      <alignment horizontal="right" vertical="top"/>
    </xf>
    <xf numFmtId="0" fontId="4" fillId="20" borderId="10" applyNumberFormat="0">
      <alignment horizontal="right" vertical="top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7" borderId="11" applyNumberFormat="0" applyFont="0" applyAlignment="0" applyProtection="0"/>
    <xf numFmtId="0" fontId="4" fillId="27" borderId="11" applyNumberFormat="0" applyFont="0" applyAlignment="0" applyProtection="0"/>
    <xf numFmtId="0" fontId="4" fillId="27" borderId="11" applyNumberFormat="0" applyFont="0" applyAlignment="0" applyProtection="0"/>
    <xf numFmtId="49" fontId="28" fillId="0" borderId="4">
      <alignment horizontal="left" vertical="top" wrapText="1"/>
    </xf>
    <xf numFmtId="49" fontId="28" fillId="0" borderId="4">
      <alignment horizontal="left" vertical="top" wrapText="1"/>
    </xf>
    <xf numFmtId="49" fontId="28" fillId="0" borderId="4">
      <alignment horizontal="left" vertical="top" wrapText="1"/>
    </xf>
    <xf numFmtId="49" fontId="28" fillId="0" borderId="4">
      <alignment horizontal="left" vertical="top" wrapText="1"/>
    </xf>
    <xf numFmtId="49" fontId="28" fillId="0" borderId="4">
      <alignment horizontal="left" vertical="top" wrapText="1"/>
    </xf>
    <xf numFmtId="49" fontId="28" fillId="0" borderId="4">
      <alignment horizontal="left" vertical="top" wrapText="1"/>
    </xf>
    <xf numFmtId="49" fontId="6" fillId="28" borderId="4">
      <alignment horizontal="left" vertical="top" wrapText="1"/>
    </xf>
    <xf numFmtId="49" fontId="6" fillId="28" borderId="4">
      <alignment horizontal="left" vertical="top" wrapText="1"/>
    </xf>
    <xf numFmtId="49" fontId="6" fillId="28" borderId="4">
      <alignment horizontal="left" vertical="top" wrapText="1"/>
    </xf>
    <xf numFmtId="49" fontId="6" fillId="28" borderId="4">
      <alignment horizontal="left" vertical="top" wrapText="1"/>
    </xf>
    <xf numFmtId="49" fontId="6" fillId="28" borderId="4">
      <alignment horizontal="left" vertical="top" wrapText="1"/>
    </xf>
    <xf numFmtId="49" fontId="6" fillId="28" borderId="4">
      <alignment horizontal="left" vertical="top" wrapText="1"/>
    </xf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3" fillId="14" borderId="3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4" fillId="24" borderId="4">
      <alignment horizontal="left" vertical="top" wrapText="1"/>
    </xf>
    <xf numFmtId="0" fontId="1" fillId="0" borderId="0"/>
  </cellStyleXfs>
  <cellXfs count="175">
    <xf numFmtId="0" fontId="0" fillId="0" borderId="0" xfId="0">
      <protection locked="0"/>
    </xf>
    <xf numFmtId="49" fontId="20" fillId="14" borderId="3" xfId="84">
      <alignment horizontal="center" vertical="top" wrapText="1"/>
    </xf>
    <xf numFmtId="0" fontId="0" fillId="28" borderId="0" xfId="0" applyFill="1">
      <protection locked="0"/>
    </xf>
    <xf numFmtId="0" fontId="0" fillId="0" borderId="13" xfId="0" applyBorder="1" applyAlignment="1">
      <alignment horizontal="center" vertical="center" wrapText="1"/>
      <protection locked="0"/>
    </xf>
    <xf numFmtId="0" fontId="0" fillId="29" borderId="0" xfId="0" applyFill="1">
      <protection locked="0"/>
    </xf>
    <xf numFmtId="0" fontId="9" fillId="29" borderId="0" xfId="0" applyFont="1" applyFill="1">
      <protection locked="0"/>
    </xf>
    <xf numFmtId="0" fontId="9" fillId="29" borderId="14" xfId="0" applyFont="1" applyFill="1" applyBorder="1" applyAlignment="1">
      <alignment horizontal="center" vertical="center"/>
      <protection locked="0"/>
    </xf>
    <xf numFmtId="0" fontId="0" fillId="31" borderId="0" xfId="0" applyFill="1">
      <protection locked="0"/>
    </xf>
    <xf numFmtId="0" fontId="0" fillId="30" borderId="0" xfId="0" applyFill="1">
      <protection locked="0"/>
    </xf>
    <xf numFmtId="0" fontId="0" fillId="30" borderId="13" xfId="0" applyFill="1" applyBorder="1" applyAlignment="1">
      <alignment horizontal="center" vertical="center" wrapText="1"/>
      <protection locked="0"/>
    </xf>
    <xf numFmtId="0" fontId="0" fillId="0" borderId="0" xfId="0" applyFill="1">
      <protection locked="0"/>
    </xf>
    <xf numFmtId="0" fontId="3" fillId="14" borderId="3" xfId="93">
      <alignment horizontal="left" vertical="top" wrapText="1"/>
    </xf>
    <xf numFmtId="164" fontId="3" fillId="0" borderId="3" xfId="14" applyNumberFormat="1">
      <alignment horizontal="right" vertical="top"/>
    </xf>
    <xf numFmtId="0" fontId="3" fillId="14" borderId="3" xfId="10" applyNumberFormat="1">
      <alignment horizontal="right" vertical="top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3" xfId="14" applyNumberFormat="1">
      <alignment horizontal="right" vertical="top"/>
    </xf>
    <xf numFmtId="165" fontId="3" fillId="14" borderId="3" xfId="10" applyNumberFormat="1">
      <alignment horizontal="right" vertical="top" wrapText="1"/>
    </xf>
    <xf numFmtId="164" fontId="3" fillId="14" borderId="3" xfId="10" applyNumberFormat="1">
      <alignment horizontal="right" vertical="top" wrapText="1"/>
    </xf>
    <xf numFmtId="0" fontId="0" fillId="0" borderId="0" xfId="0" applyAlignment="1">
      <alignment horizontal="left" wrapText="1"/>
      <protection locked="0"/>
    </xf>
    <xf numFmtId="0" fontId="0" fillId="0" borderId="0" xfId="0" applyAlignment="1">
      <alignment horizontal="left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  <protection locked="0"/>
    </xf>
    <xf numFmtId="0" fontId="0" fillId="0" borderId="0" xfId="0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left" vertical="center" wrapText="1"/>
      <protection locked="0"/>
    </xf>
    <xf numFmtId="0" fontId="0" fillId="0" borderId="0" xfId="0" applyFill="1" applyBorder="1" applyAlignment="1">
      <alignment horizontal="left" wrapText="1"/>
      <protection locked="0"/>
    </xf>
    <xf numFmtId="0" fontId="0" fillId="0" borderId="0" xfId="0" applyFill="1" applyAlignment="1">
      <alignment horizontal="left" wrapText="1"/>
      <protection locked="0"/>
    </xf>
    <xf numFmtId="0" fontId="0" fillId="30" borderId="23" xfId="0" applyFill="1" applyBorder="1" applyAlignment="1">
      <alignment horizontal="center" vertical="center" wrapText="1"/>
      <protection locked="0"/>
    </xf>
    <xf numFmtId="0" fontId="0" fillId="30" borderId="26" xfId="0" applyFill="1" applyBorder="1" applyAlignment="1">
      <alignment horizontal="center" vertical="center" wrapText="1"/>
      <protection locked="0"/>
    </xf>
    <xf numFmtId="0" fontId="0" fillId="30" borderId="27" xfId="0" applyFill="1" applyBorder="1" applyAlignment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  <protection locked="0"/>
    </xf>
    <xf numFmtId="0" fontId="0" fillId="29" borderId="0" xfId="0" applyFill="1" applyAlignment="1">
      <alignment horizontal="left" vertical="center"/>
      <protection locked="0"/>
    </xf>
    <xf numFmtId="0" fontId="0" fillId="29" borderId="0" xfId="0" applyFill="1" applyAlignment="1">
      <alignment vertical="center"/>
      <protection locked="0"/>
    </xf>
    <xf numFmtId="0" fontId="9" fillId="29" borderId="19" xfId="0" applyFont="1" applyFill="1" applyBorder="1" applyAlignment="1">
      <alignment horizontal="center" vertical="center"/>
      <protection locked="0"/>
    </xf>
    <xf numFmtId="0" fontId="9" fillId="29" borderId="13" xfId="0" applyFont="1" applyFill="1" applyBorder="1" applyAlignment="1">
      <alignment horizontal="center" vertical="center"/>
      <protection locked="0"/>
    </xf>
    <xf numFmtId="0" fontId="0" fillId="30" borderId="20" xfId="0" applyFill="1" applyBorder="1" applyAlignment="1">
      <alignment horizontal="center" vertical="center" wrapText="1"/>
      <protection locked="0"/>
    </xf>
    <xf numFmtId="0" fontId="0" fillId="30" borderId="14" xfId="0" applyFill="1" applyBorder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  <protection locked="0"/>
    </xf>
    <xf numFmtId="0" fontId="0" fillId="30" borderId="31" xfId="0" applyFill="1" applyBorder="1" applyAlignment="1">
      <alignment horizontal="center" vertical="center" wrapText="1"/>
      <protection locked="0"/>
    </xf>
    <xf numFmtId="0" fontId="0" fillId="30" borderId="35" xfId="0" applyFill="1" applyBorder="1" applyAlignment="1">
      <alignment horizontal="center" vertical="center" wrapText="1"/>
      <protection locked="0"/>
    </xf>
    <xf numFmtId="0" fontId="0" fillId="0" borderId="26" xfId="0" applyFill="1" applyBorder="1" applyAlignment="1">
      <alignment horizontal="center" vertical="center" wrapText="1"/>
      <protection locked="0"/>
    </xf>
    <xf numFmtId="0" fontId="0" fillId="0" borderId="22" xfId="0" applyBorder="1" applyAlignment="1">
      <alignment vertical="center" wrapText="1"/>
      <protection locked="0"/>
    </xf>
    <xf numFmtId="0" fontId="0" fillId="30" borderId="44" xfId="0" applyFill="1" applyBorder="1" applyAlignment="1">
      <alignment horizontal="center" vertical="center" wrapText="1"/>
      <protection locked="0"/>
    </xf>
    <xf numFmtId="0" fontId="0" fillId="30" borderId="43" xfId="0" applyFill="1" applyBorder="1" applyAlignment="1">
      <alignment horizontal="center" vertical="center"/>
      <protection locked="0"/>
    </xf>
    <xf numFmtId="0" fontId="0" fillId="30" borderId="44" xfId="0" applyFill="1" applyBorder="1" applyAlignment="1">
      <alignment horizontal="center" vertical="center"/>
      <protection locked="0"/>
    </xf>
    <xf numFmtId="0" fontId="0" fillId="0" borderId="45" xfId="0" applyBorder="1" applyAlignment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  <protection locked="0"/>
    </xf>
    <xf numFmtId="0" fontId="0" fillId="0" borderId="46" xfId="0" applyFill="1" applyBorder="1" applyAlignment="1">
      <alignment horizontal="center" vertical="center" wrapText="1"/>
      <protection locked="0"/>
    </xf>
    <xf numFmtId="0" fontId="0" fillId="0" borderId="42" xfId="0" applyBorder="1" applyAlignment="1">
      <alignment vertical="center" wrapText="1"/>
      <protection locked="0"/>
    </xf>
    <xf numFmtId="0" fontId="3" fillId="39" borderId="3" xfId="10" applyNumberFormat="1" applyFill="1">
      <alignment horizontal="right" vertical="top" wrapText="1"/>
    </xf>
    <xf numFmtId="164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28" borderId="0" xfId="0" applyFill="1" applyProtection="1">
      <protection locked="0"/>
    </xf>
    <xf numFmtId="0" fontId="9" fillId="29" borderId="0" xfId="0" applyFont="1" applyFill="1" applyProtection="1">
      <protection locked="0"/>
    </xf>
    <xf numFmtId="0" fontId="0" fillId="29" borderId="0" xfId="0" applyFill="1" applyProtection="1">
      <protection locked="0"/>
    </xf>
    <xf numFmtId="0" fontId="9" fillId="29" borderId="14" xfId="0" applyFont="1" applyFill="1" applyBorder="1" applyAlignment="1" applyProtection="1">
      <alignment horizontal="center" vertical="center"/>
      <protection locked="0"/>
    </xf>
    <xf numFmtId="0" fontId="0" fillId="29" borderId="0" xfId="0" applyFill="1" applyBorder="1" applyAlignment="1" applyProtection="1">
      <alignment horizontal="left" wrapText="1"/>
      <protection locked="0"/>
    </xf>
    <xf numFmtId="0" fontId="0" fillId="29" borderId="0" xfId="0" applyFill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30" borderId="31" xfId="0" applyFill="1" applyBorder="1" applyAlignment="1" applyProtection="1">
      <alignment horizontal="center" vertical="center" wrapText="1"/>
      <protection locked="0"/>
    </xf>
    <xf numFmtId="0" fontId="0" fillId="30" borderId="26" xfId="0" applyFill="1" applyBorder="1" applyAlignment="1" applyProtection="1">
      <alignment horizontal="center" vertical="center" wrapText="1"/>
      <protection locked="0"/>
    </xf>
    <xf numFmtId="0" fontId="0" fillId="30" borderId="27" xfId="0" applyFill="1" applyBorder="1" applyAlignment="1" applyProtection="1">
      <alignment horizontal="center" vertical="center" wrapText="1"/>
      <protection locked="0"/>
    </xf>
    <xf numFmtId="0" fontId="0" fillId="30" borderId="0" xfId="0" applyFill="1" applyProtection="1">
      <protection locked="0"/>
    </xf>
    <xf numFmtId="0" fontId="31" fillId="0" borderId="0" xfId="0" applyFont="1" applyProtection="1"/>
    <xf numFmtId="0" fontId="31" fillId="28" borderId="0" xfId="0" applyFont="1" applyFill="1" applyProtection="1"/>
    <xf numFmtId="0" fontId="30" fillId="0" borderId="14" xfId="0" applyFont="1" applyBorder="1" applyAlignment="1" applyProtection="1">
      <alignment horizontal="center" vertical="center" wrapText="1"/>
    </xf>
    <xf numFmtId="49" fontId="32" fillId="14" borderId="3" xfId="84" applyFont="1">
      <alignment horizontal="center" vertical="top" wrapText="1"/>
    </xf>
    <xf numFmtId="0" fontId="31" fillId="14" borderId="3" xfId="93" applyFont="1">
      <alignment horizontal="left" vertical="top" wrapText="1"/>
    </xf>
    <xf numFmtId="164" fontId="31" fillId="0" borderId="3" xfId="14" applyNumberFormat="1" applyFont="1">
      <alignment horizontal="right" vertical="top"/>
    </xf>
    <xf numFmtId="0" fontId="31" fillId="14" borderId="3" xfId="10" applyNumberFormat="1" applyFont="1">
      <alignment horizontal="right" vertical="top" wrapText="1"/>
    </xf>
    <xf numFmtId="0" fontId="0" fillId="29" borderId="15" xfId="0" applyFill="1" applyBorder="1" applyAlignment="1">
      <alignment horizontal="left" vertical="center" wrapText="1"/>
      <protection locked="0"/>
    </xf>
    <xf numFmtId="0" fontId="0" fillId="29" borderId="0" xfId="0" applyFill="1" applyAlignment="1">
      <alignment horizontal="left" vertical="center" wrapText="1"/>
      <protection locked="0"/>
    </xf>
    <xf numFmtId="0" fontId="0" fillId="0" borderId="0" xfId="0" applyAlignment="1">
      <alignment horizontal="left" vertical="center" wrapText="1"/>
      <protection locked="0"/>
    </xf>
    <xf numFmtId="0" fontId="0" fillId="0" borderId="14" xfId="0" applyBorder="1" applyAlignment="1">
      <alignment horizontal="center" vertical="center" wrapText="1"/>
      <protection locked="0"/>
    </xf>
    <xf numFmtId="0" fontId="24" fillId="0" borderId="0" xfId="0" applyFont="1" applyAlignment="1">
      <alignment wrapText="1"/>
      <protection locked="0"/>
    </xf>
    <xf numFmtId="0" fontId="0" fillId="0" borderId="0" xfId="0" applyAlignment="1">
      <alignment wrapText="1"/>
      <protection locked="0"/>
    </xf>
    <xf numFmtId="0" fontId="9" fillId="0" borderId="19" xfId="0" applyFont="1" applyBorder="1" applyAlignment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30" borderId="20" xfId="0" applyFill="1" applyBorder="1" applyAlignment="1">
      <alignment horizontal="center" vertical="center" wrapText="1"/>
      <protection locked="0"/>
    </xf>
    <xf numFmtId="0" fontId="0" fillId="30" borderId="21" xfId="0" applyFill="1" applyBorder="1" applyAlignment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  <protection locked="0"/>
    </xf>
    <xf numFmtId="16" fontId="0" fillId="30" borderId="36" xfId="0" applyNumberFormat="1" applyFill="1" applyBorder="1" applyAlignment="1">
      <alignment horizontal="center" vertical="center" wrapText="1"/>
      <protection locked="0"/>
    </xf>
    <xf numFmtId="0" fontId="0" fillId="30" borderId="17" xfId="0" applyFill="1" applyBorder="1" applyAlignment="1">
      <alignment horizontal="center" vertical="center" wrapText="1"/>
      <protection locked="0"/>
    </xf>
    <xf numFmtId="0" fontId="0" fillId="30" borderId="30" xfId="0" applyFill="1" applyBorder="1" applyAlignment="1">
      <alignment horizontal="center" vertical="center" wrapText="1"/>
      <protection locked="0"/>
    </xf>
    <xf numFmtId="16" fontId="0" fillId="0" borderId="36" xfId="0" applyNumberFormat="1" applyBorder="1" applyAlignment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  <protection locked="0"/>
    </xf>
    <xf numFmtId="0" fontId="9" fillId="0" borderId="39" xfId="0" applyFont="1" applyBorder="1" applyAlignment="1">
      <alignment horizontal="center" vertical="center" wrapText="1"/>
      <protection locked="0"/>
    </xf>
    <xf numFmtId="0" fontId="9" fillId="0" borderId="40" xfId="0" applyFont="1" applyBorder="1" applyAlignment="1">
      <alignment horizontal="center" vertical="center" wrapText="1"/>
      <protection locked="0"/>
    </xf>
    <xf numFmtId="16" fontId="0" fillId="0" borderId="17" xfId="0" applyNumberFormat="1" applyBorder="1" applyAlignment="1">
      <alignment horizontal="center" vertical="center" wrapText="1"/>
      <protection locked="0"/>
    </xf>
    <xf numFmtId="16" fontId="0" fillId="0" borderId="30" xfId="0" applyNumberFormat="1" applyBorder="1" applyAlignment="1">
      <alignment horizontal="center" vertical="center" wrapText="1"/>
      <protection locked="0"/>
    </xf>
    <xf numFmtId="0" fontId="0" fillId="30" borderId="28" xfId="0" applyFill="1" applyBorder="1" applyAlignment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  <protection locked="0"/>
    </xf>
    <xf numFmtId="16" fontId="0" fillId="0" borderId="28" xfId="0" applyNumberFormat="1" applyBorder="1" applyAlignment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  <protection locked="0"/>
    </xf>
    <xf numFmtId="16" fontId="0" fillId="0" borderId="18" xfId="0" applyNumberFormat="1" applyBorder="1" applyAlignment="1">
      <alignment horizontal="center" vertical="center" wrapText="1"/>
      <protection locked="0"/>
    </xf>
    <xf numFmtId="16" fontId="0" fillId="0" borderId="29" xfId="0" applyNumberFormat="1" applyBorder="1" applyAlignment="1">
      <alignment horizontal="center" vertical="center" wrapText="1"/>
      <protection locked="0"/>
    </xf>
    <xf numFmtId="16" fontId="0" fillId="0" borderId="16" xfId="0" applyNumberFormat="1" applyBorder="1" applyAlignment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 wrapText="1"/>
      <protection locked="0"/>
    </xf>
    <xf numFmtId="0" fontId="9" fillId="0" borderId="31" xfId="0" applyFont="1" applyBorder="1" applyAlignment="1">
      <alignment horizontal="center" vertical="center" wrapText="1"/>
      <protection locked="0"/>
    </xf>
    <xf numFmtId="0" fontId="9" fillId="0" borderId="29" xfId="0" applyFont="1" applyBorder="1" applyAlignment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  <protection locked="0"/>
    </xf>
    <xf numFmtId="0" fontId="9" fillId="0" borderId="34" xfId="0" applyFont="1" applyBorder="1" applyAlignment="1">
      <alignment horizontal="center" vertical="center" wrapText="1"/>
      <protection locked="0"/>
    </xf>
    <xf numFmtId="16" fontId="0" fillId="0" borderId="36" xfId="0" applyNumberFormat="1" applyBorder="1" applyAlignment="1" applyProtection="1">
      <alignment horizontal="center" vertical="center" wrapText="1"/>
      <protection locked="0"/>
    </xf>
    <xf numFmtId="16" fontId="0" fillId="0" borderId="17" xfId="0" applyNumberFormat="1" applyBorder="1" applyAlignment="1" applyProtection="1">
      <alignment horizontal="center" vertical="center" wrapText="1"/>
      <protection locked="0"/>
    </xf>
    <xf numFmtId="16" fontId="0" fillId="0" borderId="30" xfId="0" applyNumberForma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9" borderId="15" xfId="0" applyFill="1" applyBorder="1" applyAlignment="1" applyProtection="1">
      <alignment horizontal="left" vertical="center" wrapText="1"/>
      <protection locked="0"/>
    </xf>
    <xf numFmtId="0" fontId="0" fillId="29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29" borderId="15" xfId="0" applyFill="1" applyBorder="1" applyAlignment="1" applyProtection="1">
      <alignment horizontal="left" wrapText="1"/>
      <protection locked="0"/>
    </xf>
    <xf numFmtId="0" fontId="0" fillId="29" borderId="0" xfId="0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30" borderId="47" xfId="0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0" fontId="0" fillId="29" borderId="15" xfId="0" applyFill="1" applyBorder="1" applyAlignment="1">
      <alignment horizontal="left" wrapText="1"/>
      <protection locked="0"/>
    </xf>
    <xf numFmtId="0" fontId="0" fillId="29" borderId="0" xfId="0" applyFill="1" applyAlignment="1">
      <alignment horizontal="left" wrapText="1"/>
      <protection locked="0"/>
    </xf>
    <xf numFmtId="0" fontId="0" fillId="0" borderId="0" xfId="0" applyAlignment="1">
      <alignment horizontal="left" wrapText="1"/>
      <protection locked="0"/>
    </xf>
    <xf numFmtId="0" fontId="9" fillId="0" borderId="4" xfId="0" applyFont="1" applyBorder="1" applyAlignment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  <protection locked="0"/>
    </xf>
    <xf numFmtId="0" fontId="9" fillId="0" borderId="36" xfId="0" applyFont="1" applyBorder="1" applyAlignment="1">
      <alignment horizontal="center" vertical="center" wrapText="1"/>
      <protection locked="0"/>
    </xf>
    <xf numFmtId="0" fontId="9" fillId="0" borderId="38" xfId="0" applyFont="1" applyBorder="1" applyAlignment="1">
      <alignment horizontal="center" vertical="center" wrapText="1"/>
      <protection locked="0"/>
    </xf>
    <xf numFmtId="0" fontId="0" fillId="0" borderId="0" xfId="0" applyAlignment="1">
      <protection locked="0"/>
    </xf>
    <xf numFmtId="0" fontId="9" fillId="0" borderId="17" xfId="0" applyFont="1" applyBorder="1" applyAlignment="1">
      <alignment horizontal="center" vertical="center" wrapText="1"/>
      <protection locked="0"/>
    </xf>
    <xf numFmtId="0" fontId="9" fillId="0" borderId="41" xfId="0" applyFont="1" applyBorder="1" applyAlignment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  <protection locked="0"/>
    </xf>
    <xf numFmtId="0" fontId="0" fillId="0" borderId="21" xfId="0" applyBorder="1" applyAlignment="1">
      <protection locked="0"/>
    </xf>
    <xf numFmtId="0" fontId="0" fillId="0" borderId="22" xfId="0" applyBorder="1" applyAlignment="1">
      <protection locked="0"/>
    </xf>
    <xf numFmtId="0" fontId="0" fillId="30" borderId="20" xfId="0" applyFill="1" applyBorder="1" applyAlignment="1">
      <alignment horizontal="center" vertical="center"/>
      <protection locked="0"/>
    </xf>
    <xf numFmtId="0" fontId="0" fillId="30" borderId="21" xfId="0" applyFill="1" applyBorder="1" applyAlignment="1">
      <alignment horizontal="center" vertical="center"/>
      <protection locked="0"/>
    </xf>
    <xf numFmtId="0" fontId="0" fillId="30" borderId="22" xfId="0" applyFill="1" applyBorder="1" applyAlignment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0" fillId="0" borderId="20" xfId="0" applyFill="1" applyBorder="1" applyAlignment="1">
      <alignment horizontal="center" vertical="center" wrapText="1"/>
      <protection locked="0"/>
    </xf>
    <xf numFmtId="0" fontId="0" fillId="0" borderId="21" xfId="0" applyFill="1" applyBorder="1" applyAlignment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  <protection locked="0"/>
    </xf>
    <xf numFmtId="0" fontId="0" fillId="0" borderId="22" xfId="0" applyBorder="1" applyAlignment="1">
      <alignment horizontal="center" vertical="center"/>
      <protection locked="0"/>
    </xf>
    <xf numFmtId="0" fontId="30" fillId="0" borderId="0" xfId="0" applyFont="1" applyAlignment="1" applyProtection="1">
      <alignment wrapText="1"/>
    </xf>
    <xf numFmtId="0" fontId="31" fillId="0" borderId="0" xfId="0" applyFont="1" applyAlignment="1" applyProtection="1">
      <alignment wrapText="1"/>
    </xf>
    <xf numFmtId="0" fontId="30" fillId="28" borderId="0" xfId="0" applyFont="1" applyFill="1" applyAlignment="1" applyProtection="1">
      <alignment wrapText="1"/>
    </xf>
  </cellXfs>
  <cellStyles count="407">
    <cellStyle name="20% - Акцент1 2" xfId="100"/>
    <cellStyle name="20% - Акцент1 3" xfId="101"/>
    <cellStyle name="20% - Акцент1 4" xfId="102"/>
    <cellStyle name="20% - Акцент2 2" xfId="103"/>
    <cellStyle name="20% - Акцент2 3" xfId="104"/>
    <cellStyle name="20% - Акцент2 4" xfId="105"/>
    <cellStyle name="20% - Акцент3 2" xfId="106"/>
    <cellStyle name="20% - Акцент3 3" xfId="107"/>
    <cellStyle name="20% - Акцент3 4" xfId="108"/>
    <cellStyle name="20% - Акцент4 2" xfId="109"/>
    <cellStyle name="20% - Акцент4 3" xfId="110"/>
    <cellStyle name="20% - Акцент4 4" xfId="111"/>
    <cellStyle name="20% - Акцент5 2" xfId="112"/>
    <cellStyle name="20% - Акцент5 3" xfId="113"/>
    <cellStyle name="20% - Акцент5 4" xfId="114"/>
    <cellStyle name="20% - Акцент6 2" xfId="115"/>
    <cellStyle name="20% - Акцент6 3" xfId="116"/>
    <cellStyle name="20% - Акцент6 4" xfId="117"/>
    <cellStyle name="40% - Акцент1 2" xfId="118"/>
    <cellStyle name="40% - Акцент1 3" xfId="119"/>
    <cellStyle name="40% - Акцент1 4" xfId="120"/>
    <cellStyle name="40% - Акцент2 2" xfId="121"/>
    <cellStyle name="40% - Акцент2 3" xfId="122"/>
    <cellStyle name="40% - Акцент2 4" xfId="123"/>
    <cellStyle name="40% - Акцент3 2" xfId="124"/>
    <cellStyle name="40% - Акцент3 3" xfId="125"/>
    <cellStyle name="40% - Акцент3 4" xfId="126"/>
    <cellStyle name="40% - Акцент4 2" xfId="127"/>
    <cellStyle name="40% - Акцент4 3" xfId="128"/>
    <cellStyle name="40% - Акцент4 4" xfId="129"/>
    <cellStyle name="40% - Акцент5 2" xfId="130"/>
    <cellStyle name="40% - Акцент5 3" xfId="131"/>
    <cellStyle name="40% - Акцент5 4" xfId="132"/>
    <cellStyle name="40% - Акцент6 2" xfId="133"/>
    <cellStyle name="40% - Акцент6 3" xfId="134"/>
    <cellStyle name="40% - Акцент6 4" xfId="135"/>
    <cellStyle name="60% - Акцент1 2" xfId="136"/>
    <cellStyle name="60% - Акцент1 3" xfId="137"/>
    <cellStyle name="60% - Акцент1 4" xfId="138"/>
    <cellStyle name="60% - Акцент2 2" xfId="139"/>
    <cellStyle name="60% - Акцент2 3" xfId="140"/>
    <cellStyle name="60% - Акцент2 4" xfId="141"/>
    <cellStyle name="60% - Акцент3 2" xfId="142"/>
    <cellStyle name="60% - Акцент3 3" xfId="143"/>
    <cellStyle name="60% - Акцент3 4" xfId="144"/>
    <cellStyle name="60% - Акцент4 2" xfId="145"/>
    <cellStyle name="60% - Акцент4 3" xfId="146"/>
    <cellStyle name="60% - Акцент4 4" xfId="147"/>
    <cellStyle name="60% - Акцент5 2" xfId="148"/>
    <cellStyle name="60% - Акцент5 3" xfId="149"/>
    <cellStyle name="60% - Акцент5 4" xfId="150"/>
    <cellStyle name="60% - Акцент6 2" xfId="151"/>
    <cellStyle name="60% - Акцент6 3" xfId="152"/>
    <cellStyle name="60% - Акцент6 4" xfId="153"/>
    <cellStyle name="Акцент1" xfId="1" builtinId="29" customBuiltin="1"/>
    <cellStyle name="Акцент1 2" xfId="154"/>
    <cellStyle name="Акцент1 3" xfId="155"/>
    <cellStyle name="Акцент1 4" xfId="156"/>
    <cellStyle name="Акцент2" xfId="2" builtinId="33" customBuiltin="1"/>
    <cellStyle name="Акцент2 2" xfId="157"/>
    <cellStyle name="Акцент2 3" xfId="158"/>
    <cellStyle name="Акцент2 4" xfId="159"/>
    <cellStyle name="Акцент3" xfId="3" builtinId="37" customBuiltin="1"/>
    <cellStyle name="Акцент3 2" xfId="160"/>
    <cellStyle name="Акцент3 3" xfId="161"/>
    <cellStyle name="Акцент3 4" xfId="162"/>
    <cellStyle name="Акцент4" xfId="4" builtinId="41" customBuiltin="1"/>
    <cellStyle name="Акцент4 2" xfId="163"/>
    <cellStyle name="Акцент4 3" xfId="164"/>
    <cellStyle name="Акцент4 4" xfId="165"/>
    <cellStyle name="Акцент5" xfId="5" builtinId="45" customBuiltin="1"/>
    <cellStyle name="Акцент5 2" xfId="166"/>
    <cellStyle name="Акцент5 3" xfId="167"/>
    <cellStyle name="Акцент5 4" xfId="168"/>
    <cellStyle name="Акцент6" xfId="6" builtinId="49" customBuiltin="1"/>
    <cellStyle name="Акцент6 2" xfId="169"/>
    <cellStyle name="Акцент6 3" xfId="170"/>
    <cellStyle name="Акцент6 4" xfId="171"/>
    <cellStyle name="Ввод " xfId="7" builtinId="20" customBuiltin="1"/>
    <cellStyle name="Ввод  2" xfId="172"/>
    <cellStyle name="Ввод  3" xfId="173"/>
    <cellStyle name="Ввод  4" xfId="174"/>
    <cellStyle name="Вывод" xfId="8" builtinId="21" customBuiltin="1"/>
    <cellStyle name="Вывод 2" xfId="175"/>
    <cellStyle name="Вывод 3" xfId="176"/>
    <cellStyle name="Вывод 4" xfId="177"/>
    <cellStyle name="Вычисление" xfId="9" builtinId="22" customBuiltin="1"/>
    <cellStyle name="Вычисление 2" xfId="178"/>
    <cellStyle name="Вычисление 3" xfId="179"/>
    <cellStyle name="Вычисление 4" xfId="180"/>
    <cellStyle name="Данные (редактируемые)" xfId="10"/>
    <cellStyle name="Данные (редактируемые) 10" xfId="181"/>
    <cellStyle name="Данные (редактируемые) 2" xfId="11"/>
    <cellStyle name="Данные (редактируемые) 3" xfId="12"/>
    <cellStyle name="Данные (редактируемые) 4" xfId="182"/>
    <cellStyle name="Данные (редактируемые) 5" xfId="183"/>
    <cellStyle name="Данные (редактируемые) 6" xfId="184"/>
    <cellStyle name="Данные (редактируемые) 7" xfId="185"/>
    <cellStyle name="Данные (редактируемые) 8" xfId="186"/>
    <cellStyle name="Данные (редактируемые) 9" xfId="187"/>
    <cellStyle name="Данные (редактируемые)_1. Качество бюдж.план-я" xfId="13"/>
    <cellStyle name="Данные (только для чтения)" xfId="14"/>
    <cellStyle name="Данные (только для чтения) 10" xfId="188"/>
    <cellStyle name="Данные (только для чтения) 2" xfId="15"/>
    <cellStyle name="Данные (только для чтения) 3" xfId="189"/>
    <cellStyle name="Данные (только для чтения) 4" xfId="190"/>
    <cellStyle name="Данные (только для чтения) 5" xfId="191"/>
    <cellStyle name="Данные (только для чтения) 6" xfId="192"/>
    <cellStyle name="Данные (только для чтения) 7" xfId="193"/>
    <cellStyle name="Данные (только для чтения) 8" xfId="194"/>
    <cellStyle name="Данные (только для чтения) 9" xfId="195"/>
    <cellStyle name="Данные (только для чтения)_1. Качество бюдж.план-я" xfId="16"/>
    <cellStyle name="Данные для удаления" xfId="17"/>
    <cellStyle name="Данные для удаления 2" xfId="18"/>
    <cellStyle name="Данные для удаления 3" xfId="196"/>
    <cellStyle name="Данные для удаления 4" xfId="197"/>
    <cellStyle name="Данные для удаления 5" xfId="198"/>
    <cellStyle name="Данные для удаления 6" xfId="199"/>
    <cellStyle name="Данные для удаления 7" xfId="200"/>
    <cellStyle name="Данные для удаления 8" xfId="201"/>
    <cellStyle name="Данные для удаления_1. Качество бюдж.план-я" xfId="19"/>
    <cellStyle name="Заголовки полей" xfId="20"/>
    <cellStyle name="Заголовки полей [печать]" xfId="21"/>
    <cellStyle name="Заголовки полей [печать] 2" xfId="22"/>
    <cellStyle name="Заголовки полей [печать] 3" xfId="202"/>
    <cellStyle name="Заголовки полей [печать] 4" xfId="203"/>
    <cellStyle name="Заголовки полей [печать] 5" xfId="204"/>
    <cellStyle name="Заголовки полей [печать] 6" xfId="205"/>
    <cellStyle name="Заголовки полей [печать] 7" xfId="206"/>
    <cellStyle name="Заголовки полей [печать] 8" xfId="207"/>
    <cellStyle name="Заголовки полей [печать]_1. Качество бюдж.план-я" xfId="23"/>
    <cellStyle name="Заголовки полей 2" xfId="24"/>
    <cellStyle name="Заголовки полей 3" xfId="208"/>
    <cellStyle name="Заголовки полей 4" xfId="209"/>
    <cellStyle name="Заголовки полей 5" xfId="210"/>
    <cellStyle name="Заголовки полей 6" xfId="211"/>
    <cellStyle name="Заголовки полей 7" xfId="212"/>
    <cellStyle name="Заголовки полей 8" xfId="213"/>
    <cellStyle name="Заголовки полей_1. Качество бюдж.план-я" xfId="25"/>
    <cellStyle name="Заголовок 1" xfId="26" builtinId="16" customBuiltin="1"/>
    <cellStyle name="Заголовок 1 2" xfId="214"/>
    <cellStyle name="Заголовок 1 3" xfId="215"/>
    <cellStyle name="Заголовок 1 4" xfId="216"/>
    <cellStyle name="Заголовок 2" xfId="27" builtinId="17" customBuiltin="1"/>
    <cellStyle name="Заголовок 2 2" xfId="217"/>
    <cellStyle name="Заголовок 2 3" xfId="218"/>
    <cellStyle name="Заголовок 2 4" xfId="219"/>
    <cellStyle name="Заголовок 3" xfId="28" builtinId="18" customBuiltin="1"/>
    <cellStyle name="Заголовок 3 2" xfId="220"/>
    <cellStyle name="Заголовок 3 3" xfId="221"/>
    <cellStyle name="Заголовок 3 4" xfId="222"/>
    <cellStyle name="Заголовок 4" xfId="29" builtinId="19" customBuiltin="1"/>
    <cellStyle name="Заголовок 4 2" xfId="223"/>
    <cellStyle name="Заголовок 4 3" xfId="224"/>
    <cellStyle name="Заголовок 4 4" xfId="225"/>
    <cellStyle name="Заголовок меры" xfId="30"/>
    <cellStyle name="Заголовок меры 2" xfId="31"/>
    <cellStyle name="Заголовок меры 3" xfId="226"/>
    <cellStyle name="Заголовок меры 4" xfId="227"/>
    <cellStyle name="Заголовок меры 5" xfId="228"/>
    <cellStyle name="Заголовок меры 6" xfId="229"/>
    <cellStyle name="Заголовок меры 7" xfId="230"/>
    <cellStyle name="Заголовок меры 8" xfId="231"/>
    <cellStyle name="Заголовок меры_1. Качество бюдж.план-я" xfId="32"/>
    <cellStyle name="Заголовок показателя [печать]" xfId="33"/>
    <cellStyle name="Заголовок показателя [печать] 2" xfId="34"/>
    <cellStyle name="Заголовок показателя [печать] 3" xfId="232"/>
    <cellStyle name="Заголовок показателя [печать] 4" xfId="233"/>
    <cellStyle name="Заголовок показателя [печать] 5" xfId="234"/>
    <cellStyle name="Заголовок показателя [печать] 6" xfId="235"/>
    <cellStyle name="Заголовок показателя [печать] 7" xfId="236"/>
    <cellStyle name="Заголовок показателя [печать] 8" xfId="237"/>
    <cellStyle name="Заголовок показателя [печать]_1. Качество бюдж.план-я" xfId="35"/>
    <cellStyle name="Заголовок показателя константы" xfId="36"/>
    <cellStyle name="Заголовок показателя константы 2" xfId="37"/>
    <cellStyle name="Заголовок показателя константы 3" xfId="238"/>
    <cellStyle name="Заголовок показателя константы 4" xfId="239"/>
    <cellStyle name="Заголовок показателя константы 5" xfId="240"/>
    <cellStyle name="Заголовок показателя константы 6" xfId="241"/>
    <cellStyle name="Заголовок показателя константы 7" xfId="242"/>
    <cellStyle name="Заголовок показателя константы 8" xfId="243"/>
    <cellStyle name="Заголовок показателя константы_1. Качество бюдж.план-я" xfId="38"/>
    <cellStyle name="Заголовок результата расчета" xfId="39"/>
    <cellStyle name="Заголовок результата расчета 2" xfId="40"/>
    <cellStyle name="Заголовок результата расчета 3" xfId="244"/>
    <cellStyle name="Заголовок результата расчета 4" xfId="245"/>
    <cellStyle name="Заголовок результата расчета 5" xfId="246"/>
    <cellStyle name="Заголовок результата расчета 6" xfId="247"/>
    <cellStyle name="Заголовок результата расчета 7" xfId="248"/>
    <cellStyle name="Заголовок результата расчета 8" xfId="249"/>
    <cellStyle name="Заголовок результата расчета_1. Качество бюдж.план-я" xfId="41"/>
    <cellStyle name="Заголовок свободного показателя" xfId="42"/>
    <cellStyle name="Заголовок свободного показателя 2" xfId="43"/>
    <cellStyle name="Заголовок свободного показателя 3" xfId="44"/>
    <cellStyle name="Заголовок свободного показателя 4" xfId="250"/>
    <cellStyle name="Заголовок свободного показателя 5" xfId="251"/>
    <cellStyle name="Заголовок свободного показателя 6" xfId="252"/>
    <cellStyle name="Заголовок свободного показателя 7" xfId="253"/>
    <cellStyle name="Заголовок свободного показателя 8" xfId="254"/>
    <cellStyle name="Заголовок свободного показателя_1. Качество бюдж.план-я" xfId="45"/>
    <cellStyle name="Значение фильтра" xfId="46"/>
    <cellStyle name="Значение фильтра [печать]" xfId="47"/>
    <cellStyle name="Значение фильтра [печать] 2" xfId="48"/>
    <cellStyle name="Значение фильтра [печать] 3" xfId="255"/>
    <cellStyle name="Значение фильтра [печать] 4" xfId="256"/>
    <cellStyle name="Значение фильтра [печать] 5" xfId="257"/>
    <cellStyle name="Значение фильтра [печать] 6" xfId="258"/>
    <cellStyle name="Значение фильтра [печать] 7" xfId="259"/>
    <cellStyle name="Значение фильтра [печать] 8" xfId="260"/>
    <cellStyle name="Значение фильтра [печать]_1. Качество бюдж.план-я" xfId="49"/>
    <cellStyle name="Значение фильтра 2" xfId="50"/>
    <cellStyle name="Значение фильтра 3" xfId="261"/>
    <cellStyle name="Значение фильтра 4" xfId="262"/>
    <cellStyle name="Значение фильтра 5" xfId="263"/>
    <cellStyle name="Значение фильтра 6" xfId="264"/>
    <cellStyle name="Значение фильтра 7" xfId="265"/>
    <cellStyle name="Значение фильтра 8" xfId="266"/>
    <cellStyle name="Значение фильтра_1. Качество бюдж.план-я" xfId="51"/>
    <cellStyle name="Информация о задаче" xfId="52"/>
    <cellStyle name="Информация о задаче 2" xfId="53"/>
    <cellStyle name="Информация о задаче 3" xfId="267"/>
    <cellStyle name="Информация о задаче 4" xfId="268"/>
    <cellStyle name="Информация о задаче 5" xfId="269"/>
    <cellStyle name="Информация о задаче 6" xfId="270"/>
    <cellStyle name="Информация о задаче 7" xfId="271"/>
    <cellStyle name="Информация о задаче 8" xfId="272"/>
    <cellStyle name="Информация о задаче_1. Качество бюдж.план-я" xfId="54"/>
    <cellStyle name="Итог" xfId="55" builtinId="25" customBuiltin="1"/>
    <cellStyle name="Итог 2" xfId="273"/>
    <cellStyle name="Итог 3" xfId="274"/>
    <cellStyle name="Итог 4" xfId="275"/>
    <cellStyle name="Контрольная ячейка" xfId="56" builtinId="23" customBuiltin="1"/>
    <cellStyle name="Контрольная ячейка 2" xfId="276"/>
    <cellStyle name="Контрольная ячейка 3" xfId="277"/>
    <cellStyle name="Контрольная ячейка 4" xfId="278"/>
    <cellStyle name="Название" xfId="57" builtinId="15" customBuiltin="1"/>
    <cellStyle name="Название 2" xfId="279"/>
    <cellStyle name="Название 3" xfId="280"/>
    <cellStyle name="Название 4" xfId="281"/>
    <cellStyle name="Нейтральный" xfId="58" builtinId="28" customBuiltin="1"/>
    <cellStyle name="Нейтральный 2" xfId="282"/>
    <cellStyle name="Нейтральный 3" xfId="283"/>
    <cellStyle name="Нейтральный 4" xfId="284"/>
    <cellStyle name="Обычный" xfId="0" builtinId="0"/>
    <cellStyle name="Обычный 10" xfId="285"/>
    <cellStyle name="Обычный 11" xfId="406"/>
    <cellStyle name="Обычный 16" xfId="286"/>
    <cellStyle name="Обычный 2" xfId="59"/>
    <cellStyle name="Обычный 2 10" xfId="287"/>
    <cellStyle name="Обычный 2 11" xfId="288"/>
    <cellStyle name="Обычный 2 12" xfId="289"/>
    <cellStyle name="Обычный 2 13" xfId="290"/>
    <cellStyle name="Обычный 2 14" xfId="291"/>
    <cellStyle name="Обычный 2 15" xfId="292"/>
    <cellStyle name="Обычный 2 16" xfId="293"/>
    <cellStyle name="Обычный 2 17" xfId="294"/>
    <cellStyle name="Обычный 2 18" xfId="295"/>
    <cellStyle name="Обычный 2 19" xfId="296"/>
    <cellStyle name="Обычный 2 2" xfId="60"/>
    <cellStyle name="Обычный 2 20" xfId="297"/>
    <cellStyle name="Обычный 2 21" xfId="298"/>
    <cellStyle name="Обычный 2 28" xfId="61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3" xfId="62"/>
    <cellStyle name="Обычный 3 2" xfId="306"/>
    <cellStyle name="Обычный 3 3" xfId="307"/>
    <cellStyle name="Обычный 3 4" xfId="308"/>
    <cellStyle name="Обычный 3 5" xfId="309"/>
    <cellStyle name="Обычный 3 6" xfId="310"/>
    <cellStyle name="Обычный 3 7" xfId="311"/>
    <cellStyle name="Обычный 3 8" xfId="312"/>
    <cellStyle name="Обычный 4" xfId="99"/>
    <cellStyle name="Обычный 4 2" xfId="313"/>
    <cellStyle name="Обычный 4 3" xfId="314"/>
    <cellStyle name="Обычный 4 4" xfId="315"/>
    <cellStyle name="Обычный 4 5" xfId="316"/>
    <cellStyle name="Обычный 5" xfId="317"/>
    <cellStyle name="Обычный 5 2" xfId="318"/>
    <cellStyle name="Обычный 5 3" xfId="319"/>
    <cellStyle name="Обычный 5 4" xfId="320"/>
    <cellStyle name="Обычный 5 5" xfId="321"/>
    <cellStyle name="Обычный 6" xfId="322"/>
    <cellStyle name="Обычный 7" xfId="323"/>
    <cellStyle name="Обычный 8" xfId="324"/>
    <cellStyle name="Обычный 9" xfId="325"/>
    <cellStyle name="Отдельная ячейка" xfId="63"/>
    <cellStyle name="Отдельная ячейка - константа" xfId="64"/>
    <cellStyle name="Отдельная ячейка - константа [печать]" xfId="65"/>
    <cellStyle name="Отдельная ячейка - константа [печать] 2" xfId="66"/>
    <cellStyle name="Отдельная ячейка - константа [печать] 3" xfId="326"/>
    <cellStyle name="Отдельная ячейка - константа [печать] 4" xfId="327"/>
    <cellStyle name="Отдельная ячейка - константа [печать] 5" xfId="328"/>
    <cellStyle name="Отдельная ячейка - константа [печать] 6" xfId="329"/>
    <cellStyle name="Отдельная ячейка - константа [печать] 7" xfId="330"/>
    <cellStyle name="Отдельная ячейка - константа [печать] 8" xfId="331"/>
    <cellStyle name="Отдельная ячейка - константа [печать]_1. Качество бюдж.план-я" xfId="67"/>
    <cellStyle name="Отдельная ячейка - константа 2" xfId="68"/>
    <cellStyle name="Отдельная ячейка - константа 3" xfId="332"/>
    <cellStyle name="Отдельная ячейка - константа 4" xfId="333"/>
    <cellStyle name="Отдельная ячейка - константа 5" xfId="334"/>
    <cellStyle name="Отдельная ячейка - константа 6" xfId="335"/>
    <cellStyle name="Отдельная ячейка - константа 7" xfId="336"/>
    <cellStyle name="Отдельная ячейка - константа 8" xfId="337"/>
    <cellStyle name="Отдельная ячейка - константа_1. Качество бюдж.план-я" xfId="69"/>
    <cellStyle name="Отдельная ячейка [печать]" xfId="70"/>
    <cellStyle name="Отдельная ячейка [печать] 2" xfId="71"/>
    <cellStyle name="Отдельная ячейка [печать] 3" xfId="338"/>
    <cellStyle name="Отдельная ячейка [печать] 4" xfId="339"/>
    <cellStyle name="Отдельная ячейка [печать] 5" xfId="340"/>
    <cellStyle name="Отдельная ячейка [печать] 6" xfId="341"/>
    <cellStyle name="Отдельная ячейка [печать] 7" xfId="342"/>
    <cellStyle name="Отдельная ячейка [печать] 8" xfId="343"/>
    <cellStyle name="Отдельная ячейка [печать]_1. Качество бюдж.план-я" xfId="72"/>
    <cellStyle name="Отдельная ячейка 2" xfId="73"/>
    <cellStyle name="Отдельная ячейка 3" xfId="344"/>
    <cellStyle name="Отдельная ячейка 4" xfId="345"/>
    <cellStyle name="Отдельная ячейка 5" xfId="346"/>
    <cellStyle name="Отдельная ячейка 6" xfId="347"/>
    <cellStyle name="Отдельная ячейка 7" xfId="348"/>
    <cellStyle name="Отдельная ячейка 8" xfId="349"/>
    <cellStyle name="Отдельная ячейка_1. Качество бюдж.план-я" xfId="74"/>
    <cellStyle name="Отдельная ячейка-результат" xfId="75"/>
    <cellStyle name="Отдельная ячейка-результат [печать]" xfId="76"/>
    <cellStyle name="Отдельная ячейка-результат [печать] 2" xfId="77"/>
    <cellStyle name="Отдельная ячейка-результат [печать] 3" xfId="350"/>
    <cellStyle name="Отдельная ячейка-результат [печать] 4" xfId="351"/>
    <cellStyle name="Отдельная ячейка-результат [печать] 5" xfId="352"/>
    <cellStyle name="Отдельная ячейка-результат [печать] 6" xfId="353"/>
    <cellStyle name="Отдельная ячейка-результат [печать] 7" xfId="354"/>
    <cellStyle name="Отдельная ячейка-результат [печать] 8" xfId="355"/>
    <cellStyle name="Отдельная ячейка-результат [печать]_1. Качество бюдж.план-я" xfId="78"/>
    <cellStyle name="Отдельная ячейка-результат 2" xfId="79"/>
    <cellStyle name="Отдельная ячейка-результат 3" xfId="356"/>
    <cellStyle name="Отдельная ячейка-результат 4" xfId="357"/>
    <cellStyle name="Отдельная ячейка-результат 5" xfId="358"/>
    <cellStyle name="Отдельная ячейка-результат 6" xfId="359"/>
    <cellStyle name="Отдельная ячейка-результат 7" xfId="360"/>
    <cellStyle name="Отдельная ячейка-результат 8" xfId="361"/>
    <cellStyle name="Отдельная ячейка-результат_1. Качество бюдж.план-я" xfId="80"/>
    <cellStyle name="Плохой" xfId="81" builtinId="27" customBuiltin="1"/>
    <cellStyle name="Плохой 2" xfId="362"/>
    <cellStyle name="Плохой 3" xfId="363"/>
    <cellStyle name="Плохой 4" xfId="364"/>
    <cellStyle name="Пояснение" xfId="82" builtinId="53" customBuiltin="1"/>
    <cellStyle name="Пояснение 2" xfId="365"/>
    <cellStyle name="Пояснение 3" xfId="366"/>
    <cellStyle name="Пояснение 4" xfId="367"/>
    <cellStyle name="Примечание" xfId="83" builtinId="10" customBuiltin="1"/>
    <cellStyle name="Примечание 2" xfId="368"/>
    <cellStyle name="Примечание 3" xfId="369"/>
    <cellStyle name="Примечание 4" xfId="370"/>
    <cellStyle name="Свойства элементов измерения" xfId="84"/>
    <cellStyle name="Свойства элементов измерения [печать]" xfId="85"/>
    <cellStyle name="Свойства элементов измерения [печать] 2" xfId="86"/>
    <cellStyle name="Свойства элементов измерения [печать] 3" xfId="371"/>
    <cellStyle name="Свойства элементов измерения [печать] 4" xfId="372"/>
    <cellStyle name="Свойства элементов измерения [печать] 5" xfId="373"/>
    <cellStyle name="Свойства элементов измерения [печать] 6" xfId="374"/>
    <cellStyle name="Свойства элементов измерения [печать] 7" xfId="375"/>
    <cellStyle name="Свойства элементов измерения [печать] 8" xfId="376"/>
    <cellStyle name="Свойства элементов измерения [печать]_1. Качество бюдж.план-я" xfId="87"/>
    <cellStyle name="Свойства элементов измерения 2" xfId="88"/>
    <cellStyle name="Свойства элементов измерения 3" xfId="377"/>
    <cellStyle name="Свойства элементов измерения 4" xfId="378"/>
    <cellStyle name="Свойства элементов измерения 5" xfId="379"/>
    <cellStyle name="Свойства элементов измерения 6" xfId="380"/>
    <cellStyle name="Свойства элементов измерения 7" xfId="381"/>
    <cellStyle name="Свойства элементов измерения 8" xfId="382"/>
    <cellStyle name="Свойства элементов измерения_1. Качество бюдж.план-я" xfId="89"/>
    <cellStyle name="Связанная ячейка" xfId="90" builtinId="24" customBuiltin="1"/>
    <cellStyle name="Связанная ячейка 2" xfId="383"/>
    <cellStyle name="Связанная ячейка 3" xfId="384"/>
    <cellStyle name="Связанная ячейка 4" xfId="385"/>
    <cellStyle name="Текст предупреждения" xfId="91" builtinId="11" customBuiltin="1"/>
    <cellStyle name="Текст предупреждения 2" xfId="386"/>
    <cellStyle name="Текст предупреждения 3" xfId="387"/>
    <cellStyle name="Текст предупреждения 4" xfId="388"/>
    <cellStyle name="Хороший" xfId="92" builtinId="26" customBuiltin="1"/>
    <cellStyle name="Хороший 2" xfId="389"/>
    <cellStyle name="Хороший 3" xfId="390"/>
    <cellStyle name="Хороший 4" xfId="391"/>
    <cellStyle name="Элементы осей" xfId="93"/>
    <cellStyle name="Элементы осей [печать]" xfId="94"/>
    <cellStyle name="Элементы осей [печать] 2" xfId="95"/>
    <cellStyle name="Элементы осей [печать] 3" xfId="392"/>
    <cellStyle name="Элементы осей [печать] 4" xfId="393"/>
    <cellStyle name="Элементы осей [печать] 5" xfId="394"/>
    <cellStyle name="Элементы осей [печать] 6" xfId="395"/>
    <cellStyle name="Элементы осей [печать] 7" xfId="396"/>
    <cellStyle name="Элементы осей [печать] 8" xfId="397"/>
    <cellStyle name="Элементы осей [печать]_1. Качество бюдж.план-я" xfId="96"/>
    <cellStyle name="Элементы осей 10" xfId="398"/>
    <cellStyle name="Элементы осей 2" xfId="97"/>
    <cellStyle name="Элементы осей 3" xfId="399"/>
    <cellStyle name="Элементы осей 4" xfId="400"/>
    <cellStyle name="Элементы осей 5" xfId="401"/>
    <cellStyle name="Элементы осей 6" xfId="402"/>
    <cellStyle name="Элементы осей 7" xfId="403"/>
    <cellStyle name="Элементы осей 8" xfId="404"/>
    <cellStyle name="Элементы осей 9" xfId="405"/>
    <cellStyle name="Элементы осей_1. Качество бюдж.план-я" xfId="98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Krista/FM/Krista.FM.Client/Workplace/TasksDocuments/103_146_&#1048;&#1058;&#1054;&#1043;&#1054;&#1042;&#1040;&#1071;%20&#1054;&#1062;&#1045;&#1053;&#1050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Среднесрочное финансовое пла"/>
      <sheetName val="2. Исп местн бюдж в части доход"/>
      <sheetName val="3. Исп мест бюджета в ч расх"/>
      <sheetName val="4. Учет и отчетность_нов"/>
      <sheetName val="4. Учет и отчетность"/>
      <sheetName val="5. Контроль и аудит"/>
      <sheetName val="6. Кадровый потенциал сотруд"/>
      <sheetName val="Итог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A8">
            <v>21</v>
          </cell>
        </row>
        <row r="10">
          <cell r="A10">
            <v>20</v>
          </cell>
        </row>
        <row r="11">
          <cell r="A11">
            <v>15</v>
          </cell>
        </row>
        <row r="12">
          <cell r="A12">
            <v>14</v>
          </cell>
        </row>
        <row r="13">
          <cell r="A13">
            <v>10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vmlDrawing" Target="../drawings/vmlDrawing1.v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6.bin"/><Relationship Id="rId13" Type="http://schemas.openxmlformats.org/officeDocument/2006/relationships/customProperty" Target="../customProperty31.bin"/><Relationship Id="rId3" Type="http://schemas.openxmlformats.org/officeDocument/2006/relationships/customProperty" Target="../customProperty21.bin"/><Relationship Id="rId7" Type="http://schemas.openxmlformats.org/officeDocument/2006/relationships/customProperty" Target="../customProperty25.bin"/><Relationship Id="rId12" Type="http://schemas.openxmlformats.org/officeDocument/2006/relationships/customProperty" Target="../customProperty30.bin"/><Relationship Id="rId17" Type="http://schemas.openxmlformats.org/officeDocument/2006/relationships/comments" Target="../comments2.xml"/><Relationship Id="rId2" Type="http://schemas.openxmlformats.org/officeDocument/2006/relationships/customProperty" Target="../customProperty20.bin"/><Relationship Id="rId16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4.bin"/><Relationship Id="rId11" Type="http://schemas.openxmlformats.org/officeDocument/2006/relationships/customProperty" Target="../customProperty29.bin"/><Relationship Id="rId5" Type="http://schemas.openxmlformats.org/officeDocument/2006/relationships/customProperty" Target="../customProperty23.bin"/><Relationship Id="rId15" Type="http://schemas.openxmlformats.org/officeDocument/2006/relationships/customProperty" Target="../customProperty33.bin"/><Relationship Id="rId10" Type="http://schemas.openxmlformats.org/officeDocument/2006/relationships/customProperty" Target="../customProperty28.bin"/><Relationship Id="rId4" Type="http://schemas.openxmlformats.org/officeDocument/2006/relationships/customProperty" Target="../customProperty22.bin"/><Relationship Id="rId9" Type="http://schemas.openxmlformats.org/officeDocument/2006/relationships/customProperty" Target="../customProperty27.bin"/><Relationship Id="rId14" Type="http://schemas.openxmlformats.org/officeDocument/2006/relationships/customProperty" Target="../customProperty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0.bin"/><Relationship Id="rId13" Type="http://schemas.openxmlformats.org/officeDocument/2006/relationships/customProperty" Target="../customProperty45.bin"/><Relationship Id="rId18" Type="http://schemas.openxmlformats.org/officeDocument/2006/relationships/vmlDrawing" Target="../drawings/vmlDrawing3.vml"/><Relationship Id="rId3" Type="http://schemas.openxmlformats.org/officeDocument/2006/relationships/customProperty" Target="../customProperty35.bin"/><Relationship Id="rId7" Type="http://schemas.openxmlformats.org/officeDocument/2006/relationships/customProperty" Target="../customProperty39.bin"/><Relationship Id="rId12" Type="http://schemas.openxmlformats.org/officeDocument/2006/relationships/customProperty" Target="../customProperty44.bin"/><Relationship Id="rId17" Type="http://schemas.openxmlformats.org/officeDocument/2006/relationships/customProperty" Target="../customProperty49.bin"/><Relationship Id="rId2" Type="http://schemas.openxmlformats.org/officeDocument/2006/relationships/customProperty" Target="../customProperty34.bin"/><Relationship Id="rId16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8.bin"/><Relationship Id="rId11" Type="http://schemas.openxmlformats.org/officeDocument/2006/relationships/customProperty" Target="../customProperty43.bin"/><Relationship Id="rId5" Type="http://schemas.openxmlformats.org/officeDocument/2006/relationships/customProperty" Target="../customProperty37.bin"/><Relationship Id="rId15" Type="http://schemas.openxmlformats.org/officeDocument/2006/relationships/customProperty" Target="../customProperty47.bin"/><Relationship Id="rId10" Type="http://schemas.openxmlformats.org/officeDocument/2006/relationships/customProperty" Target="../customProperty42.bin"/><Relationship Id="rId19" Type="http://schemas.openxmlformats.org/officeDocument/2006/relationships/comments" Target="../comments3.xml"/><Relationship Id="rId4" Type="http://schemas.openxmlformats.org/officeDocument/2006/relationships/customProperty" Target="../customProperty36.bin"/><Relationship Id="rId9" Type="http://schemas.openxmlformats.org/officeDocument/2006/relationships/customProperty" Target="../customProperty41.bin"/><Relationship Id="rId14" Type="http://schemas.openxmlformats.org/officeDocument/2006/relationships/customProperty" Target="../customProperty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6.bin"/><Relationship Id="rId13" Type="http://schemas.openxmlformats.org/officeDocument/2006/relationships/customProperty" Target="../customProperty61.bin"/><Relationship Id="rId18" Type="http://schemas.openxmlformats.org/officeDocument/2006/relationships/customProperty" Target="../customProperty66.bin"/><Relationship Id="rId3" Type="http://schemas.openxmlformats.org/officeDocument/2006/relationships/customProperty" Target="../customProperty51.bin"/><Relationship Id="rId7" Type="http://schemas.openxmlformats.org/officeDocument/2006/relationships/customProperty" Target="../customProperty55.bin"/><Relationship Id="rId12" Type="http://schemas.openxmlformats.org/officeDocument/2006/relationships/customProperty" Target="../customProperty60.bin"/><Relationship Id="rId17" Type="http://schemas.openxmlformats.org/officeDocument/2006/relationships/customProperty" Target="../customProperty65.bin"/><Relationship Id="rId2" Type="http://schemas.openxmlformats.org/officeDocument/2006/relationships/customProperty" Target="../customProperty50.bin"/><Relationship Id="rId16" Type="http://schemas.openxmlformats.org/officeDocument/2006/relationships/customProperty" Target="../customProperty64.bin"/><Relationship Id="rId20" Type="http://schemas.openxmlformats.org/officeDocument/2006/relationships/comments" Target="../comments4.xml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54.bin"/><Relationship Id="rId11" Type="http://schemas.openxmlformats.org/officeDocument/2006/relationships/customProperty" Target="../customProperty59.bin"/><Relationship Id="rId5" Type="http://schemas.openxmlformats.org/officeDocument/2006/relationships/customProperty" Target="../customProperty53.bin"/><Relationship Id="rId15" Type="http://schemas.openxmlformats.org/officeDocument/2006/relationships/customProperty" Target="../customProperty63.bin"/><Relationship Id="rId10" Type="http://schemas.openxmlformats.org/officeDocument/2006/relationships/customProperty" Target="../customProperty58.bin"/><Relationship Id="rId19" Type="http://schemas.openxmlformats.org/officeDocument/2006/relationships/vmlDrawing" Target="../drawings/vmlDrawing4.vml"/><Relationship Id="rId4" Type="http://schemas.openxmlformats.org/officeDocument/2006/relationships/customProperty" Target="../customProperty52.bin"/><Relationship Id="rId9" Type="http://schemas.openxmlformats.org/officeDocument/2006/relationships/customProperty" Target="../customProperty57.bin"/><Relationship Id="rId14" Type="http://schemas.openxmlformats.org/officeDocument/2006/relationships/customProperty" Target="../customProperty6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3.bin"/><Relationship Id="rId13" Type="http://schemas.openxmlformats.org/officeDocument/2006/relationships/customProperty" Target="../customProperty78.bin"/><Relationship Id="rId18" Type="http://schemas.openxmlformats.org/officeDocument/2006/relationships/customProperty" Target="../customProperty83.bin"/><Relationship Id="rId3" Type="http://schemas.openxmlformats.org/officeDocument/2006/relationships/customProperty" Target="../customProperty68.bin"/><Relationship Id="rId7" Type="http://schemas.openxmlformats.org/officeDocument/2006/relationships/customProperty" Target="../customProperty72.bin"/><Relationship Id="rId12" Type="http://schemas.openxmlformats.org/officeDocument/2006/relationships/customProperty" Target="../customProperty77.bin"/><Relationship Id="rId17" Type="http://schemas.openxmlformats.org/officeDocument/2006/relationships/customProperty" Target="../customProperty82.bin"/><Relationship Id="rId2" Type="http://schemas.openxmlformats.org/officeDocument/2006/relationships/customProperty" Target="../customProperty67.bin"/><Relationship Id="rId16" Type="http://schemas.openxmlformats.org/officeDocument/2006/relationships/customProperty" Target="../customProperty81.bin"/><Relationship Id="rId20" Type="http://schemas.openxmlformats.org/officeDocument/2006/relationships/comments" Target="../comments5.xml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71.bin"/><Relationship Id="rId11" Type="http://schemas.openxmlformats.org/officeDocument/2006/relationships/customProperty" Target="../customProperty76.bin"/><Relationship Id="rId5" Type="http://schemas.openxmlformats.org/officeDocument/2006/relationships/customProperty" Target="../customProperty70.bin"/><Relationship Id="rId15" Type="http://schemas.openxmlformats.org/officeDocument/2006/relationships/customProperty" Target="../customProperty80.bin"/><Relationship Id="rId10" Type="http://schemas.openxmlformats.org/officeDocument/2006/relationships/customProperty" Target="../customProperty75.bin"/><Relationship Id="rId19" Type="http://schemas.openxmlformats.org/officeDocument/2006/relationships/vmlDrawing" Target="../drawings/vmlDrawing5.vml"/><Relationship Id="rId4" Type="http://schemas.openxmlformats.org/officeDocument/2006/relationships/customProperty" Target="../customProperty69.bin"/><Relationship Id="rId9" Type="http://schemas.openxmlformats.org/officeDocument/2006/relationships/customProperty" Target="../customProperty74.bin"/><Relationship Id="rId14" Type="http://schemas.openxmlformats.org/officeDocument/2006/relationships/customProperty" Target="../customProperty7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90.bin"/><Relationship Id="rId13" Type="http://schemas.openxmlformats.org/officeDocument/2006/relationships/customProperty" Target="../customProperty95.bin"/><Relationship Id="rId18" Type="http://schemas.openxmlformats.org/officeDocument/2006/relationships/comments" Target="../comments6.xml"/><Relationship Id="rId3" Type="http://schemas.openxmlformats.org/officeDocument/2006/relationships/customProperty" Target="../customProperty85.bin"/><Relationship Id="rId7" Type="http://schemas.openxmlformats.org/officeDocument/2006/relationships/customProperty" Target="../customProperty89.bin"/><Relationship Id="rId12" Type="http://schemas.openxmlformats.org/officeDocument/2006/relationships/customProperty" Target="../customProperty94.bin"/><Relationship Id="rId17" Type="http://schemas.openxmlformats.org/officeDocument/2006/relationships/vmlDrawing" Target="../drawings/vmlDrawing6.vml"/><Relationship Id="rId2" Type="http://schemas.openxmlformats.org/officeDocument/2006/relationships/customProperty" Target="../customProperty84.bin"/><Relationship Id="rId16" Type="http://schemas.openxmlformats.org/officeDocument/2006/relationships/customProperty" Target="../customProperty98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88.bin"/><Relationship Id="rId11" Type="http://schemas.openxmlformats.org/officeDocument/2006/relationships/customProperty" Target="../customProperty93.bin"/><Relationship Id="rId5" Type="http://schemas.openxmlformats.org/officeDocument/2006/relationships/customProperty" Target="../customProperty87.bin"/><Relationship Id="rId15" Type="http://schemas.openxmlformats.org/officeDocument/2006/relationships/customProperty" Target="../customProperty97.bin"/><Relationship Id="rId10" Type="http://schemas.openxmlformats.org/officeDocument/2006/relationships/customProperty" Target="../customProperty92.bin"/><Relationship Id="rId4" Type="http://schemas.openxmlformats.org/officeDocument/2006/relationships/customProperty" Target="../customProperty86.bin"/><Relationship Id="rId9" Type="http://schemas.openxmlformats.org/officeDocument/2006/relationships/customProperty" Target="../customProperty91.bin"/><Relationship Id="rId14" Type="http://schemas.openxmlformats.org/officeDocument/2006/relationships/customProperty" Target="../customProperty9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05.bin"/><Relationship Id="rId13" Type="http://schemas.openxmlformats.org/officeDocument/2006/relationships/customProperty" Target="../customProperty110.bin"/><Relationship Id="rId18" Type="http://schemas.openxmlformats.org/officeDocument/2006/relationships/customProperty" Target="../customProperty115.bin"/><Relationship Id="rId3" Type="http://schemas.openxmlformats.org/officeDocument/2006/relationships/customProperty" Target="../customProperty100.bin"/><Relationship Id="rId7" Type="http://schemas.openxmlformats.org/officeDocument/2006/relationships/customProperty" Target="../customProperty104.bin"/><Relationship Id="rId12" Type="http://schemas.openxmlformats.org/officeDocument/2006/relationships/customProperty" Target="../customProperty109.bin"/><Relationship Id="rId17" Type="http://schemas.openxmlformats.org/officeDocument/2006/relationships/customProperty" Target="../customProperty114.bin"/><Relationship Id="rId2" Type="http://schemas.openxmlformats.org/officeDocument/2006/relationships/customProperty" Target="../customProperty99.bin"/><Relationship Id="rId16" Type="http://schemas.openxmlformats.org/officeDocument/2006/relationships/customProperty" Target="../customProperty113.bin"/><Relationship Id="rId20" Type="http://schemas.openxmlformats.org/officeDocument/2006/relationships/comments" Target="../comments7.xml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103.bin"/><Relationship Id="rId11" Type="http://schemas.openxmlformats.org/officeDocument/2006/relationships/customProperty" Target="../customProperty108.bin"/><Relationship Id="rId5" Type="http://schemas.openxmlformats.org/officeDocument/2006/relationships/customProperty" Target="../customProperty102.bin"/><Relationship Id="rId15" Type="http://schemas.openxmlformats.org/officeDocument/2006/relationships/customProperty" Target="../customProperty112.bin"/><Relationship Id="rId10" Type="http://schemas.openxmlformats.org/officeDocument/2006/relationships/customProperty" Target="../customProperty107.bin"/><Relationship Id="rId19" Type="http://schemas.openxmlformats.org/officeDocument/2006/relationships/vmlDrawing" Target="../drawings/vmlDrawing7.vml"/><Relationship Id="rId4" Type="http://schemas.openxmlformats.org/officeDocument/2006/relationships/customProperty" Target="../customProperty101.bin"/><Relationship Id="rId9" Type="http://schemas.openxmlformats.org/officeDocument/2006/relationships/customProperty" Target="../customProperty106.bin"/><Relationship Id="rId14" Type="http://schemas.openxmlformats.org/officeDocument/2006/relationships/customProperty" Target="../customProperty11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22.bin"/><Relationship Id="rId13" Type="http://schemas.openxmlformats.org/officeDocument/2006/relationships/comments" Target="../comments8.xml"/><Relationship Id="rId3" Type="http://schemas.openxmlformats.org/officeDocument/2006/relationships/customProperty" Target="../customProperty117.bin"/><Relationship Id="rId7" Type="http://schemas.openxmlformats.org/officeDocument/2006/relationships/customProperty" Target="../customProperty121.bin"/><Relationship Id="rId12" Type="http://schemas.openxmlformats.org/officeDocument/2006/relationships/vmlDrawing" Target="../drawings/vmlDrawing8.vml"/><Relationship Id="rId2" Type="http://schemas.openxmlformats.org/officeDocument/2006/relationships/customProperty" Target="../customProperty116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120.bin"/><Relationship Id="rId11" Type="http://schemas.openxmlformats.org/officeDocument/2006/relationships/customProperty" Target="../customProperty125.bin"/><Relationship Id="rId5" Type="http://schemas.openxmlformats.org/officeDocument/2006/relationships/customProperty" Target="../customProperty119.bin"/><Relationship Id="rId10" Type="http://schemas.openxmlformats.org/officeDocument/2006/relationships/customProperty" Target="../customProperty124.bin"/><Relationship Id="rId4" Type="http://schemas.openxmlformats.org/officeDocument/2006/relationships/customProperty" Target="../customProperty118.bin"/><Relationship Id="rId9" Type="http://schemas.openxmlformats.org/officeDocument/2006/relationships/customProperty" Target="../customProperty12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9">
    <tabColor rgb="FFFFC000"/>
    <pageSetUpPr fitToPage="1"/>
  </sheetPr>
  <dimension ref="A1:BB59"/>
  <sheetViews>
    <sheetView view="pageBreakPreview" topLeftCell="A14" zoomScale="70" zoomScaleNormal="75" zoomScaleSheetLayoutView="70" workbookViewId="0">
      <selection activeCell="L14" sqref="L14"/>
    </sheetView>
  </sheetViews>
  <sheetFormatPr defaultRowHeight="12.75" x14ac:dyDescent="0.2"/>
  <cols>
    <col min="1" max="1" width="6.28515625" customWidth="1"/>
    <col min="2" max="2" width="44" customWidth="1"/>
    <col min="3" max="3" width="12.7109375" customWidth="1"/>
    <col min="4" max="4" width="16.7109375" customWidth="1"/>
    <col min="5" max="5" width="14.28515625" bestFit="1" customWidth="1"/>
    <col min="6" max="6" width="12.28515625" customWidth="1"/>
    <col min="7" max="7" width="12.140625" hidden="1" customWidth="1"/>
    <col min="8" max="8" width="12" customWidth="1"/>
    <col min="9" max="9" width="15.5703125" customWidth="1"/>
    <col min="10" max="10" width="12.28515625" bestFit="1" customWidth="1"/>
    <col min="11" max="11" width="13.42578125" customWidth="1"/>
    <col min="12" max="12" width="12.5703125" customWidth="1"/>
    <col min="13" max="13" width="11.7109375" customWidth="1"/>
    <col min="14" max="16" width="14.28515625" customWidth="1"/>
    <col min="17" max="17" width="11.7109375" customWidth="1"/>
    <col min="18" max="18" width="11.42578125" customWidth="1"/>
    <col min="19" max="19" width="13" customWidth="1"/>
    <col min="20" max="20" width="12.85546875" customWidth="1"/>
    <col min="21" max="21" width="0.140625" hidden="1" customWidth="1"/>
    <col min="22" max="22" width="13.28515625" customWidth="1"/>
    <col min="23" max="23" width="13.140625" customWidth="1"/>
    <col min="24" max="24" width="12.140625" customWidth="1"/>
    <col min="25" max="25" width="11.85546875" customWidth="1"/>
    <col min="26" max="26" width="12" customWidth="1"/>
    <col min="27" max="27" width="16.7109375" hidden="1" customWidth="1"/>
    <col min="28" max="28" width="12.5703125" customWidth="1"/>
    <col min="29" max="29" width="11.5703125" customWidth="1"/>
    <col min="30" max="30" width="11.85546875" customWidth="1"/>
    <col min="31" max="31" width="13.140625" customWidth="1"/>
    <col min="32" max="32" width="11.5703125" customWidth="1"/>
    <col min="33" max="33" width="16.28515625" hidden="1" customWidth="1"/>
    <col min="34" max="34" width="12.28515625" bestFit="1" customWidth="1"/>
    <col min="35" max="35" width="14.28515625" customWidth="1"/>
    <col min="36" max="36" width="12.5703125" customWidth="1"/>
    <col min="37" max="37" width="11.85546875" customWidth="1"/>
    <col min="38" max="38" width="12.5703125" customWidth="1"/>
    <col min="39" max="39" width="0.140625" hidden="1" customWidth="1"/>
    <col min="40" max="40" width="11.85546875" customWidth="1"/>
    <col min="41" max="41" width="17.140625" customWidth="1"/>
    <col min="42" max="44" width="12.42578125" customWidth="1"/>
    <col min="45" max="45" width="16.7109375" hidden="1" customWidth="1"/>
    <col min="46" max="46" width="12.5703125" customWidth="1"/>
    <col min="47" max="47" width="13.28515625" hidden="1" customWidth="1"/>
    <col min="48" max="48" width="11.5703125" hidden="1" customWidth="1"/>
    <col min="49" max="49" width="11.42578125" hidden="1" customWidth="1"/>
    <col min="50" max="50" width="11.7109375" hidden="1" customWidth="1"/>
    <col min="51" max="51" width="9.42578125" hidden="1" customWidth="1"/>
    <col min="52" max="52" width="14.5703125" hidden="1" customWidth="1"/>
    <col min="53" max="53" width="11.42578125" hidden="1" customWidth="1"/>
    <col min="54" max="54" width="16.42578125" style="7" hidden="1" customWidth="1"/>
    <col min="55" max="62" width="27.42578125" customWidth="1"/>
    <col min="63" max="63" width="60.85546875" customWidth="1"/>
    <col min="64" max="69" width="27.42578125" customWidth="1"/>
    <col min="70" max="72" width="31.28515625" customWidth="1"/>
    <col min="73" max="73" width="27.42578125" customWidth="1"/>
    <col min="74" max="76" width="34.28515625" customWidth="1"/>
    <col min="77" max="80" width="27.42578125" customWidth="1"/>
    <col min="81" max="81" width="39.42578125" customWidth="1"/>
    <col min="82" max="82" width="41.28515625" customWidth="1"/>
    <col min="83" max="94" width="27.42578125" customWidth="1"/>
    <col min="97" max="97" width="10.28515625" bestFit="1" customWidth="1"/>
    <col min="100" max="100" width="10.28515625" bestFit="1" customWidth="1"/>
    <col min="103" max="103" width="10.28515625" bestFit="1" customWidth="1"/>
    <col min="106" max="106" width="10.28515625" bestFit="1" customWidth="1"/>
    <col min="109" max="109" width="10.28515625" bestFit="1" customWidth="1"/>
    <col min="112" max="112" width="10.28515625" bestFit="1" customWidth="1"/>
    <col min="115" max="115" width="10.28515625" bestFit="1" customWidth="1"/>
    <col min="118" max="118" width="10.28515625" bestFit="1" customWidth="1"/>
    <col min="121" max="121" width="10.28515625" bestFit="1" customWidth="1"/>
    <col min="124" max="124" width="10.28515625" bestFit="1" customWidth="1"/>
    <col min="127" max="127" width="10.28515625" bestFit="1" customWidth="1"/>
    <col min="130" max="130" width="10.28515625" bestFit="1" customWidth="1"/>
    <col min="133" max="133" width="10.28515625" bestFit="1" customWidth="1"/>
    <col min="136" max="136" width="10.28515625" bestFit="1" customWidth="1"/>
    <col min="139" max="139" width="10.28515625" bestFit="1" customWidth="1"/>
    <col min="142" max="142" width="10.28515625" bestFit="1" customWidth="1"/>
    <col min="145" max="145" width="10.28515625" bestFit="1" customWidth="1"/>
    <col min="148" max="148" width="10.28515625" bestFit="1" customWidth="1"/>
    <col min="151" max="151" width="10.28515625" bestFit="1" customWidth="1"/>
    <col min="154" max="154" width="10.28515625" bestFit="1" customWidth="1"/>
    <col min="157" max="157" width="10.28515625" bestFit="1" customWidth="1"/>
    <col min="160" max="160" width="10.28515625" bestFit="1" customWidth="1"/>
    <col min="163" max="163" width="10.28515625" bestFit="1" customWidth="1"/>
    <col min="166" max="166" width="10.28515625" bestFit="1" customWidth="1"/>
    <col min="169" max="169" width="10.28515625" bestFit="1" customWidth="1"/>
    <col min="172" max="172" width="10.28515625" bestFit="1" customWidth="1"/>
    <col min="175" max="175" width="10.28515625" bestFit="1" customWidth="1"/>
    <col min="178" max="178" width="10.28515625" bestFit="1" customWidth="1"/>
    <col min="181" max="181" width="10.28515625" bestFit="1" customWidth="1"/>
    <col min="184" max="184" width="10.28515625" bestFit="1" customWidth="1"/>
    <col min="187" max="187" width="10.28515625" bestFit="1" customWidth="1"/>
    <col min="190" max="190" width="10.28515625" bestFit="1" customWidth="1"/>
    <col min="193" max="193" width="10.28515625" bestFit="1" customWidth="1"/>
    <col min="196" max="196" width="10.28515625" bestFit="1" customWidth="1"/>
    <col min="199" max="199" width="10.28515625" bestFit="1" customWidth="1"/>
    <col min="202" max="202" width="10.28515625" bestFit="1" customWidth="1"/>
    <col min="205" max="205" width="10.28515625" bestFit="1" customWidth="1"/>
    <col min="208" max="208" width="10.28515625" bestFit="1" customWidth="1"/>
    <col min="211" max="211" width="10.28515625" bestFit="1" customWidth="1"/>
    <col min="214" max="214" width="10.28515625" bestFit="1" customWidth="1"/>
    <col min="217" max="217" width="10.28515625" bestFit="1" customWidth="1"/>
    <col min="220" max="220" width="10.28515625" bestFit="1" customWidth="1"/>
    <col min="223" max="223" width="10.28515625" bestFit="1" customWidth="1"/>
    <col min="226" max="226" width="10.28515625" bestFit="1" customWidth="1"/>
    <col min="229" max="229" width="10.28515625" bestFit="1" customWidth="1"/>
    <col min="232" max="232" width="10.28515625" bestFit="1" customWidth="1"/>
    <col min="235" max="235" width="10.28515625" bestFit="1" customWidth="1"/>
  </cols>
  <sheetData>
    <row r="1" spans="1:54" ht="20.25" customHeight="1" x14ac:dyDescent="0.25">
      <c r="A1" s="85" t="s">
        <v>70</v>
      </c>
      <c r="B1" s="86"/>
      <c r="C1" s="86"/>
      <c r="D1" s="86"/>
      <c r="E1" s="86"/>
      <c r="BB1" s="10"/>
    </row>
    <row r="2" spans="1:54" x14ac:dyDescent="0.2">
      <c r="BB2" s="10"/>
    </row>
    <row r="3" spans="1:54" x14ac:dyDescent="0.2">
      <c r="A3" s="2" t="s">
        <v>14</v>
      </c>
      <c r="B3" s="2"/>
      <c r="C3" s="2"/>
      <c r="D3" s="2"/>
      <c r="E3" s="2"/>
      <c r="F3" s="2"/>
      <c r="G3" s="2"/>
      <c r="H3" s="2"/>
      <c r="BB3" s="10"/>
    </row>
    <row r="4" spans="1:54" x14ac:dyDescent="0.2">
      <c r="A4" s="2" t="s">
        <v>15</v>
      </c>
      <c r="B4" s="2"/>
      <c r="C4" s="2"/>
      <c r="D4" s="2"/>
      <c r="E4" s="2"/>
      <c r="F4" s="2"/>
      <c r="G4" s="2"/>
      <c r="H4" s="2"/>
      <c r="BB4" s="10"/>
    </row>
    <row r="5" spans="1:54" x14ac:dyDescent="0.2">
      <c r="A5" s="2" t="s">
        <v>1</v>
      </c>
      <c r="B5" s="2"/>
      <c r="C5" s="2"/>
      <c r="D5" s="2"/>
      <c r="E5" s="2"/>
      <c r="F5" s="2"/>
      <c r="G5" s="2"/>
      <c r="H5" s="2"/>
      <c r="BB5" s="10"/>
    </row>
    <row r="6" spans="1:54" x14ac:dyDescent="0.2">
      <c r="A6" s="2" t="s">
        <v>7</v>
      </c>
      <c r="B6" s="2"/>
      <c r="C6" s="2"/>
      <c r="D6" s="2"/>
      <c r="E6" s="2"/>
      <c r="F6" s="2"/>
      <c r="G6" s="2"/>
      <c r="H6" s="2"/>
      <c r="BB6" s="10"/>
    </row>
    <row r="7" spans="1:54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BB7" s="10"/>
    </row>
    <row r="8" spans="1:54" ht="21" customHeight="1" thickBot="1" x14ac:dyDescent="0.25">
      <c r="A8" s="6">
        <v>20</v>
      </c>
      <c r="B8" s="81" t="s">
        <v>83</v>
      </c>
      <c r="C8" s="82"/>
      <c r="D8" s="82"/>
      <c r="E8" s="82"/>
      <c r="F8" s="82"/>
      <c r="G8" s="82"/>
      <c r="H8" s="82"/>
      <c r="BB8" s="10"/>
    </row>
    <row r="9" spans="1:54" ht="29.25" customHeight="1" thickBot="1" x14ac:dyDescent="0.25">
      <c r="A9" s="6">
        <v>15</v>
      </c>
      <c r="B9" s="81" t="s">
        <v>84</v>
      </c>
      <c r="C9" s="82"/>
      <c r="D9" s="82"/>
      <c r="E9" s="82"/>
      <c r="F9" s="83"/>
      <c r="G9" s="83"/>
      <c r="H9" s="83"/>
      <c r="BB9" s="10"/>
    </row>
    <row r="10" spans="1:54" ht="27" customHeight="1" thickBot="1" x14ac:dyDescent="0.25">
      <c r="A10" s="6">
        <v>15</v>
      </c>
      <c r="B10" s="81" t="s">
        <v>89</v>
      </c>
      <c r="C10" s="82"/>
      <c r="D10" s="82"/>
      <c r="E10" s="82"/>
      <c r="F10" s="83"/>
      <c r="G10" s="83"/>
      <c r="H10" s="83"/>
      <c r="BB10" s="10"/>
    </row>
    <row r="11" spans="1:54" ht="27.75" customHeight="1" thickBot="1" x14ac:dyDescent="0.25">
      <c r="A11" s="6">
        <v>20</v>
      </c>
      <c r="B11" s="81" t="s">
        <v>88</v>
      </c>
      <c r="C11" s="82"/>
      <c r="D11" s="82"/>
      <c r="E11" s="82"/>
      <c r="F11" s="83"/>
      <c r="G11" s="83"/>
      <c r="H11" s="83"/>
      <c r="BB11" s="10"/>
    </row>
    <row r="12" spans="1:54" ht="27.75" customHeight="1" thickBot="1" x14ac:dyDescent="0.25">
      <c r="A12" s="6">
        <v>10</v>
      </c>
      <c r="B12" s="81" t="s">
        <v>87</v>
      </c>
      <c r="C12" s="82"/>
      <c r="D12" s="82"/>
      <c r="E12" s="82"/>
      <c r="F12" s="83"/>
      <c r="G12" s="83"/>
      <c r="H12" s="83"/>
      <c r="BB12" s="10"/>
    </row>
    <row r="13" spans="1:54" ht="28.5" customHeight="1" thickBot="1" x14ac:dyDescent="0.25">
      <c r="A13" s="6">
        <v>10</v>
      </c>
      <c r="B13" s="81" t="s">
        <v>86</v>
      </c>
      <c r="C13" s="82"/>
      <c r="D13" s="82"/>
      <c r="E13" s="82"/>
      <c r="F13" s="83"/>
      <c r="G13" s="83"/>
      <c r="H13" s="83"/>
      <c r="BB13" s="10"/>
    </row>
    <row r="14" spans="1:54" ht="26.25" customHeight="1" thickBot="1" x14ac:dyDescent="0.25">
      <c r="A14" s="6">
        <v>10</v>
      </c>
      <c r="B14" s="81" t="s">
        <v>85</v>
      </c>
      <c r="C14" s="82"/>
      <c r="D14" s="82"/>
      <c r="E14" s="82"/>
      <c r="F14" s="83"/>
      <c r="G14" s="83"/>
      <c r="H14" s="83"/>
      <c r="BB14" s="10"/>
    </row>
    <row r="15" spans="1:54" ht="12.75" customHeight="1" thickBot="1" x14ac:dyDescent="0.25">
      <c r="BB15" s="10"/>
    </row>
    <row r="16" spans="1:54" ht="51" customHeight="1" thickBot="1" x14ac:dyDescent="0.25">
      <c r="A16" s="87" t="s">
        <v>9</v>
      </c>
      <c r="B16" s="89" t="s">
        <v>8</v>
      </c>
      <c r="C16" s="89" t="s">
        <v>13</v>
      </c>
      <c r="D16" s="91" t="s">
        <v>143</v>
      </c>
      <c r="E16" s="84" t="s">
        <v>76</v>
      </c>
      <c r="F16" s="84"/>
      <c r="G16" s="84"/>
      <c r="H16" s="84"/>
      <c r="I16" s="84"/>
      <c r="J16" s="84"/>
      <c r="K16" s="84" t="s">
        <v>77</v>
      </c>
      <c r="L16" s="84"/>
      <c r="M16" s="84"/>
      <c r="N16" s="84"/>
      <c r="O16" s="84"/>
      <c r="P16" s="84"/>
      <c r="Q16" s="84" t="s">
        <v>78</v>
      </c>
      <c r="R16" s="84"/>
      <c r="S16" s="84"/>
      <c r="T16" s="84"/>
      <c r="U16" s="84"/>
      <c r="V16" s="84"/>
      <c r="W16" s="84" t="s">
        <v>79</v>
      </c>
      <c r="X16" s="84"/>
      <c r="Y16" s="84"/>
      <c r="Z16" s="84"/>
      <c r="AA16" s="84"/>
      <c r="AB16" s="84"/>
      <c r="AC16" s="84" t="s">
        <v>80</v>
      </c>
      <c r="AD16" s="84"/>
      <c r="AE16" s="84"/>
      <c r="AF16" s="84"/>
      <c r="AG16" s="84"/>
      <c r="AH16" s="84"/>
      <c r="AI16" s="84" t="s">
        <v>81</v>
      </c>
      <c r="AJ16" s="84"/>
      <c r="AK16" s="84"/>
      <c r="AL16" s="84"/>
      <c r="AM16" s="84"/>
      <c r="AN16" s="84"/>
      <c r="AO16" s="84" t="s">
        <v>82</v>
      </c>
      <c r="AP16" s="84"/>
      <c r="AQ16" s="84"/>
      <c r="AR16" s="84"/>
      <c r="AS16" s="84"/>
      <c r="AT16" s="84"/>
      <c r="AU16" s="93" t="s">
        <v>5</v>
      </c>
      <c r="AV16" s="94"/>
      <c r="AW16" s="94"/>
      <c r="AX16" s="94"/>
      <c r="AY16" s="94"/>
      <c r="AZ16" s="94"/>
      <c r="BA16" s="95"/>
      <c r="BB16" s="96"/>
    </row>
    <row r="17" spans="1:54" ht="56.25" customHeight="1" thickBot="1" x14ac:dyDescent="0.25">
      <c r="A17" s="88" t="s">
        <v>9</v>
      </c>
      <c r="B17" s="90" t="s">
        <v>8</v>
      </c>
      <c r="C17" s="90" t="s">
        <v>6</v>
      </c>
      <c r="D17" s="92" t="s">
        <v>3</v>
      </c>
      <c r="E17" s="3" t="s">
        <v>4</v>
      </c>
      <c r="F17" s="3" t="s">
        <v>149</v>
      </c>
      <c r="G17" s="3"/>
      <c r="H17" s="21" t="s">
        <v>62</v>
      </c>
      <c r="I17" s="3" t="s">
        <v>144</v>
      </c>
      <c r="J17" s="37" t="s">
        <v>64</v>
      </c>
      <c r="K17" s="3" t="s">
        <v>4</v>
      </c>
      <c r="L17" s="3" t="s">
        <v>141</v>
      </c>
      <c r="M17" s="3" t="s">
        <v>17</v>
      </c>
      <c r="N17" s="21" t="s">
        <v>62</v>
      </c>
      <c r="O17" s="3" t="s">
        <v>144</v>
      </c>
      <c r="P17" s="37" t="s">
        <v>64</v>
      </c>
      <c r="Q17" s="3" t="s">
        <v>4</v>
      </c>
      <c r="R17" s="3" t="s">
        <v>141</v>
      </c>
      <c r="S17" s="3" t="s">
        <v>17</v>
      </c>
      <c r="T17" s="21" t="s">
        <v>62</v>
      </c>
      <c r="U17" s="3" t="s">
        <v>144</v>
      </c>
      <c r="V17" s="37" t="s">
        <v>64</v>
      </c>
      <c r="W17" s="3" t="s">
        <v>4</v>
      </c>
      <c r="X17" s="3" t="s">
        <v>141</v>
      </c>
      <c r="Y17" s="3" t="s">
        <v>17</v>
      </c>
      <c r="Z17" s="21" t="s">
        <v>62</v>
      </c>
      <c r="AA17" s="3" t="s">
        <v>144</v>
      </c>
      <c r="AB17" s="37" t="s">
        <v>64</v>
      </c>
      <c r="AC17" s="3" t="s">
        <v>4</v>
      </c>
      <c r="AD17" s="3" t="s">
        <v>141</v>
      </c>
      <c r="AE17" s="3" t="s">
        <v>17</v>
      </c>
      <c r="AF17" s="21" t="s">
        <v>62</v>
      </c>
      <c r="AG17" s="3" t="s">
        <v>144</v>
      </c>
      <c r="AH17" s="37" t="s">
        <v>64</v>
      </c>
      <c r="AI17" s="3" t="s">
        <v>4</v>
      </c>
      <c r="AJ17" s="3" t="s">
        <v>142</v>
      </c>
      <c r="AK17" s="3" t="s">
        <v>17</v>
      </c>
      <c r="AL17" s="21" t="s">
        <v>62</v>
      </c>
      <c r="AM17" s="3" t="s">
        <v>144</v>
      </c>
      <c r="AN17" s="37" t="s">
        <v>64</v>
      </c>
      <c r="AO17" s="3" t="s">
        <v>4</v>
      </c>
      <c r="AP17" s="3" t="s">
        <v>141</v>
      </c>
      <c r="AQ17" s="3" t="s">
        <v>17</v>
      </c>
      <c r="AR17" s="21" t="s">
        <v>62</v>
      </c>
      <c r="AS17" s="3" t="s">
        <v>144</v>
      </c>
      <c r="AT17" s="37" t="s">
        <v>64</v>
      </c>
      <c r="AU17" s="9">
        <v>1</v>
      </c>
      <c r="AV17" s="9">
        <v>2</v>
      </c>
      <c r="AW17" s="9">
        <v>3</v>
      </c>
      <c r="AX17" s="9">
        <v>4</v>
      </c>
      <c r="AY17" s="9">
        <v>5</v>
      </c>
      <c r="AZ17" s="27">
        <v>6</v>
      </c>
      <c r="BA17" s="35">
        <v>7</v>
      </c>
      <c r="BB17" s="36" t="s">
        <v>135</v>
      </c>
    </row>
    <row r="18" spans="1:54" x14ac:dyDescent="0.2">
      <c r="A18" s="1" t="s">
        <v>41</v>
      </c>
      <c r="B18" s="11" t="s">
        <v>21</v>
      </c>
      <c r="C18" s="13">
        <f t="shared" ref="C18:C40" si="0">IF(D18&lt;&gt;1,"",SUM(J18,P18,V19,AB18,AH18,AN18,AT18))</f>
        <v>0.85714285714285721</v>
      </c>
      <c r="D18" s="13">
        <f t="shared" ref="D18:D40" si="1">IF(SUM(E18,K18,Q18,W18,AC18,AI18,AO18)=0,0,1)</f>
        <v>1</v>
      </c>
      <c r="E18" s="16">
        <v>1</v>
      </c>
      <c r="F18" s="16">
        <v>100</v>
      </c>
      <c r="G18" s="13">
        <f t="shared" ref="G18:G40" si="2">IF(E18=1,(MIN(Вес1.1,Вес1.2,Вес1.3,Вес1.4,Вес1.5,Вес1.6,Вес1.7))*((100/MIN(Вес1.1,Вес1.2,Вес1.3,Вес1.4,Вес1.5,Вес1.6,Вес1.7))/BB18*Вес1.1/MIN(Вес1.1,Вес1.2,Вес1.3,Вес1.4,Вес1.5,Вес1.6,Вес1.7)),"")</f>
        <v>28.571428571428573</v>
      </c>
      <c r="H18" s="13">
        <f t="shared" ref="H18:H40" si="3">IF(E18=1,(MIN(Вес1.1,Вес1.2,Вес1.3,Вес1.4,Вес1.5,Вес1.6,Вес1.7))*((100/MIN(Вес1.1,Вес1.2,Вес1.3,Вес1.4,Вес1.5,Вес1.6,Вес1.7))/BB18*Вес1.1/MIN(Вес1.1,Вес1.2,Вес1.3,Вес1.4,Вес1.5,Вес1.6,Вес1.7)),"")</f>
        <v>28.571428571428573</v>
      </c>
      <c r="I18" s="13">
        <f t="shared" ref="I18:I40" si="4">IF(H18="","не применяется",IF(E18=0,"не применяется",(H18/100*F18)/100))</f>
        <v>0.28571428571428575</v>
      </c>
      <c r="J18" s="13">
        <f t="shared" ref="J18:J40" si="5">IF(ISNUMBER(I18),I18,"")</f>
        <v>0.28571428571428575</v>
      </c>
      <c r="K18" s="16">
        <v>1</v>
      </c>
      <c r="L18" s="16">
        <v>100</v>
      </c>
      <c r="M18" s="16">
        <v>1</v>
      </c>
      <c r="N18" s="13">
        <f t="shared" ref="N18:N40" si="6">IF(K18=1,(MIN(Вес1.1,Вес1.2,Вес1.3,Вес1.4,Вес1.5,Вес1.6,Вес1.7))*((100/MIN(Вес1.1,Вес1.2,Вес1.3,Вес1.4,Вес1.5,Вес1.6,Вес1.7))/BB18*Вес1.2/MIN(Вес1.1,Вес1.2,Вес1.3,Вес1.4,Вес1.5,Вес1.6,Вес1.7)),"")</f>
        <v>21.428571428571431</v>
      </c>
      <c r="O18" s="13">
        <f t="shared" ref="O18:O40" si="7">IF(N18="","не применяется",IF(K18=0,"не применяется",N18*M18/100))</f>
        <v>0.2142857142857143</v>
      </c>
      <c r="P18" s="13">
        <f t="shared" ref="P18:P40" si="8">IF(ISNUMBER(O18),O18,"")</f>
        <v>0.2142857142857143</v>
      </c>
      <c r="Q18" s="16">
        <v>1</v>
      </c>
      <c r="R18" s="16">
        <v>50</v>
      </c>
      <c r="S18" s="16">
        <v>0.5</v>
      </c>
      <c r="T18" s="13">
        <f t="shared" ref="T18:T40" si="9">IF(Q18=1,(MIN(Вес1.1,Вес1.2,Вес1.3,Вес1.4,Вес1.5,Вес1.6,Вес1.7))*((100/MIN(Вес1.1,Вес1.2,Вес1.3,Вес1.4,Вес1.5,Вес1.6,Вес1.7))/BB18*Вес1.3/MIN(Вес1.1,Вес1.2,Вес1.3,Вес1.4,Вес1.5,Вес1.6,Вес1.7)),"")</f>
        <v>21.428571428571431</v>
      </c>
      <c r="U18" s="13">
        <f t="shared" ref="U18:U40" si="10">IF(T18="","не применяется",IF(Q18=0,"не применяется",T18*S18/100))</f>
        <v>0.10714285714285715</v>
      </c>
      <c r="V18" s="13">
        <f t="shared" ref="V18:V40" si="11">IF(ISNUMBER(U18),U18,"")</f>
        <v>0.10714285714285715</v>
      </c>
      <c r="W18" s="16">
        <v>0</v>
      </c>
      <c r="X18" s="16">
        <v>0</v>
      </c>
      <c r="Y18" s="16">
        <v>0</v>
      </c>
      <c r="Z18" s="13" t="str">
        <f t="shared" ref="Z18:Z40" si="12">IF(W18=1,(MIN(Вес1.1,Вес1.2,Вес1.3,Вес1.4,Вес1.5,Вес1.6,Вес1.7))*((100/MIN(Вес1.1,Вес1.2,Вес1.3,Вес1.4,Вес1.5,Вес1.6,Вес1.7))/BB18*Вес1.4/MIN(Вес1.1,Вес1.2,Вес1.3,Вес1.4,Вес1.5,Вес1.6,Вес1.7)),"")</f>
        <v/>
      </c>
      <c r="AA18" s="13" t="str">
        <f t="shared" ref="AA18:AA40" si="13">IF(Z18="","не применяется",IF(W18=0,"не применяется",Y18*Z18/100))</f>
        <v>не применяется</v>
      </c>
      <c r="AB18" s="13" t="str">
        <f t="shared" ref="AB18:AB40" si="14">IF(ISNUMBER(AA18),AA18,"")</f>
        <v/>
      </c>
      <c r="AC18" s="16">
        <v>0</v>
      </c>
      <c r="AD18" s="16">
        <v>0</v>
      </c>
      <c r="AE18" s="16">
        <v>0</v>
      </c>
      <c r="AF18" s="13" t="str">
        <f t="shared" ref="AF18:AF40" si="15">IF(AC18=1,(MIN(Вес1.1,Вес1.2,Вес1.3,Вес1.4,Вес1.5,Вес1.6,Вес1.7))*((100/MIN(Вес1.1,Вес1.2,Вес1.3,Вес1.4,Вес1.5,Вес1.6,Вес1.7))/BB18*Вес1.5/MIN(Вес1.1,Вес1.2,Вес1.3,Вес1.4,Вес1.5,Вес1.6,Вес1.7)),"")</f>
        <v/>
      </c>
      <c r="AG18" s="13" t="str">
        <f t="shared" ref="AG18:AG40" si="16">IF(AF18="","не применяется",IF(AC18=0,"не применяется",AF18*AE18/100))</f>
        <v>не применяется</v>
      </c>
      <c r="AH18" s="13" t="str">
        <f t="shared" ref="AH18:AH40" si="17">IF(ISNUMBER(AG18),AG18,"")</f>
        <v/>
      </c>
      <c r="AI18" s="16">
        <v>1</v>
      </c>
      <c r="AJ18" s="16">
        <v>0</v>
      </c>
      <c r="AK18" s="16">
        <v>1</v>
      </c>
      <c r="AL18" s="13">
        <f t="shared" ref="AL18:AL40" si="18">IF(AI18=1,(MIN(Вес1.1,Вес1.2,Вес1.3,Вес1.4,Вес1.5,Вес1.6,Вес1.7))*((100/MIN(Вес1.1,Вес1.2,Вес1.3,Вес1.4,Вес1.5,Вес1.6,Вес1.7))/BB18*Вес1.6/MIN(Вес1.1,Вес1.2,Вес1.3,Вес1.4,Вес1.5,Вес1.6,Вес1.7)),"")</f>
        <v>14.285714285714286</v>
      </c>
      <c r="AM18" s="13">
        <f t="shared" ref="AM18:AM40" si="19">IF(AL18="","не применяется",IF(AI18=0,"не применяется",AL18*AK18/100))</f>
        <v>0.14285714285714288</v>
      </c>
      <c r="AN18" s="13">
        <f t="shared" ref="AN18:AN40" si="20">IF(ISNUMBER(AM18),AM18,"")</f>
        <v>0.14285714285714288</v>
      </c>
      <c r="AO18" s="16">
        <v>1</v>
      </c>
      <c r="AP18" s="16">
        <v>8</v>
      </c>
      <c r="AQ18" s="16">
        <v>0</v>
      </c>
      <c r="AR18" s="13">
        <f t="shared" ref="AR18:AR40" si="21">IF(AO18=1,(MIN(Вес1.1,Вес1.2,Вес1.3,Вес1.4,Вес1.5,Вес1.6,Вес1.7))*((100/MIN(Вес1.1,Вес1.2,Вес1.3,Вес1.4,Вес1.5,Вес1.6,Вес1.7))/BB18*Вес1.7/MIN(Вес1.1,Вес1.2,Вес1.3,Вес1.4,Вес1.5,Вес1.6,Вес1.7)),"")</f>
        <v>14.285714285714286</v>
      </c>
      <c r="AS18" s="13">
        <f t="shared" ref="AS18:AS40" si="22">IF(AR18="","не применяется",IF(AO18=0,"не применяется",AR18*AQ18/100))</f>
        <v>0</v>
      </c>
      <c r="AT18" s="13">
        <f t="shared" ref="AT18:AT40" si="23">IF(ISNUMBER(AS18),AS18,"")</f>
        <v>0</v>
      </c>
      <c r="AU18" s="13">
        <f t="shared" ref="AU18:AU40" si="24">IF(E18=1,Вес1.1/MIN(Вес1.1,Вес1.2,Вес1.3,Вес1.4,Вес1.5,Вес1.6,Вес1.7),"")</f>
        <v>2</v>
      </c>
      <c r="AV18" s="13">
        <f t="shared" ref="AV18:AV40" si="25">IF(K18=1,Вес1.2/MIN(Вес1.1,Вес1.2,Вес1.3,Вес1.4,Вес1.5,Вес1.6,Вес1.7),"")</f>
        <v>1.5</v>
      </c>
      <c r="AW18" s="13">
        <f t="shared" ref="AW18:AW40" si="26">IF(Q18=1,Вес1.3/MIN(Вес1.1,Вес1.2,Вес1.3,Вес1.4,Вес1.5,Вес1.6,Вес1.7),"")</f>
        <v>1.5</v>
      </c>
      <c r="AX18" s="13" t="str">
        <f t="shared" ref="AX18:AX40" si="27">IF(W18=1,Вес1.4/MIN(Вес1.1,Вес1.2,Вес1.3,Вес1.4,Вес1.5,Вес1.6,Вес1.7),"")</f>
        <v/>
      </c>
      <c r="AY18" s="13" t="str">
        <f t="shared" ref="AY18:AY40" si="28">IF(AC18=1,Вес1.5/MIN(Вес1.1,Вес1.2,Вес1.3,Вес1.4,Вес1.5,Вес1.6,Вес1.7),"")</f>
        <v/>
      </c>
      <c r="AZ18" s="13">
        <f t="shared" ref="AZ18:AZ40" si="29">IF(AI18=1,Вес1.6/MIN(Вес1.1,Вес1.2,Вес1.3,Вес1.4,Вес1.5,Вес1.6,Вес1.7),"")</f>
        <v>1</v>
      </c>
      <c r="BA18" s="13">
        <f t="shared" ref="BA18:BA40" si="30">IF(AO18=1,Вес1.7/MIN(Вес1.1,Вес1.2,Вес1.3,Вес1.4,Вес1.5,Вес1.6,Вес1.7),"")</f>
        <v>1</v>
      </c>
      <c r="BB18" s="13">
        <f t="shared" ref="BB18:BB40" si="31">SUM(AU18:BA18)</f>
        <v>7</v>
      </c>
    </row>
    <row r="19" spans="1:54" ht="25.5" x14ac:dyDescent="0.2">
      <c r="A19" s="1" t="s">
        <v>42</v>
      </c>
      <c r="B19" s="11" t="s">
        <v>148</v>
      </c>
      <c r="C19" s="13">
        <f t="shared" si="0"/>
        <v>0.50857142857142867</v>
      </c>
      <c r="D19" s="13">
        <f t="shared" si="1"/>
        <v>1</v>
      </c>
      <c r="E19" s="16">
        <v>1</v>
      </c>
      <c r="F19" s="16">
        <v>90.5</v>
      </c>
      <c r="G19" s="13">
        <f t="shared" si="2"/>
        <v>28.571428571428573</v>
      </c>
      <c r="H19" s="13">
        <f t="shared" si="3"/>
        <v>28.571428571428573</v>
      </c>
      <c r="I19" s="13">
        <f t="shared" si="4"/>
        <v>0.25857142857142862</v>
      </c>
      <c r="J19" s="13">
        <f t="shared" si="5"/>
        <v>0.25857142857142862</v>
      </c>
      <c r="K19" s="16">
        <v>1</v>
      </c>
      <c r="L19" s="16">
        <v>50</v>
      </c>
      <c r="M19" s="16">
        <v>0.5</v>
      </c>
      <c r="N19" s="13">
        <f t="shared" si="6"/>
        <v>21.428571428571431</v>
      </c>
      <c r="O19" s="13">
        <f t="shared" si="7"/>
        <v>0.10714285714285715</v>
      </c>
      <c r="P19" s="13">
        <f t="shared" si="8"/>
        <v>0.10714285714285715</v>
      </c>
      <c r="Q19" s="16">
        <v>1</v>
      </c>
      <c r="R19" s="16">
        <v>100</v>
      </c>
      <c r="S19" s="16">
        <v>1</v>
      </c>
      <c r="T19" s="13">
        <f t="shared" si="9"/>
        <v>21.428571428571431</v>
      </c>
      <c r="U19" s="13">
        <f t="shared" si="10"/>
        <v>0.2142857142857143</v>
      </c>
      <c r="V19" s="13">
        <f t="shared" si="11"/>
        <v>0.2142857142857143</v>
      </c>
      <c r="W19" s="16">
        <v>0</v>
      </c>
      <c r="X19" s="16">
        <v>0</v>
      </c>
      <c r="Y19" s="16">
        <v>0</v>
      </c>
      <c r="Z19" s="13" t="str">
        <f t="shared" si="12"/>
        <v/>
      </c>
      <c r="AA19" s="13" t="str">
        <f t="shared" si="13"/>
        <v>не применяется</v>
      </c>
      <c r="AB19" s="13" t="str">
        <f t="shared" si="14"/>
        <v/>
      </c>
      <c r="AC19" s="16">
        <v>0</v>
      </c>
      <c r="AD19" s="16">
        <v>0</v>
      </c>
      <c r="AE19" s="16">
        <v>0</v>
      </c>
      <c r="AF19" s="13" t="str">
        <f t="shared" si="15"/>
        <v/>
      </c>
      <c r="AG19" s="13" t="str">
        <f t="shared" si="16"/>
        <v>не применяется</v>
      </c>
      <c r="AH19" s="13" t="str">
        <f t="shared" si="17"/>
        <v/>
      </c>
      <c r="AI19" s="16">
        <v>1</v>
      </c>
      <c r="AJ19" s="16">
        <v>0</v>
      </c>
      <c r="AK19" s="16">
        <v>1</v>
      </c>
      <c r="AL19" s="13">
        <f t="shared" si="18"/>
        <v>14.285714285714286</v>
      </c>
      <c r="AM19" s="13">
        <f t="shared" si="19"/>
        <v>0.14285714285714288</v>
      </c>
      <c r="AN19" s="13">
        <f t="shared" si="20"/>
        <v>0.14285714285714288</v>
      </c>
      <c r="AO19" s="16">
        <v>1</v>
      </c>
      <c r="AP19" s="16">
        <v>117</v>
      </c>
      <c r="AQ19" s="16">
        <v>0</v>
      </c>
      <c r="AR19" s="13">
        <f t="shared" si="21"/>
        <v>14.285714285714286</v>
      </c>
      <c r="AS19" s="13">
        <f t="shared" si="22"/>
        <v>0</v>
      </c>
      <c r="AT19" s="13">
        <f t="shared" si="23"/>
        <v>0</v>
      </c>
      <c r="AU19" s="13">
        <f t="shared" si="24"/>
        <v>2</v>
      </c>
      <c r="AV19" s="13">
        <f t="shared" si="25"/>
        <v>1.5</v>
      </c>
      <c r="AW19" s="13">
        <f t="shared" si="26"/>
        <v>1.5</v>
      </c>
      <c r="AX19" s="13" t="str">
        <f t="shared" si="27"/>
        <v/>
      </c>
      <c r="AY19" s="13" t="str">
        <f t="shared" si="28"/>
        <v/>
      </c>
      <c r="AZ19" s="13">
        <f t="shared" si="29"/>
        <v>1</v>
      </c>
      <c r="BA19" s="13">
        <f t="shared" si="30"/>
        <v>1</v>
      </c>
      <c r="BB19" s="13">
        <f t="shared" si="31"/>
        <v>7</v>
      </c>
    </row>
    <row r="20" spans="1:54" ht="25.5" x14ac:dyDescent="0.2">
      <c r="A20" s="1" t="s">
        <v>43</v>
      </c>
      <c r="B20" s="11" t="s">
        <v>22</v>
      </c>
      <c r="C20" s="13">
        <f t="shared" si="0"/>
        <v>0.72222222222222232</v>
      </c>
      <c r="D20" s="13">
        <f t="shared" si="1"/>
        <v>1</v>
      </c>
      <c r="E20" s="16">
        <v>1</v>
      </c>
      <c r="F20" s="16">
        <v>100</v>
      </c>
      <c r="G20" s="13">
        <f t="shared" si="2"/>
        <v>22.222222222222221</v>
      </c>
      <c r="H20" s="13">
        <f t="shared" si="3"/>
        <v>22.222222222222221</v>
      </c>
      <c r="I20" s="13">
        <f t="shared" si="4"/>
        <v>0.22222222222222221</v>
      </c>
      <c r="J20" s="13">
        <f t="shared" si="5"/>
        <v>0.22222222222222221</v>
      </c>
      <c r="K20" s="16">
        <v>1</v>
      </c>
      <c r="L20" s="16">
        <v>100</v>
      </c>
      <c r="M20" s="16">
        <v>1</v>
      </c>
      <c r="N20" s="13">
        <f t="shared" si="6"/>
        <v>16.666666666666668</v>
      </c>
      <c r="O20" s="13">
        <f t="shared" si="7"/>
        <v>0.16666666666666669</v>
      </c>
      <c r="P20" s="13">
        <f t="shared" si="8"/>
        <v>0.16666666666666669</v>
      </c>
      <c r="Q20" s="16">
        <v>1</v>
      </c>
      <c r="R20" s="16">
        <v>0</v>
      </c>
      <c r="S20" s="16">
        <v>0</v>
      </c>
      <c r="T20" s="13">
        <f t="shared" si="9"/>
        <v>16.666666666666668</v>
      </c>
      <c r="U20" s="13">
        <f t="shared" si="10"/>
        <v>0</v>
      </c>
      <c r="V20" s="13">
        <f t="shared" si="11"/>
        <v>0</v>
      </c>
      <c r="W20" s="16">
        <v>1</v>
      </c>
      <c r="X20" s="16">
        <v>85.172700000000006</v>
      </c>
      <c r="Y20" s="16">
        <v>1</v>
      </c>
      <c r="Z20" s="13">
        <f t="shared" si="12"/>
        <v>22.222222222222221</v>
      </c>
      <c r="AA20" s="13">
        <f t="shared" si="13"/>
        <v>0.22222222222222221</v>
      </c>
      <c r="AB20" s="13">
        <f t="shared" si="14"/>
        <v>0.22222222222222221</v>
      </c>
      <c r="AC20" s="16">
        <v>0</v>
      </c>
      <c r="AD20" s="16">
        <v>0</v>
      </c>
      <c r="AE20" s="16">
        <v>0</v>
      </c>
      <c r="AF20" s="13" t="str">
        <f t="shared" si="15"/>
        <v/>
      </c>
      <c r="AG20" s="13" t="str">
        <f t="shared" si="16"/>
        <v>не применяется</v>
      </c>
      <c r="AH20" s="13" t="str">
        <f t="shared" si="17"/>
        <v/>
      </c>
      <c r="AI20" s="16">
        <v>1</v>
      </c>
      <c r="AJ20" s="16">
        <v>0</v>
      </c>
      <c r="AK20" s="16">
        <v>1</v>
      </c>
      <c r="AL20" s="13">
        <f t="shared" si="18"/>
        <v>11.111111111111111</v>
      </c>
      <c r="AM20" s="13">
        <f t="shared" si="19"/>
        <v>0.1111111111111111</v>
      </c>
      <c r="AN20" s="13">
        <f t="shared" si="20"/>
        <v>0.1111111111111111</v>
      </c>
      <c r="AO20" s="16">
        <v>1</v>
      </c>
      <c r="AP20" s="16">
        <v>32</v>
      </c>
      <c r="AQ20" s="16">
        <v>0</v>
      </c>
      <c r="AR20" s="13">
        <f t="shared" si="21"/>
        <v>11.111111111111111</v>
      </c>
      <c r="AS20" s="13">
        <f t="shared" si="22"/>
        <v>0</v>
      </c>
      <c r="AT20" s="13">
        <f t="shared" si="23"/>
        <v>0</v>
      </c>
      <c r="AU20" s="13">
        <f t="shared" si="24"/>
        <v>2</v>
      </c>
      <c r="AV20" s="13">
        <f t="shared" si="25"/>
        <v>1.5</v>
      </c>
      <c r="AW20" s="13">
        <f t="shared" si="26"/>
        <v>1.5</v>
      </c>
      <c r="AX20" s="13">
        <f t="shared" si="27"/>
        <v>2</v>
      </c>
      <c r="AY20" s="13" t="str">
        <f t="shared" si="28"/>
        <v/>
      </c>
      <c r="AZ20" s="13">
        <f t="shared" si="29"/>
        <v>1</v>
      </c>
      <c r="BA20" s="13">
        <f t="shared" si="30"/>
        <v>1</v>
      </c>
      <c r="BB20" s="13">
        <f t="shared" si="31"/>
        <v>9</v>
      </c>
    </row>
    <row r="21" spans="1:54" ht="38.25" x14ac:dyDescent="0.2">
      <c r="A21" s="1" t="s">
        <v>152</v>
      </c>
      <c r="B21" s="11" t="s">
        <v>153</v>
      </c>
      <c r="C21" s="13">
        <f t="shared" si="0"/>
        <v>0.33333333333333331</v>
      </c>
      <c r="D21" s="13">
        <f t="shared" si="1"/>
        <v>1</v>
      </c>
      <c r="E21" s="16">
        <v>1</v>
      </c>
      <c r="F21" s="16">
        <v>100</v>
      </c>
      <c r="G21" s="13">
        <f t="shared" si="2"/>
        <v>22.222222222222221</v>
      </c>
      <c r="H21" s="13">
        <f t="shared" si="3"/>
        <v>22.222222222222221</v>
      </c>
      <c r="I21" s="13">
        <f t="shared" si="4"/>
        <v>0.22222222222222221</v>
      </c>
      <c r="J21" s="13">
        <f t="shared" si="5"/>
        <v>0.22222222222222221</v>
      </c>
      <c r="K21" s="16">
        <v>1</v>
      </c>
      <c r="L21" s="16">
        <v>0</v>
      </c>
      <c r="M21" s="16">
        <v>0</v>
      </c>
      <c r="N21" s="13">
        <f t="shared" si="6"/>
        <v>16.666666666666668</v>
      </c>
      <c r="O21" s="13">
        <f t="shared" si="7"/>
        <v>0</v>
      </c>
      <c r="P21" s="13">
        <f t="shared" si="8"/>
        <v>0</v>
      </c>
      <c r="Q21" s="16">
        <v>1</v>
      </c>
      <c r="R21" s="16">
        <v>0</v>
      </c>
      <c r="S21" s="16">
        <v>0</v>
      </c>
      <c r="T21" s="13">
        <f t="shared" si="9"/>
        <v>16.666666666666668</v>
      </c>
      <c r="U21" s="13">
        <f t="shared" si="10"/>
        <v>0</v>
      </c>
      <c r="V21" s="13">
        <f t="shared" si="11"/>
        <v>0</v>
      </c>
      <c r="W21" s="16">
        <v>1</v>
      </c>
      <c r="X21" s="16">
        <v>0</v>
      </c>
      <c r="Y21" s="16">
        <v>0</v>
      </c>
      <c r="Z21" s="13">
        <f t="shared" si="12"/>
        <v>22.222222222222221</v>
      </c>
      <c r="AA21" s="13">
        <f t="shared" si="13"/>
        <v>0</v>
      </c>
      <c r="AB21" s="13">
        <f t="shared" si="14"/>
        <v>0</v>
      </c>
      <c r="AC21" s="16">
        <v>0</v>
      </c>
      <c r="AD21" s="16">
        <v>0</v>
      </c>
      <c r="AE21" s="16">
        <v>1</v>
      </c>
      <c r="AF21" s="13" t="str">
        <f t="shared" si="15"/>
        <v/>
      </c>
      <c r="AG21" s="13" t="str">
        <f t="shared" si="16"/>
        <v>не применяется</v>
      </c>
      <c r="AH21" s="13" t="str">
        <f t="shared" si="17"/>
        <v/>
      </c>
      <c r="AI21" s="16">
        <v>1</v>
      </c>
      <c r="AJ21" s="16">
        <v>0</v>
      </c>
      <c r="AK21" s="16">
        <v>1</v>
      </c>
      <c r="AL21" s="13">
        <f t="shared" si="18"/>
        <v>11.111111111111111</v>
      </c>
      <c r="AM21" s="13">
        <f t="shared" si="19"/>
        <v>0.1111111111111111</v>
      </c>
      <c r="AN21" s="13">
        <f t="shared" si="20"/>
        <v>0.1111111111111111</v>
      </c>
      <c r="AO21" s="16">
        <v>1</v>
      </c>
      <c r="AP21" s="16">
        <v>7</v>
      </c>
      <c r="AQ21" s="16">
        <v>0</v>
      </c>
      <c r="AR21" s="13">
        <f t="shared" si="21"/>
        <v>11.111111111111111</v>
      </c>
      <c r="AS21" s="13">
        <f t="shared" si="22"/>
        <v>0</v>
      </c>
      <c r="AT21" s="13">
        <f t="shared" si="23"/>
        <v>0</v>
      </c>
      <c r="AU21" s="13">
        <f t="shared" si="24"/>
        <v>2</v>
      </c>
      <c r="AV21" s="13">
        <f t="shared" si="25"/>
        <v>1.5</v>
      </c>
      <c r="AW21" s="13">
        <f t="shared" si="26"/>
        <v>1.5</v>
      </c>
      <c r="AX21" s="13">
        <f t="shared" si="27"/>
        <v>2</v>
      </c>
      <c r="AY21" s="13" t="str">
        <f t="shared" si="28"/>
        <v/>
      </c>
      <c r="AZ21" s="13">
        <f t="shared" si="29"/>
        <v>1</v>
      </c>
      <c r="BA21" s="13">
        <f t="shared" si="30"/>
        <v>1</v>
      </c>
      <c r="BB21" s="13">
        <f t="shared" si="31"/>
        <v>9</v>
      </c>
    </row>
    <row r="22" spans="1:54" ht="25.5" x14ac:dyDescent="0.2">
      <c r="A22" s="1" t="s">
        <v>44</v>
      </c>
      <c r="B22" s="11" t="s">
        <v>23</v>
      </c>
      <c r="C22" s="13">
        <f t="shared" si="0"/>
        <v>0.59523809523809534</v>
      </c>
      <c r="D22" s="13">
        <f t="shared" si="1"/>
        <v>1</v>
      </c>
      <c r="E22" s="16">
        <v>1</v>
      </c>
      <c r="F22" s="16">
        <v>100</v>
      </c>
      <c r="G22" s="13">
        <f t="shared" si="2"/>
        <v>28.571428571428573</v>
      </c>
      <c r="H22" s="13">
        <f t="shared" si="3"/>
        <v>28.571428571428573</v>
      </c>
      <c r="I22" s="13">
        <f t="shared" si="4"/>
        <v>0.28571428571428575</v>
      </c>
      <c r="J22" s="13">
        <f t="shared" si="5"/>
        <v>0.28571428571428575</v>
      </c>
      <c r="K22" s="16">
        <v>1</v>
      </c>
      <c r="L22" s="16">
        <v>0</v>
      </c>
      <c r="M22" s="16">
        <v>0</v>
      </c>
      <c r="N22" s="13">
        <f t="shared" si="6"/>
        <v>21.428571428571431</v>
      </c>
      <c r="O22" s="13">
        <f t="shared" si="7"/>
        <v>0</v>
      </c>
      <c r="P22" s="13">
        <f t="shared" si="8"/>
        <v>0</v>
      </c>
      <c r="Q22" s="16">
        <v>1</v>
      </c>
      <c r="R22" s="16">
        <v>0</v>
      </c>
      <c r="S22" s="16">
        <v>0</v>
      </c>
      <c r="T22" s="13">
        <f t="shared" si="9"/>
        <v>21.428571428571431</v>
      </c>
      <c r="U22" s="13">
        <f t="shared" si="10"/>
        <v>0</v>
      </c>
      <c r="V22" s="13">
        <f t="shared" si="11"/>
        <v>0</v>
      </c>
      <c r="W22" s="16">
        <v>0</v>
      </c>
      <c r="X22" s="16">
        <v>0</v>
      </c>
      <c r="Y22" s="16">
        <v>0</v>
      </c>
      <c r="Z22" s="13" t="str">
        <f t="shared" si="12"/>
        <v/>
      </c>
      <c r="AA22" s="13" t="str">
        <f t="shared" si="13"/>
        <v>не применяется</v>
      </c>
      <c r="AB22" s="13" t="str">
        <f t="shared" si="14"/>
        <v/>
      </c>
      <c r="AC22" s="16">
        <v>0</v>
      </c>
      <c r="AD22" s="16">
        <v>0</v>
      </c>
      <c r="AE22" s="16">
        <v>0</v>
      </c>
      <c r="AF22" s="13" t="str">
        <f t="shared" si="15"/>
        <v/>
      </c>
      <c r="AG22" s="13" t="str">
        <f t="shared" si="16"/>
        <v>не применяется</v>
      </c>
      <c r="AH22" s="13" t="str">
        <f t="shared" si="17"/>
        <v/>
      </c>
      <c r="AI22" s="16">
        <v>1</v>
      </c>
      <c r="AJ22" s="16">
        <v>0</v>
      </c>
      <c r="AK22" s="16">
        <v>1</v>
      </c>
      <c r="AL22" s="13">
        <f t="shared" si="18"/>
        <v>14.285714285714286</v>
      </c>
      <c r="AM22" s="13">
        <f t="shared" si="19"/>
        <v>0.14285714285714288</v>
      </c>
      <c r="AN22" s="13">
        <f t="shared" si="20"/>
        <v>0.14285714285714288</v>
      </c>
      <c r="AO22" s="16">
        <v>1</v>
      </c>
      <c r="AP22" s="16">
        <v>13</v>
      </c>
      <c r="AQ22" s="16">
        <v>0</v>
      </c>
      <c r="AR22" s="13">
        <f t="shared" si="21"/>
        <v>14.285714285714286</v>
      </c>
      <c r="AS22" s="13">
        <f t="shared" si="22"/>
        <v>0</v>
      </c>
      <c r="AT22" s="13">
        <f t="shared" si="23"/>
        <v>0</v>
      </c>
      <c r="AU22" s="13">
        <f t="shared" si="24"/>
        <v>2</v>
      </c>
      <c r="AV22" s="13">
        <f t="shared" si="25"/>
        <v>1.5</v>
      </c>
      <c r="AW22" s="13">
        <f t="shared" si="26"/>
        <v>1.5</v>
      </c>
      <c r="AX22" s="13" t="str">
        <f t="shared" si="27"/>
        <v/>
      </c>
      <c r="AY22" s="13" t="str">
        <f t="shared" si="28"/>
        <v/>
      </c>
      <c r="AZ22" s="13">
        <f t="shared" si="29"/>
        <v>1</v>
      </c>
      <c r="BA22" s="13">
        <f t="shared" si="30"/>
        <v>1</v>
      </c>
      <c r="BB22" s="13">
        <f t="shared" si="31"/>
        <v>7</v>
      </c>
    </row>
    <row r="23" spans="1:54" ht="38.25" x14ac:dyDescent="0.2">
      <c r="A23" s="1" t="s">
        <v>45</v>
      </c>
      <c r="B23" s="11" t="s">
        <v>24</v>
      </c>
      <c r="C23" s="13">
        <f t="shared" si="0"/>
        <v>0.66666666666666674</v>
      </c>
      <c r="D23" s="13">
        <f t="shared" si="1"/>
        <v>1</v>
      </c>
      <c r="E23" s="16">
        <v>1</v>
      </c>
      <c r="F23" s="16">
        <v>0</v>
      </c>
      <c r="G23" s="13">
        <f t="shared" si="2"/>
        <v>22.222222222222221</v>
      </c>
      <c r="H23" s="13">
        <f t="shared" si="3"/>
        <v>22.222222222222221</v>
      </c>
      <c r="I23" s="13">
        <f t="shared" si="4"/>
        <v>0</v>
      </c>
      <c r="J23" s="13">
        <f t="shared" si="5"/>
        <v>0</v>
      </c>
      <c r="K23" s="16">
        <v>1</v>
      </c>
      <c r="L23" s="16">
        <v>100</v>
      </c>
      <c r="M23" s="16">
        <v>1</v>
      </c>
      <c r="N23" s="13">
        <f t="shared" si="6"/>
        <v>16.666666666666668</v>
      </c>
      <c r="O23" s="13">
        <f t="shared" si="7"/>
        <v>0.16666666666666669</v>
      </c>
      <c r="P23" s="13">
        <f t="shared" si="8"/>
        <v>0.16666666666666669</v>
      </c>
      <c r="Q23" s="16">
        <v>1</v>
      </c>
      <c r="R23" s="16">
        <v>100</v>
      </c>
      <c r="S23" s="16">
        <v>1</v>
      </c>
      <c r="T23" s="13">
        <f t="shared" si="9"/>
        <v>16.666666666666668</v>
      </c>
      <c r="U23" s="13">
        <f t="shared" si="10"/>
        <v>0.16666666666666669</v>
      </c>
      <c r="V23" s="13">
        <f t="shared" si="11"/>
        <v>0.16666666666666669</v>
      </c>
      <c r="W23" s="16">
        <v>1</v>
      </c>
      <c r="X23" s="16">
        <v>99.555700000000002</v>
      </c>
      <c r="Y23" s="16">
        <v>1</v>
      </c>
      <c r="Z23" s="13">
        <f t="shared" si="12"/>
        <v>22.222222222222221</v>
      </c>
      <c r="AA23" s="13">
        <f t="shared" si="13"/>
        <v>0.22222222222222221</v>
      </c>
      <c r="AB23" s="13">
        <f t="shared" si="14"/>
        <v>0.22222222222222221</v>
      </c>
      <c r="AC23" s="16">
        <v>0</v>
      </c>
      <c r="AD23" s="16">
        <v>0</v>
      </c>
      <c r="AE23" s="16">
        <v>0</v>
      </c>
      <c r="AF23" s="13" t="str">
        <f t="shared" si="15"/>
        <v/>
      </c>
      <c r="AG23" s="13" t="str">
        <f t="shared" si="16"/>
        <v>не применяется</v>
      </c>
      <c r="AH23" s="13" t="str">
        <f t="shared" si="17"/>
        <v/>
      </c>
      <c r="AI23" s="16">
        <v>1</v>
      </c>
      <c r="AJ23" s="16">
        <v>0</v>
      </c>
      <c r="AK23" s="16">
        <v>1</v>
      </c>
      <c r="AL23" s="13">
        <f t="shared" si="18"/>
        <v>11.111111111111111</v>
      </c>
      <c r="AM23" s="13">
        <f t="shared" si="19"/>
        <v>0.1111111111111111</v>
      </c>
      <c r="AN23" s="13">
        <f t="shared" si="20"/>
        <v>0.1111111111111111</v>
      </c>
      <c r="AO23" s="16">
        <v>1</v>
      </c>
      <c r="AP23" s="16">
        <v>33</v>
      </c>
      <c r="AQ23" s="16">
        <v>0</v>
      </c>
      <c r="AR23" s="13">
        <f t="shared" si="21"/>
        <v>11.111111111111111</v>
      </c>
      <c r="AS23" s="13">
        <f t="shared" si="22"/>
        <v>0</v>
      </c>
      <c r="AT23" s="13">
        <f t="shared" si="23"/>
        <v>0</v>
      </c>
      <c r="AU23" s="13">
        <f t="shared" si="24"/>
        <v>2</v>
      </c>
      <c r="AV23" s="13">
        <f t="shared" si="25"/>
        <v>1.5</v>
      </c>
      <c r="AW23" s="13">
        <f t="shared" si="26"/>
        <v>1.5</v>
      </c>
      <c r="AX23" s="13">
        <f t="shared" si="27"/>
        <v>2</v>
      </c>
      <c r="AY23" s="13" t="str">
        <f t="shared" si="28"/>
        <v/>
      </c>
      <c r="AZ23" s="13">
        <f t="shared" si="29"/>
        <v>1</v>
      </c>
      <c r="BA23" s="13">
        <f t="shared" si="30"/>
        <v>1</v>
      </c>
      <c r="BB23" s="13">
        <f t="shared" si="31"/>
        <v>9</v>
      </c>
    </row>
    <row r="24" spans="1:54" ht="25.5" x14ac:dyDescent="0.2">
      <c r="A24" s="1" t="s">
        <v>46</v>
      </c>
      <c r="B24" s="11" t="s">
        <v>25</v>
      </c>
      <c r="C24" s="13">
        <f t="shared" si="0"/>
        <v>0.86563333333333325</v>
      </c>
      <c r="D24" s="13">
        <f t="shared" si="1"/>
        <v>1</v>
      </c>
      <c r="E24" s="16">
        <v>1</v>
      </c>
      <c r="F24" s="16">
        <v>89.534999999999997</v>
      </c>
      <c r="G24" s="13">
        <f t="shared" si="2"/>
        <v>22.222222222222221</v>
      </c>
      <c r="H24" s="13">
        <f t="shared" si="3"/>
        <v>22.222222222222221</v>
      </c>
      <c r="I24" s="13">
        <f t="shared" si="4"/>
        <v>0.19896666666666665</v>
      </c>
      <c r="J24" s="13">
        <f t="shared" si="5"/>
        <v>0.19896666666666665</v>
      </c>
      <c r="K24" s="16">
        <v>1</v>
      </c>
      <c r="L24" s="16">
        <v>100</v>
      </c>
      <c r="M24" s="16">
        <v>1</v>
      </c>
      <c r="N24" s="13">
        <f t="shared" si="6"/>
        <v>16.666666666666668</v>
      </c>
      <c r="O24" s="13">
        <f t="shared" si="7"/>
        <v>0.16666666666666669</v>
      </c>
      <c r="P24" s="13">
        <f t="shared" si="8"/>
        <v>0.16666666666666669</v>
      </c>
      <c r="Q24" s="16">
        <v>1</v>
      </c>
      <c r="R24" s="16">
        <v>100</v>
      </c>
      <c r="S24" s="16">
        <v>1</v>
      </c>
      <c r="T24" s="13">
        <f t="shared" si="9"/>
        <v>16.666666666666668</v>
      </c>
      <c r="U24" s="13">
        <f t="shared" si="10"/>
        <v>0.16666666666666669</v>
      </c>
      <c r="V24" s="13">
        <f t="shared" si="11"/>
        <v>0.16666666666666669</v>
      </c>
      <c r="W24" s="16">
        <v>1</v>
      </c>
      <c r="X24" s="16">
        <v>94.876800000000003</v>
      </c>
      <c r="Y24" s="16">
        <v>1</v>
      </c>
      <c r="Z24" s="13">
        <f t="shared" si="12"/>
        <v>22.222222222222221</v>
      </c>
      <c r="AA24" s="13">
        <f t="shared" si="13"/>
        <v>0.22222222222222221</v>
      </c>
      <c r="AB24" s="13">
        <f t="shared" si="14"/>
        <v>0.22222222222222221</v>
      </c>
      <c r="AC24" s="16">
        <v>0</v>
      </c>
      <c r="AD24" s="16">
        <v>0</v>
      </c>
      <c r="AE24" s="16">
        <v>0</v>
      </c>
      <c r="AF24" s="13" t="str">
        <f t="shared" si="15"/>
        <v/>
      </c>
      <c r="AG24" s="13" t="str">
        <f t="shared" si="16"/>
        <v>не применяется</v>
      </c>
      <c r="AH24" s="13" t="str">
        <f t="shared" si="17"/>
        <v/>
      </c>
      <c r="AI24" s="16">
        <v>1</v>
      </c>
      <c r="AJ24" s="16">
        <v>0</v>
      </c>
      <c r="AK24" s="16">
        <v>1</v>
      </c>
      <c r="AL24" s="13">
        <f t="shared" si="18"/>
        <v>11.111111111111111</v>
      </c>
      <c r="AM24" s="13">
        <f t="shared" si="19"/>
        <v>0.1111111111111111</v>
      </c>
      <c r="AN24" s="13">
        <f t="shared" si="20"/>
        <v>0.1111111111111111</v>
      </c>
      <c r="AO24" s="16">
        <v>1</v>
      </c>
      <c r="AP24" s="16">
        <v>47</v>
      </c>
      <c r="AQ24" s="16">
        <v>0</v>
      </c>
      <c r="AR24" s="13">
        <f t="shared" si="21"/>
        <v>11.111111111111111</v>
      </c>
      <c r="AS24" s="13">
        <f t="shared" si="22"/>
        <v>0</v>
      </c>
      <c r="AT24" s="13">
        <f t="shared" si="23"/>
        <v>0</v>
      </c>
      <c r="AU24" s="13">
        <f t="shared" si="24"/>
        <v>2</v>
      </c>
      <c r="AV24" s="13">
        <f t="shared" si="25"/>
        <v>1.5</v>
      </c>
      <c r="AW24" s="13">
        <f t="shared" si="26"/>
        <v>1.5</v>
      </c>
      <c r="AX24" s="13">
        <f t="shared" si="27"/>
        <v>2</v>
      </c>
      <c r="AY24" s="13" t="str">
        <f t="shared" si="28"/>
        <v/>
      </c>
      <c r="AZ24" s="13">
        <f t="shared" si="29"/>
        <v>1</v>
      </c>
      <c r="BA24" s="13">
        <f t="shared" si="30"/>
        <v>1</v>
      </c>
      <c r="BB24" s="13">
        <f t="shared" si="31"/>
        <v>9</v>
      </c>
    </row>
    <row r="25" spans="1:54" ht="38.25" x14ac:dyDescent="0.2">
      <c r="A25" s="1" t="s">
        <v>47</v>
      </c>
      <c r="B25" s="11" t="s">
        <v>26</v>
      </c>
      <c r="C25" s="13">
        <f t="shared" si="0"/>
        <v>0.71916666666666673</v>
      </c>
      <c r="D25" s="13">
        <f t="shared" si="1"/>
        <v>1</v>
      </c>
      <c r="E25" s="16">
        <v>1</v>
      </c>
      <c r="F25" s="16">
        <v>98.625</v>
      </c>
      <c r="G25" s="13">
        <f t="shared" si="2"/>
        <v>22.222222222222221</v>
      </c>
      <c r="H25" s="13">
        <f t="shared" si="3"/>
        <v>22.222222222222221</v>
      </c>
      <c r="I25" s="13">
        <f t="shared" si="4"/>
        <v>0.21916666666666665</v>
      </c>
      <c r="J25" s="13">
        <f t="shared" si="5"/>
        <v>0.21916666666666665</v>
      </c>
      <c r="K25" s="16">
        <v>1</v>
      </c>
      <c r="L25" s="16">
        <v>0</v>
      </c>
      <c r="M25" s="16">
        <v>0</v>
      </c>
      <c r="N25" s="13">
        <f t="shared" si="6"/>
        <v>16.666666666666668</v>
      </c>
      <c r="O25" s="13">
        <f t="shared" si="7"/>
        <v>0</v>
      </c>
      <c r="P25" s="13">
        <f t="shared" si="8"/>
        <v>0</v>
      </c>
      <c r="Q25" s="16">
        <v>1</v>
      </c>
      <c r="R25" s="16">
        <v>100</v>
      </c>
      <c r="S25" s="16">
        <v>1</v>
      </c>
      <c r="T25" s="13">
        <f t="shared" si="9"/>
        <v>16.666666666666668</v>
      </c>
      <c r="U25" s="13">
        <f t="shared" si="10"/>
        <v>0.16666666666666669</v>
      </c>
      <c r="V25" s="13">
        <f t="shared" si="11"/>
        <v>0.16666666666666669</v>
      </c>
      <c r="W25" s="16">
        <v>1</v>
      </c>
      <c r="X25" s="16">
        <v>99.972700000000003</v>
      </c>
      <c r="Y25" s="16">
        <v>1</v>
      </c>
      <c r="Z25" s="13">
        <f t="shared" si="12"/>
        <v>22.222222222222221</v>
      </c>
      <c r="AA25" s="13">
        <f t="shared" si="13"/>
        <v>0.22222222222222221</v>
      </c>
      <c r="AB25" s="13">
        <f t="shared" si="14"/>
        <v>0.22222222222222221</v>
      </c>
      <c r="AC25" s="16">
        <v>0</v>
      </c>
      <c r="AD25" s="16">
        <v>0</v>
      </c>
      <c r="AE25" s="16">
        <v>0</v>
      </c>
      <c r="AF25" s="13" t="str">
        <f t="shared" si="15"/>
        <v/>
      </c>
      <c r="AG25" s="13" t="str">
        <f t="shared" si="16"/>
        <v>не применяется</v>
      </c>
      <c r="AH25" s="13" t="str">
        <f t="shared" si="17"/>
        <v/>
      </c>
      <c r="AI25" s="16">
        <v>1</v>
      </c>
      <c r="AJ25" s="16">
        <v>0</v>
      </c>
      <c r="AK25" s="16">
        <v>1</v>
      </c>
      <c r="AL25" s="13">
        <f t="shared" si="18"/>
        <v>11.111111111111111</v>
      </c>
      <c r="AM25" s="13">
        <f t="shared" si="19"/>
        <v>0.1111111111111111</v>
      </c>
      <c r="AN25" s="13">
        <f t="shared" si="20"/>
        <v>0.1111111111111111</v>
      </c>
      <c r="AO25" s="16">
        <v>1</v>
      </c>
      <c r="AP25" s="16">
        <v>39</v>
      </c>
      <c r="AQ25" s="16">
        <v>0</v>
      </c>
      <c r="AR25" s="13">
        <f t="shared" si="21"/>
        <v>11.111111111111111</v>
      </c>
      <c r="AS25" s="13">
        <f t="shared" si="22"/>
        <v>0</v>
      </c>
      <c r="AT25" s="13">
        <f t="shared" si="23"/>
        <v>0</v>
      </c>
      <c r="AU25" s="13">
        <f t="shared" si="24"/>
        <v>2</v>
      </c>
      <c r="AV25" s="13">
        <f t="shared" si="25"/>
        <v>1.5</v>
      </c>
      <c r="AW25" s="13">
        <f t="shared" si="26"/>
        <v>1.5</v>
      </c>
      <c r="AX25" s="13">
        <f t="shared" si="27"/>
        <v>2</v>
      </c>
      <c r="AY25" s="13" t="str">
        <f t="shared" si="28"/>
        <v/>
      </c>
      <c r="AZ25" s="13">
        <f t="shared" si="29"/>
        <v>1</v>
      </c>
      <c r="BA25" s="13">
        <f t="shared" si="30"/>
        <v>1</v>
      </c>
      <c r="BB25" s="13">
        <f t="shared" si="31"/>
        <v>9</v>
      </c>
    </row>
    <row r="26" spans="1:54" ht="38.25" x14ac:dyDescent="0.2">
      <c r="A26" s="1" t="s">
        <v>48</v>
      </c>
      <c r="B26" s="11" t="s">
        <v>27</v>
      </c>
      <c r="C26" s="13">
        <f t="shared" si="0"/>
        <v>0.37811111111111112</v>
      </c>
      <c r="D26" s="13">
        <f t="shared" si="1"/>
        <v>1</v>
      </c>
      <c r="E26" s="16">
        <v>1</v>
      </c>
      <c r="F26" s="16">
        <v>82.65</v>
      </c>
      <c r="G26" s="13">
        <f t="shared" si="2"/>
        <v>22.222222222222221</v>
      </c>
      <c r="H26" s="13">
        <f t="shared" si="3"/>
        <v>22.222222222222221</v>
      </c>
      <c r="I26" s="13">
        <f t="shared" si="4"/>
        <v>0.18366666666666667</v>
      </c>
      <c r="J26" s="13">
        <f t="shared" si="5"/>
        <v>0.18366666666666667</v>
      </c>
      <c r="K26" s="16">
        <v>1</v>
      </c>
      <c r="L26" s="16">
        <v>50</v>
      </c>
      <c r="M26" s="16">
        <v>0.5</v>
      </c>
      <c r="N26" s="13">
        <f t="shared" si="6"/>
        <v>16.666666666666668</v>
      </c>
      <c r="O26" s="13">
        <f t="shared" si="7"/>
        <v>8.3333333333333343E-2</v>
      </c>
      <c r="P26" s="13">
        <f t="shared" si="8"/>
        <v>8.3333333333333343E-2</v>
      </c>
      <c r="Q26" s="16">
        <v>1</v>
      </c>
      <c r="R26" s="16">
        <v>100</v>
      </c>
      <c r="S26" s="16">
        <v>1</v>
      </c>
      <c r="T26" s="13">
        <f t="shared" si="9"/>
        <v>16.666666666666668</v>
      </c>
      <c r="U26" s="13">
        <f t="shared" si="10"/>
        <v>0.16666666666666669</v>
      </c>
      <c r="V26" s="13">
        <f t="shared" si="11"/>
        <v>0.16666666666666669</v>
      </c>
      <c r="W26" s="16">
        <v>1</v>
      </c>
      <c r="X26" s="16">
        <v>56.361199999999997</v>
      </c>
      <c r="Y26" s="16">
        <v>0</v>
      </c>
      <c r="Z26" s="13">
        <f t="shared" si="12"/>
        <v>22.222222222222221</v>
      </c>
      <c r="AA26" s="13">
        <f t="shared" si="13"/>
        <v>0</v>
      </c>
      <c r="AB26" s="13">
        <f t="shared" si="14"/>
        <v>0</v>
      </c>
      <c r="AC26" s="16">
        <v>0</v>
      </c>
      <c r="AD26" s="16">
        <v>0</v>
      </c>
      <c r="AE26" s="16">
        <v>0</v>
      </c>
      <c r="AF26" s="13" t="str">
        <f t="shared" si="15"/>
        <v/>
      </c>
      <c r="AG26" s="13" t="str">
        <f t="shared" si="16"/>
        <v>не применяется</v>
      </c>
      <c r="AH26" s="13" t="str">
        <f t="shared" si="17"/>
        <v/>
      </c>
      <c r="AI26" s="16">
        <v>1</v>
      </c>
      <c r="AJ26" s="16">
        <v>0</v>
      </c>
      <c r="AK26" s="16">
        <v>1</v>
      </c>
      <c r="AL26" s="13">
        <f t="shared" si="18"/>
        <v>11.111111111111111</v>
      </c>
      <c r="AM26" s="13">
        <f t="shared" si="19"/>
        <v>0.1111111111111111</v>
      </c>
      <c r="AN26" s="13">
        <f t="shared" si="20"/>
        <v>0.1111111111111111</v>
      </c>
      <c r="AO26" s="16">
        <v>1</v>
      </c>
      <c r="AP26" s="16">
        <v>34</v>
      </c>
      <c r="AQ26" s="16">
        <v>0</v>
      </c>
      <c r="AR26" s="13">
        <f t="shared" si="21"/>
        <v>11.111111111111111</v>
      </c>
      <c r="AS26" s="13">
        <f t="shared" si="22"/>
        <v>0</v>
      </c>
      <c r="AT26" s="13">
        <f t="shared" si="23"/>
        <v>0</v>
      </c>
      <c r="AU26" s="13">
        <f t="shared" si="24"/>
        <v>2</v>
      </c>
      <c r="AV26" s="13">
        <f t="shared" si="25"/>
        <v>1.5</v>
      </c>
      <c r="AW26" s="13">
        <f t="shared" si="26"/>
        <v>1.5</v>
      </c>
      <c r="AX26" s="13">
        <f t="shared" si="27"/>
        <v>2</v>
      </c>
      <c r="AY26" s="13" t="str">
        <f t="shared" si="28"/>
        <v/>
      </c>
      <c r="AZ26" s="13">
        <f t="shared" si="29"/>
        <v>1</v>
      </c>
      <c r="BA26" s="13">
        <f t="shared" si="30"/>
        <v>1</v>
      </c>
      <c r="BB26" s="13">
        <f t="shared" si="31"/>
        <v>9</v>
      </c>
    </row>
    <row r="27" spans="1:54" ht="25.5" x14ac:dyDescent="0.2">
      <c r="A27" s="1" t="s">
        <v>49</v>
      </c>
      <c r="B27" s="11" t="s">
        <v>28</v>
      </c>
      <c r="C27" s="13">
        <f t="shared" si="0"/>
        <v>0.3888888888888889</v>
      </c>
      <c r="D27" s="13">
        <f t="shared" si="1"/>
        <v>1</v>
      </c>
      <c r="E27" s="16">
        <v>1</v>
      </c>
      <c r="F27" s="16">
        <v>100</v>
      </c>
      <c r="G27" s="13">
        <f t="shared" si="2"/>
        <v>22.222222222222221</v>
      </c>
      <c r="H27" s="13">
        <f t="shared" si="3"/>
        <v>22.222222222222221</v>
      </c>
      <c r="I27" s="13">
        <f t="shared" si="4"/>
        <v>0.22222222222222221</v>
      </c>
      <c r="J27" s="13">
        <f t="shared" si="5"/>
        <v>0.22222222222222221</v>
      </c>
      <c r="K27" s="16">
        <v>1</v>
      </c>
      <c r="L27" s="16">
        <v>0</v>
      </c>
      <c r="M27" s="16">
        <v>0</v>
      </c>
      <c r="N27" s="13">
        <f t="shared" si="6"/>
        <v>16.666666666666668</v>
      </c>
      <c r="O27" s="13">
        <f t="shared" si="7"/>
        <v>0</v>
      </c>
      <c r="P27" s="13">
        <f t="shared" si="8"/>
        <v>0</v>
      </c>
      <c r="Q27" s="16">
        <v>1</v>
      </c>
      <c r="R27" s="16">
        <v>0</v>
      </c>
      <c r="S27" s="16">
        <v>0</v>
      </c>
      <c r="T27" s="13">
        <f t="shared" si="9"/>
        <v>16.666666666666668</v>
      </c>
      <c r="U27" s="13">
        <f t="shared" si="10"/>
        <v>0</v>
      </c>
      <c r="V27" s="13">
        <f t="shared" si="11"/>
        <v>0</v>
      </c>
      <c r="W27" s="16">
        <v>1</v>
      </c>
      <c r="X27" s="16">
        <v>0</v>
      </c>
      <c r="Y27" s="16">
        <v>0</v>
      </c>
      <c r="Z27" s="13">
        <f t="shared" si="12"/>
        <v>22.222222222222221</v>
      </c>
      <c r="AA27" s="13">
        <f t="shared" si="13"/>
        <v>0</v>
      </c>
      <c r="AB27" s="13">
        <f t="shared" si="14"/>
        <v>0</v>
      </c>
      <c r="AC27" s="16">
        <v>0</v>
      </c>
      <c r="AD27" s="16">
        <v>0</v>
      </c>
      <c r="AE27" s="16">
        <v>0</v>
      </c>
      <c r="AF27" s="13" t="str">
        <f t="shared" si="15"/>
        <v/>
      </c>
      <c r="AG27" s="13" t="str">
        <f t="shared" si="16"/>
        <v>не применяется</v>
      </c>
      <c r="AH27" s="13" t="str">
        <f t="shared" si="17"/>
        <v/>
      </c>
      <c r="AI27" s="16">
        <v>1</v>
      </c>
      <c r="AJ27" s="16">
        <v>0</v>
      </c>
      <c r="AK27" s="16">
        <v>0</v>
      </c>
      <c r="AL27" s="13">
        <f t="shared" si="18"/>
        <v>11.111111111111111</v>
      </c>
      <c r="AM27" s="13">
        <f t="shared" si="19"/>
        <v>0</v>
      </c>
      <c r="AN27" s="13">
        <f t="shared" si="20"/>
        <v>0</v>
      </c>
      <c r="AO27" s="16">
        <v>1</v>
      </c>
      <c r="AP27" s="16">
        <v>17</v>
      </c>
      <c r="AQ27" s="16">
        <v>0</v>
      </c>
      <c r="AR27" s="13">
        <f t="shared" si="21"/>
        <v>11.111111111111111</v>
      </c>
      <c r="AS27" s="13">
        <f t="shared" si="22"/>
        <v>0</v>
      </c>
      <c r="AT27" s="13">
        <f t="shared" si="23"/>
        <v>0</v>
      </c>
      <c r="AU27" s="13">
        <f t="shared" si="24"/>
        <v>2</v>
      </c>
      <c r="AV27" s="13">
        <f t="shared" si="25"/>
        <v>1.5</v>
      </c>
      <c r="AW27" s="13">
        <f t="shared" si="26"/>
        <v>1.5</v>
      </c>
      <c r="AX27" s="13">
        <f t="shared" si="27"/>
        <v>2</v>
      </c>
      <c r="AY27" s="13" t="str">
        <f t="shared" si="28"/>
        <v/>
      </c>
      <c r="AZ27" s="13">
        <f t="shared" si="29"/>
        <v>1</v>
      </c>
      <c r="BA27" s="13">
        <f t="shared" si="30"/>
        <v>1</v>
      </c>
      <c r="BB27" s="13">
        <f t="shared" si="31"/>
        <v>9</v>
      </c>
    </row>
    <row r="28" spans="1:54" ht="38.25" x14ac:dyDescent="0.2">
      <c r="A28" s="1" t="s">
        <v>150</v>
      </c>
      <c r="B28" s="11" t="s">
        <v>147</v>
      </c>
      <c r="C28" s="13">
        <f t="shared" si="0"/>
        <v>0.71666666666666656</v>
      </c>
      <c r="D28" s="13">
        <f t="shared" si="1"/>
        <v>1</v>
      </c>
      <c r="E28" s="16">
        <v>1</v>
      </c>
      <c r="F28" s="16">
        <v>97.5</v>
      </c>
      <c r="G28" s="13">
        <f t="shared" si="2"/>
        <v>22.222222222222221</v>
      </c>
      <c r="H28" s="13">
        <f t="shared" si="3"/>
        <v>22.222222222222221</v>
      </c>
      <c r="I28" s="13">
        <f t="shared" si="4"/>
        <v>0.21666666666666665</v>
      </c>
      <c r="J28" s="13">
        <f t="shared" si="5"/>
        <v>0.21666666666666665</v>
      </c>
      <c r="K28" s="16">
        <v>1</v>
      </c>
      <c r="L28" s="16">
        <v>0</v>
      </c>
      <c r="M28" s="16">
        <v>0</v>
      </c>
      <c r="N28" s="13">
        <f t="shared" si="6"/>
        <v>16.666666666666668</v>
      </c>
      <c r="O28" s="13">
        <f t="shared" si="7"/>
        <v>0</v>
      </c>
      <c r="P28" s="13">
        <f t="shared" si="8"/>
        <v>0</v>
      </c>
      <c r="Q28" s="16">
        <v>1</v>
      </c>
      <c r="R28" s="16">
        <v>100</v>
      </c>
      <c r="S28" s="16">
        <v>1</v>
      </c>
      <c r="T28" s="13">
        <f t="shared" si="9"/>
        <v>16.666666666666668</v>
      </c>
      <c r="U28" s="13">
        <f t="shared" si="10"/>
        <v>0.16666666666666669</v>
      </c>
      <c r="V28" s="13">
        <f t="shared" si="11"/>
        <v>0.16666666666666669</v>
      </c>
      <c r="W28" s="16">
        <v>1</v>
      </c>
      <c r="X28" s="16">
        <v>99.880600000000001</v>
      </c>
      <c r="Y28" s="16">
        <v>1</v>
      </c>
      <c r="Z28" s="13">
        <f t="shared" si="12"/>
        <v>22.222222222222221</v>
      </c>
      <c r="AA28" s="13">
        <f t="shared" si="13"/>
        <v>0.22222222222222221</v>
      </c>
      <c r="AB28" s="13">
        <f t="shared" si="14"/>
        <v>0.22222222222222221</v>
      </c>
      <c r="AC28" s="16">
        <v>0</v>
      </c>
      <c r="AD28" s="16">
        <v>0</v>
      </c>
      <c r="AE28" s="16">
        <v>0</v>
      </c>
      <c r="AF28" s="13" t="str">
        <f t="shared" si="15"/>
        <v/>
      </c>
      <c r="AG28" s="13" t="str">
        <f t="shared" si="16"/>
        <v>не применяется</v>
      </c>
      <c r="AH28" s="13" t="str">
        <f t="shared" si="17"/>
        <v/>
      </c>
      <c r="AI28" s="16">
        <v>1</v>
      </c>
      <c r="AJ28" s="16">
        <v>0</v>
      </c>
      <c r="AK28" s="16">
        <v>1</v>
      </c>
      <c r="AL28" s="13">
        <f t="shared" si="18"/>
        <v>11.111111111111111</v>
      </c>
      <c r="AM28" s="13">
        <f t="shared" si="19"/>
        <v>0.1111111111111111</v>
      </c>
      <c r="AN28" s="13">
        <f t="shared" si="20"/>
        <v>0.1111111111111111</v>
      </c>
      <c r="AO28" s="16">
        <v>1</v>
      </c>
      <c r="AP28" s="16">
        <v>59</v>
      </c>
      <c r="AQ28" s="16">
        <v>0</v>
      </c>
      <c r="AR28" s="13">
        <f t="shared" si="21"/>
        <v>11.111111111111111</v>
      </c>
      <c r="AS28" s="13">
        <f t="shared" si="22"/>
        <v>0</v>
      </c>
      <c r="AT28" s="13">
        <f t="shared" si="23"/>
        <v>0</v>
      </c>
      <c r="AU28" s="13">
        <f t="shared" si="24"/>
        <v>2</v>
      </c>
      <c r="AV28" s="13">
        <f t="shared" si="25"/>
        <v>1.5</v>
      </c>
      <c r="AW28" s="13">
        <f t="shared" si="26"/>
        <v>1.5</v>
      </c>
      <c r="AX28" s="13">
        <f t="shared" si="27"/>
        <v>2</v>
      </c>
      <c r="AY28" s="13" t="str">
        <f t="shared" si="28"/>
        <v/>
      </c>
      <c r="AZ28" s="13">
        <f t="shared" si="29"/>
        <v>1</v>
      </c>
      <c r="BA28" s="13">
        <f t="shared" si="30"/>
        <v>1</v>
      </c>
      <c r="BB28" s="13">
        <f t="shared" si="31"/>
        <v>9</v>
      </c>
    </row>
    <row r="29" spans="1:54" ht="25.5" x14ac:dyDescent="0.2">
      <c r="A29" s="1" t="s">
        <v>50</v>
      </c>
      <c r="B29" s="11" t="s">
        <v>29</v>
      </c>
      <c r="C29" s="13">
        <f t="shared" si="0"/>
        <v>0.71236666666666659</v>
      </c>
      <c r="D29" s="13">
        <f t="shared" si="1"/>
        <v>1</v>
      </c>
      <c r="E29" s="16">
        <v>1</v>
      </c>
      <c r="F29" s="16">
        <v>95.564999999999998</v>
      </c>
      <c r="G29" s="13">
        <f t="shared" si="2"/>
        <v>22.222222222222221</v>
      </c>
      <c r="H29" s="13">
        <f t="shared" si="3"/>
        <v>22.222222222222221</v>
      </c>
      <c r="I29" s="13">
        <f t="shared" si="4"/>
        <v>0.21236666666666665</v>
      </c>
      <c r="J29" s="13">
        <f t="shared" si="5"/>
        <v>0.21236666666666665</v>
      </c>
      <c r="K29" s="16">
        <v>1</v>
      </c>
      <c r="L29" s="16">
        <v>100</v>
      </c>
      <c r="M29" s="16">
        <v>1</v>
      </c>
      <c r="N29" s="13">
        <f t="shared" si="6"/>
        <v>16.666666666666668</v>
      </c>
      <c r="O29" s="13">
        <f t="shared" si="7"/>
        <v>0.16666666666666669</v>
      </c>
      <c r="P29" s="13">
        <f t="shared" si="8"/>
        <v>0.16666666666666669</v>
      </c>
      <c r="Q29" s="16">
        <v>1</v>
      </c>
      <c r="R29" s="16">
        <v>100</v>
      </c>
      <c r="S29" s="16">
        <v>1</v>
      </c>
      <c r="T29" s="13">
        <f t="shared" si="9"/>
        <v>16.666666666666668</v>
      </c>
      <c r="U29" s="13">
        <f t="shared" si="10"/>
        <v>0.16666666666666669</v>
      </c>
      <c r="V29" s="13">
        <f t="shared" si="11"/>
        <v>0.16666666666666669</v>
      </c>
      <c r="W29" s="16">
        <v>1</v>
      </c>
      <c r="X29" s="16">
        <v>99.998800000000003</v>
      </c>
      <c r="Y29" s="16">
        <v>1</v>
      </c>
      <c r="Z29" s="13">
        <f t="shared" si="12"/>
        <v>22.222222222222221</v>
      </c>
      <c r="AA29" s="13">
        <f t="shared" si="13"/>
        <v>0.22222222222222221</v>
      </c>
      <c r="AB29" s="13">
        <f t="shared" si="14"/>
        <v>0.22222222222222221</v>
      </c>
      <c r="AC29" s="16">
        <v>0</v>
      </c>
      <c r="AD29" s="16">
        <v>0</v>
      </c>
      <c r="AE29" s="16">
        <v>0</v>
      </c>
      <c r="AF29" s="13" t="str">
        <f t="shared" si="15"/>
        <v/>
      </c>
      <c r="AG29" s="13" t="str">
        <f t="shared" si="16"/>
        <v>не применяется</v>
      </c>
      <c r="AH29" s="13" t="str">
        <f t="shared" si="17"/>
        <v/>
      </c>
      <c r="AI29" s="16">
        <v>1</v>
      </c>
      <c r="AJ29" s="16">
        <v>0</v>
      </c>
      <c r="AK29" s="16">
        <v>1</v>
      </c>
      <c r="AL29" s="13">
        <f t="shared" si="18"/>
        <v>11.111111111111111</v>
      </c>
      <c r="AM29" s="13">
        <f t="shared" si="19"/>
        <v>0.1111111111111111</v>
      </c>
      <c r="AN29" s="13">
        <f t="shared" si="20"/>
        <v>0.1111111111111111</v>
      </c>
      <c r="AO29" s="16">
        <v>1</v>
      </c>
      <c r="AP29" s="16">
        <v>136</v>
      </c>
      <c r="AQ29" s="16">
        <v>0</v>
      </c>
      <c r="AR29" s="13">
        <f t="shared" si="21"/>
        <v>11.111111111111111</v>
      </c>
      <c r="AS29" s="13">
        <f t="shared" si="22"/>
        <v>0</v>
      </c>
      <c r="AT29" s="13">
        <f t="shared" si="23"/>
        <v>0</v>
      </c>
      <c r="AU29" s="13">
        <f t="shared" si="24"/>
        <v>2</v>
      </c>
      <c r="AV29" s="13">
        <f t="shared" si="25"/>
        <v>1.5</v>
      </c>
      <c r="AW29" s="13">
        <f t="shared" si="26"/>
        <v>1.5</v>
      </c>
      <c r="AX29" s="13">
        <f t="shared" si="27"/>
        <v>2</v>
      </c>
      <c r="AY29" s="13" t="str">
        <f t="shared" si="28"/>
        <v/>
      </c>
      <c r="AZ29" s="13">
        <f t="shared" si="29"/>
        <v>1</v>
      </c>
      <c r="BA29" s="13">
        <f t="shared" si="30"/>
        <v>1</v>
      </c>
      <c r="BB29" s="13">
        <f t="shared" si="31"/>
        <v>9</v>
      </c>
    </row>
    <row r="30" spans="1:54" ht="25.5" x14ac:dyDescent="0.2">
      <c r="A30" s="1" t="s">
        <v>51</v>
      </c>
      <c r="B30" s="11" t="s">
        <v>30</v>
      </c>
      <c r="C30" s="13">
        <f t="shared" si="0"/>
        <v>0.72222222222222232</v>
      </c>
      <c r="D30" s="13">
        <f t="shared" si="1"/>
        <v>1</v>
      </c>
      <c r="E30" s="16">
        <v>1</v>
      </c>
      <c r="F30" s="16">
        <v>100</v>
      </c>
      <c r="G30" s="13">
        <f t="shared" si="2"/>
        <v>22.222222222222221</v>
      </c>
      <c r="H30" s="13">
        <f t="shared" si="3"/>
        <v>22.222222222222221</v>
      </c>
      <c r="I30" s="13">
        <f t="shared" si="4"/>
        <v>0.22222222222222221</v>
      </c>
      <c r="J30" s="13">
        <f t="shared" si="5"/>
        <v>0.22222222222222221</v>
      </c>
      <c r="K30" s="16">
        <v>1</v>
      </c>
      <c r="L30" s="16">
        <v>0</v>
      </c>
      <c r="M30" s="16">
        <v>0</v>
      </c>
      <c r="N30" s="13">
        <f t="shared" si="6"/>
        <v>16.666666666666668</v>
      </c>
      <c r="O30" s="13">
        <f t="shared" si="7"/>
        <v>0</v>
      </c>
      <c r="P30" s="13">
        <f t="shared" si="8"/>
        <v>0</v>
      </c>
      <c r="Q30" s="16">
        <v>1</v>
      </c>
      <c r="R30" s="16">
        <v>0</v>
      </c>
      <c r="S30" s="16">
        <v>0</v>
      </c>
      <c r="T30" s="13">
        <f t="shared" si="9"/>
        <v>16.666666666666668</v>
      </c>
      <c r="U30" s="13">
        <f t="shared" si="10"/>
        <v>0</v>
      </c>
      <c r="V30" s="13">
        <f t="shared" si="11"/>
        <v>0</v>
      </c>
      <c r="W30" s="16">
        <v>1</v>
      </c>
      <c r="X30" s="16">
        <v>100</v>
      </c>
      <c r="Y30" s="16">
        <v>1</v>
      </c>
      <c r="Z30" s="13">
        <f t="shared" si="12"/>
        <v>22.222222222222221</v>
      </c>
      <c r="AA30" s="13">
        <f t="shared" si="13"/>
        <v>0.22222222222222221</v>
      </c>
      <c r="AB30" s="13">
        <f t="shared" si="14"/>
        <v>0.22222222222222221</v>
      </c>
      <c r="AC30" s="16">
        <v>0</v>
      </c>
      <c r="AD30" s="16">
        <v>0</v>
      </c>
      <c r="AE30" s="16">
        <v>0</v>
      </c>
      <c r="AF30" s="13" t="str">
        <f t="shared" si="15"/>
        <v/>
      </c>
      <c r="AG30" s="13" t="str">
        <f t="shared" si="16"/>
        <v>не применяется</v>
      </c>
      <c r="AH30" s="13" t="str">
        <f t="shared" si="17"/>
        <v/>
      </c>
      <c r="AI30" s="16">
        <v>1</v>
      </c>
      <c r="AJ30" s="16">
        <v>0</v>
      </c>
      <c r="AK30" s="16">
        <v>1</v>
      </c>
      <c r="AL30" s="13">
        <f t="shared" si="18"/>
        <v>11.111111111111111</v>
      </c>
      <c r="AM30" s="13">
        <f t="shared" si="19"/>
        <v>0.1111111111111111</v>
      </c>
      <c r="AN30" s="13">
        <f t="shared" si="20"/>
        <v>0.1111111111111111</v>
      </c>
      <c r="AO30" s="16">
        <v>1</v>
      </c>
      <c r="AP30" s="16">
        <v>41</v>
      </c>
      <c r="AQ30" s="16">
        <v>0</v>
      </c>
      <c r="AR30" s="13">
        <f t="shared" si="21"/>
        <v>11.111111111111111</v>
      </c>
      <c r="AS30" s="13">
        <f t="shared" si="22"/>
        <v>0</v>
      </c>
      <c r="AT30" s="13">
        <f t="shared" si="23"/>
        <v>0</v>
      </c>
      <c r="AU30" s="13">
        <f t="shared" si="24"/>
        <v>2</v>
      </c>
      <c r="AV30" s="13">
        <f t="shared" si="25"/>
        <v>1.5</v>
      </c>
      <c r="AW30" s="13">
        <f t="shared" si="26"/>
        <v>1.5</v>
      </c>
      <c r="AX30" s="13">
        <f t="shared" si="27"/>
        <v>2</v>
      </c>
      <c r="AY30" s="13" t="str">
        <f t="shared" si="28"/>
        <v/>
      </c>
      <c r="AZ30" s="13">
        <f t="shared" si="29"/>
        <v>1</v>
      </c>
      <c r="BA30" s="13">
        <f t="shared" si="30"/>
        <v>1</v>
      </c>
      <c r="BB30" s="13">
        <f t="shared" si="31"/>
        <v>9</v>
      </c>
    </row>
    <row r="31" spans="1:54" ht="25.5" x14ac:dyDescent="0.2">
      <c r="A31" s="1" t="s">
        <v>52</v>
      </c>
      <c r="B31" s="11" t="s">
        <v>31</v>
      </c>
      <c r="C31" s="13">
        <f t="shared" si="0"/>
        <v>0.87369999999999992</v>
      </c>
      <c r="D31" s="13">
        <f t="shared" si="1"/>
        <v>1</v>
      </c>
      <c r="E31" s="16">
        <v>1</v>
      </c>
      <c r="F31" s="16">
        <v>93.165000000000006</v>
      </c>
      <c r="G31" s="13">
        <f t="shared" si="2"/>
        <v>22.222222222222221</v>
      </c>
      <c r="H31" s="13">
        <f t="shared" si="3"/>
        <v>22.222222222222221</v>
      </c>
      <c r="I31" s="13">
        <f t="shared" si="4"/>
        <v>0.20703333333333332</v>
      </c>
      <c r="J31" s="13">
        <f t="shared" si="5"/>
        <v>0.20703333333333332</v>
      </c>
      <c r="K31" s="16">
        <v>1</v>
      </c>
      <c r="L31" s="16">
        <v>100</v>
      </c>
      <c r="M31" s="16">
        <v>1</v>
      </c>
      <c r="N31" s="13">
        <f t="shared" si="6"/>
        <v>16.666666666666668</v>
      </c>
      <c r="O31" s="13">
        <f t="shared" si="7"/>
        <v>0.16666666666666669</v>
      </c>
      <c r="P31" s="13">
        <f t="shared" si="8"/>
        <v>0.16666666666666669</v>
      </c>
      <c r="Q31" s="16">
        <v>1</v>
      </c>
      <c r="R31" s="16">
        <v>100</v>
      </c>
      <c r="S31" s="16">
        <v>1</v>
      </c>
      <c r="T31" s="13">
        <f t="shared" si="9"/>
        <v>16.666666666666668</v>
      </c>
      <c r="U31" s="13">
        <f t="shared" si="10"/>
        <v>0.16666666666666669</v>
      </c>
      <c r="V31" s="13">
        <f t="shared" si="11"/>
        <v>0.16666666666666669</v>
      </c>
      <c r="W31" s="16">
        <v>1</v>
      </c>
      <c r="X31" s="16">
        <v>99.4739</v>
      </c>
      <c r="Y31" s="16">
        <v>1</v>
      </c>
      <c r="Z31" s="13">
        <f t="shared" si="12"/>
        <v>22.222222222222221</v>
      </c>
      <c r="AA31" s="13">
        <f t="shared" si="13"/>
        <v>0.22222222222222221</v>
      </c>
      <c r="AB31" s="13">
        <f t="shared" si="14"/>
        <v>0.22222222222222221</v>
      </c>
      <c r="AC31" s="16">
        <v>0</v>
      </c>
      <c r="AD31" s="16">
        <v>0</v>
      </c>
      <c r="AE31" s="16">
        <v>0</v>
      </c>
      <c r="AF31" s="13" t="str">
        <f t="shared" si="15"/>
        <v/>
      </c>
      <c r="AG31" s="13" t="str">
        <f t="shared" si="16"/>
        <v>не применяется</v>
      </c>
      <c r="AH31" s="13" t="str">
        <f t="shared" si="17"/>
        <v/>
      </c>
      <c r="AI31" s="16">
        <v>1</v>
      </c>
      <c r="AJ31" s="16">
        <v>0</v>
      </c>
      <c r="AK31" s="16">
        <v>1</v>
      </c>
      <c r="AL31" s="13">
        <f t="shared" si="18"/>
        <v>11.111111111111111</v>
      </c>
      <c r="AM31" s="13">
        <f t="shared" si="19"/>
        <v>0.1111111111111111</v>
      </c>
      <c r="AN31" s="13">
        <f t="shared" si="20"/>
        <v>0.1111111111111111</v>
      </c>
      <c r="AO31" s="16">
        <v>1</v>
      </c>
      <c r="AP31" s="16">
        <v>37</v>
      </c>
      <c r="AQ31" s="16">
        <v>0</v>
      </c>
      <c r="AR31" s="13">
        <f t="shared" si="21"/>
        <v>11.111111111111111</v>
      </c>
      <c r="AS31" s="13">
        <f t="shared" si="22"/>
        <v>0</v>
      </c>
      <c r="AT31" s="13">
        <f t="shared" si="23"/>
        <v>0</v>
      </c>
      <c r="AU31" s="13">
        <f t="shared" si="24"/>
        <v>2</v>
      </c>
      <c r="AV31" s="13">
        <f t="shared" si="25"/>
        <v>1.5</v>
      </c>
      <c r="AW31" s="13">
        <f t="shared" si="26"/>
        <v>1.5</v>
      </c>
      <c r="AX31" s="13">
        <f t="shared" si="27"/>
        <v>2</v>
      </c>
      <c r="AY31" s="13" t="str">
        <f t="shared" si="28"/>
        <v/>
      </c>
      <c r="AZ31" s="13">
        <f t="shared" si="29"/>
        <v>1</v>
      </c>
      <c r="BA31" s="13">
        <f t="shared" si="30"/>
        <v>1</v>
      </c>
      <c r="BB31" s="13">
        <f t="shared" si="31"/>
        <v>9</v>
      </c>
    </row>
    <row r="32" spans="1:54" ht="38.25" x14ac:dyDescent="0.2">
      <c r="A32" s="1" t="s">
        <v>53</v>
      </c>
      <c r="B32" s="11" t="s">
        <v>32</v>
      </c>
      <c r="C32" s="13">
        <f t="shared" si="0"/>
        <v>0.66666666666666674</v>
      </c>
      <c r="D32" s="13">
        <f t="shared" si="1"/>
        <v>1</v>
      </c>
      <c r="E32" s="16">
        <v>1</v>
      </c>
      <c r="F32" s="16">
        <v>0</v>
      </c>
      <c r="G32" s="13">
        <f t="shared" si="2"/>
        <v>22.222222222222221</v>
      </c>
      <c r="H32" s="13">
        <f t="shared" si="3"/>
        <v>22.222222222222221</v>
      </c>
      <c r="I32" s="13">
        <f t="shared" si="4"/>
        <v>0</v>
      </c>
      <c r="J32" s="13">
        <f t="shared" si="5"/>
        <v>0</v>
      </c>
      <c r="K32" s="16">
        <v>1</v>
      </c>
      <c r="L32" s="16">
        <v>100</v>
      </c>
      <c r="M32" s="16">
        <v>1</v>
      </c>
      <c r="N32" s="13">
        <f t="shared" si="6"/>
        <v>16.666666666666668</v>
      </c>
      <c r="O32" s="13">
        <f t="shared" si="7"/>
        <v>0.16666666666666669</v>
      </c>
      <c r="P32" s="13">
        <f t="shared" si="8"/>
        <v>0.16666666666666669</v>
      </c>
      <c r="Q32" s="16">
        <v>1</v>
      </c>
      <c r="R32" s="16">
        <v>100</v>
      </c>
      <c r="S32" s="16">
        <v>1</v>
      </c>
      <c r="T32" s="13">
        <f t="shared" si="9"/>
        <v>16.666666666666668</v>
      </c>
      <c r="U32" s="13">
        <f t="shared" si="10"/>
        <v>0.16666666666666669</v>
      </c>
      <c r="V32" s="13">
        <f t="shared" si="11"/>
        <v>0.16666666666666669</v>
      </c>
      <c r="W32" s="16">
        <v>1</v>
      </c>
      <c r="X32" s="16">
        <v>100</v>
      </c>
      <c r="Y32" s="16">
        <v>1</v>
      </c>
      <c r="Z32" s="13">
        <f t="shared" si="12"/>
        <v>22.222222222222221</v>
      </c>
      <c r="AA32" s="13">
        <f t="shared" si="13"/>
        <v>0.22222222222222221</v>
      </c>
      <c r="AB32" s="13">
        <f t="shared" si="14"/>
        <v>0.22222222222222221</v>
      </c>
      <c r="AC32" s="16">
        <v>0</v>
      </c>
      <c r="AD32" s="16">
        <v>0</v>
      </c>
      <c r="AE32" s="16">
        <v>0</v>
      </c>
      <c r="AF32" s="13" t="str">
        <f t="shared" si="15"/>
        <v/>
      </c>
      <c r="AG32" s="13" t="str">
        <f t="shared" si="16"/>
        <v>не применяется</v>
      </c>
      <c r="AH32" s="13" t="str">
        <f t="shared" si="17"/>
        <v/>
      </c>
      <c r="AI32" s="16">
        <v>1</v>
      </c>
      <c r="AJ32" s="16">
        <v>0</v>
      </c>
      <c r="AK32" s="16">
        <v>1</v>
      </c>
      <c r="AL32" s="13">
        <f t="shared" si="18"/>
        <v>11.111111111111111</v>
      </c>
      <c r="AM32" s="13">
        <f t="shared" si="19"/>
        <v>0.1111111111111111</v>
      </c>
      <c r="AN32" s="13">
        <f t="shared" si="20"/>
        <v>0.1111111111111111</v>
      </c>
      <c r="AO32" s="16">
        <v>1</v>
      </c>
      <c r="AP32" s="16">
        <v>28</v>
      </c>
      <c r="AQ32" s="16">
        <v>0</v>
      </c>
      <c r="AR32" s="13">
        <f t="shared" si="21"/>
        <v>11.111111111111111</v>
      </c>
      <c r="AS32" s="13">
        <f t="shared" si="22"/>
        <v>0</v>
      </c>
      <c r="AT32" s="13">
        <f t="shared" si="23"/>
        <v>0</v>
      </c>
      <c r="AU32" s="13">
        <f t="shared" si="24"/>
        <v>2</v>
      </c>
      <c r="AV32" s="13">
        <f t="shared" si="25"/>
        <v>1.5</v>
      </c>
      <c r="AW32" s="13">
        <f t="shared" si="26"/>
        <v>1.5</v>
      </c>
      <c r="AX32" s="13">
        <f t="shared" si="27"/>
        <v>2</v>
      </c>
      <c r="AY32" s="13" t="str">
        <f t="shared" si="28"/>
        <v/>
      </c>
      <c r="AZ32" s="13">
        <f t="shared" si="29"/>
        <v>1</v>
      </c>
      <c r="BA32" s="13">
        <f t="shared" si="30"/>
        <v>1</v>
      </c>
      <c r="BB32" s="13">
        <f t="shared" si="31"/>
        <v>9</v>
      </c>
    </row>
    <row r="33" spans="1:54" ht="25.5" x14ac:dyDescent="0.2">
      <c r="A33" s="1" t="s">
        <v>54</v>
      </c>
      <c r="B33" s="11" t="s">
        <v>33</v>
      </c>
      <c r="C33" s="13">
        <f t="shared" si="0"/>
        <v>0.3203111111111111</v>
      </c>
      <c r="D33" s="13">
        <f t="shared" si="1"/>
        <v>1</v>
      </c>
      <c r="E33" s="16">
        <v>1</v>
      </c>
      <c r="F33" s="16">
        <v>94.14</v>
      </c>
      <c r="G33" s="13">
        <f t="shared" si="2"/>
        <v>22.222222222222221</v>
      </c>
      <c r="H33" s="13">
        <f t="shared" si="3"/>
        <v>22.222222222222221</v>
      </c>
      <c r="I33" s="13">
        <f t="shared" si="4"/>
        <v>0.20919999999999997</v>
      </c>
      <c r="J33" s="13">
        <f t="shared" si="5"/>
        <v>0.20919999999999997</v>
      </c>
      <c r="K33" s="16">
        <v>1</v>
      </c>
      <c r="L33" s="16">
        <v>0</v>
      </c>
      <c r="M33" s="16">
        <v>0</v>
      </c>
      <c r="N33" s="13">
        <f t="shared" si="6"/>
        <v>16.666666666666668</v>
      </c>
      <c r="O33" s="13">
        <f t="shared" si="7"/>
        <v>0</v>
      </c>
      <c r="P33" s="13">
        <f t="shared" si="8"/>
        <v>0</v>
      </c>
      <c r="Q33" s="16">
        <v>1</v>
      </c>
      <c r="R33" s="16">
        <v>100</v>
      </c>
      <c r="S33" s="16">
        <v>1</v>
      </c>
      <c r="T33" s="13">
        <f t="shared" si="9"/>
        <v>16.666666666666668</v>
      </c>
      <c r="U33" s="13">
        <f t="shared" si="10"/>
        <v>0.16666666666666669</v>
      </c>
      <c r="V33" s="13">
        <f t="shared" si="11"/>
        <v>0.16666666666666669</v>
      </c>
      <c r="W33" s="16">
        <v>1</v>
      </c>
      <c r="X33" s="16">
        <v>35.904200000000003</v>
      </c>
      <c r="Y33" s="16">
        <v>0</v>
      </c>
      <c r="Z33" s="13">
        <f t="shared" si="12"/>
        <v>22.222222222222221</v>
      </c>
      <c r="AA33" s="13">
        <f t="shared" si="13"/>
        <v>0</v>
      </c>
      <c r="AB33" s="13">
        <f t="shared" si="14"/>
        <v>0</v>
      </c>
      <c r="AC33" s="16">
        <v>0</v>
      </c>
      <c r="AD33" s="16">
        <v>0</v>
      </c>
      <c r="AE33" s="16">
        <v>0</v>
      </c>
      <c r="AF33" s="13" t="str">
        <f t="shared" si="15"/>
        <v/>
      </c>
      <c r="AG33" s="13" t="str">
        <f t="shared" si="16"/>
        <v>не применяется</v>
      </c>
      <c r="AH33" s="13" t="str">
        <f t="shared" si="17"/>
        <v/>
      </c>
      <c r="AI33" s="16">
        <v>1</v>
      </c>
      <c r="AJ33" s="16">
        <v>0</v>
      </c>
      <c r="AK33" s="16">
        <v>1</v>
      </c>
      <c r="AL33" s="13">
        <f t="shared" si="18"/>
        <v>11.111111111111111</v>
      </c>
      <c r="AM33" s="13">
        <f t="shared" si="19"/>
        <v>0.1111111111111111</v>
      </c>
      <c r="AN33" s="13">
        <f t="shared" si="20"/>
        <v>0.1111111111111111</v>
      </c>
      <c r="AO33" s="16">
        <v>1</v>
      </c>
      <c r="AP33" s="16">
        <v>21</v>
      </c>
      <c r="AQ33" s="16">
        <v>0</v>
      </c>
      <c r="AR33" s="13">
        <f t="shared" si="21"/>
        <v>11.111111111111111</v>
      </c>
      <c r="AS33" s="13">
        <f t="shared" si="22"/>
        <v>0</v>
      </c>
      <c r="AT33" s="13">
        <f t="shared" si="23"/>
        <v>0</v>
      </c>
      <c r="AU33" s="13">
        <f t="shared" si="24"/>
        <v>2</v>
      </c>
      <c r="AV33" s="13">
        <f t="shared" si="25"/>
        <v>1.5</v>
      </c>
      <c r="AW33" s="13">
        <f t="shared" si="26"/>
        <v>1.5</v>
      </c>
      <c r="AX33" s="13">
        <f t="shared" si="27"/>
        <v>2</v>
      </c>
      <c r="AY33" s="13" t="str">
        <f t="shared" si="28"/>
        <v/>
      </c>
      <c r="AZ33" s="13">
        <f t="shared" si="29"/>
        <v>1</v>
      </c>
      <c r="BA33" s="13">
        <f t="shared" si="30"/>
        <v>1</v>
      </c>
      <c r="BB33" s="13">
        <f t="shared" si="31"/>
        <v>9</v>
      </c>
    </row>
    <row r="34" spans="1:54" ht="25.5" x14ac:dyDescent="0.2">
      <c r="A34" s="1" t="s">
        <v>55</v>
      </c>
      <c r="B34" s="11" t="s">
        <v>34</v>
      </c>
      <c r="C34" s="13">
        <f t="shared" si="0"/>
        <v>0.44975555555555552</v>
      </c>
      <c r="D34" s="13">
        <f t="shared" si="1"/>
        <v>1</v>
      </c>
      <c r="E34" s="16">
        <v>1</v>
      </c>
      <c r="F34" s="16">
        <v>77.39</v>
      </c>
      <c r="G34" s="13">
        <f t="shared" si="2"/>
        <v>22.222222222222221</v>
      </c>
      <c r="H34" s="13">
        <f t="shared" si="3"/>
        <v>22.222222222222221</v>
      </c>
      <c r="I34" s="13">
        <f t="shared" si="4"/>
        <v>0.17197777777777776</v>
      </c>
      <c r="J34" s="13">
        <f t="shared" si="5"/>
        <v>0.17197777777777776</v>
      </c>
      <c r="K34" s="16">
        <v>1</v>
      </c>
      <c r="L34" s="16">
        <v>100</v>
      </c>
      <c r="M34" s="16">
        <v>1</v>
      </c>
      <c r="N34" s="13">
        <f t="shared" si="6"/>
        <v>16.666666666666668</v>
      </c>
      <c r="O34" s="13">
        <f t="shared" si="7"/>
        <v>0.16666666666666669</v>
      </c>
      <c r="P34" s="13">
        <f t="shared" si="8"/>
        <v>0.16666666666666669</v>
      </c>
      <c r="Q34" s="16">
        <v>1</v>
      </c>
      <c r="R34" s="16">
        <v>0</v>
      </c>
      <c r="S34" s="16">
        <v>0</v>
      </c>
      <c r="T34" s="13">
        <f t="shared" si="9"/>
        <v>16.666666666666668</v>
      </c>
      <c r="U34" s="13">
        <f t="shared" si="10"/>
        <v>0</v>
      </c>
      <c r="V34" s="13">
        <f t="shared" si="11"/>
        <v>0</v>
      </c>
      <c r="W34" s="16">
        <v>1</v>
      </c>
      <c r="X34" s="16">
        <v>39.167200000000001</v>
      </c>
      <c r="Y34" s="16">
        <v>0</v>
      </c>
      <c r="Z34" s="13">
        <f t="shared" si="12"/>
        <v>22.222222222222221</v>
      </c>
      <c r="AA34" s="13">
        <f t="shared" si="13"/>
        <v>0</v>
      </c>
      <c r="AB34" s="13">
        <f t="shared" si="14"/>
        <v>0</v>
      </c>
      <c r="AC34" s="16">
        <v>0</v>
      </c>
      <c r="AD34" s="16">
        <v>0</v>
      </c>
      <c r="AE34" s="16">
        <v>0</v>
      </c>
      <c r="AF34" s="13" t="str">
        <f t="shared" si="15"/>
        <v/>
      </c>
      <c r="AG34" s="13" t="str">
        <f t="shared" si="16"/>
        <v>не применяется</v>
      </c>
      <c r="AH34" s="13" t="str">
        <f t="shared" si="17"/>
        <v/>
      </c>
      <c r="AI34" s="16">
        <v>1</v>
      </c>
      <c r="AJ34" s="16">
        <v>0</v>
      </c>
      <c r="AK34" s="16">
        <v>1</v>
      </c>
      <c r="AL34" s="13">
        <f t="shared" si="18"/>
        <v>11.111111111111111</v>
      </c>
      <c r="AM34" s="13">
        <f t="shared" si="19"/>
        <v>0.1111111111111111</v>
      </c>
      <c r="AN34" s="13">
        <f t="shared" si="20"/>
        <v>0.1111111111111111</v>
      </c>
      <c r="AO34" s="16">
        <v>1</v>
      </c>
      <c r="AP34" s="16">
        <v>19</v>
      </c>
      <c r="AQ34" s="16">
        <v>0</v>
      </c>
      <c r="AR34" s="13">
        <f t="shared" si="21"/>
        <v>11.111111111111111</v>
      </c>
      <c r="AS34" s="13">
        <f t="shared" si="22"/>
        <v>0</v>
      </c>
      <c r="AT34" s="13">
        <f t="shared" si="23"/>
        <v>0</v>
      </c>
      <c r="AU34" s="13">
        <f t="shared" si="24"/>
        <v>2</v>
      </c>
      <c r="AV34" s="13">
        <f t="shared" si="25"/>
        <v>1.5</v>
      </c>
      <c r="AW34" s="13">
        <f t="shared" si="26"/>
        <v>1.5</v>
      </c>
      <c r="AX34" s="13">
        <f t="shared" si="27"/>
        <v>2</v>
      </c>
      <c r="AY34" s="13" t="str">
        <f t="shared" si="28"/>
        <v/>
      </c>
      <c r="AZ34" s="13">
        <f t="shared" si="29"/>
        <v>1</v>
      </c>
      <c r="BA34" s="13">
        <f t="shared" si="30"/>
        <v>1</v>
      </c>
      <c r="BB34" s="13">
        <f t="shared" si="31"/>
        <v>9</v>
      </c>
    </row>
    <row r="35" spans="1:54" ht="25.5" x14ac:dyDescent="0.2">
      <c r="A35" s="1" t="s">
        <v>56</v>
      </c>
      <c r="B35" s="11" t="s">
        <v>35</v>
      </c>
      <c r="C35" s="13">
        <f t="shared" si="0"/>
        <v>0.40444444444444444</v>
      </c>
      <c r="D35" s="13">
        <f t="shared" si="1"/>
        <v>1</v>
      </c>
      <c r="E35" s="16">
        <v>1</v>
      </c>
      <c r="F35" s="16">
        <v>57</v>
      </c>
      <c r="G35" s="13">
        <f t="shared" si="2"/>
        <v>22.222222222222221</v>
      </c>
      <c r="H35" s="13">
        <f t="shared" si="3"/>
        <v>22.222222222222221</v>
      </c>
      <c r="I35" s="13">
        <f t="shared" si="4"/>
        <v>0.12666666666666665</v>
      </c>
      <c r="J35" s="13">
        <f t="shared" si="5"/>
        <v>0.12666666666666665</v>
      </c>
      <c r="K35" s="16">
        <v>1</v>
      </c>
      <c r="L35" s="16">
        <v>0</v>
      </c>
      <c r="M35" s="16">
        <v>0</v>
      </c>
      <c r="N35" s="13">
        <f t="shared" si="6"/>
        <v>16.666666666666668</v>
      </c>
      <c r="O35" s="13">
        <f t="shared" si="7"/>
        <v>0</v>
      </c>
      <c r="P35" s="13">
        <f t="shared" si="8"/>
        <v>0</v>
      </c>
      <c r="Q35" s="16">
        <v>1</v>
      </c>
      <c r="R35" s="16">
        <v>0</v>
      </c>
      <c r="S35" s="16">
        <v>0</v>
      </c>
      <c r="T35" s="13">
        <f t="shared" si="9"/>
        <v>16.666666666666668</v>
      </c>
      <c r="U35" s="13">
        <f t="shared" si="10"/>
        <v>0</v>
      </c>
      <c r="V35" s="13">
        <f t="shared" si="11"/>
        <v>0</v>
      </c>
      <c r="W35" s="16">
        <v>1</v>
      </c>
      <c r="X35" s="16">
        <v>34.091900000000003</v>
      </c>
      <c r="Y35" s="16">
        <v>0</v>
      </c>
      <c r="Z35" s="13">
        <f t="shared" si="12"/>
        <v>22.222222222222221</v>
      </c>
      <c r="AA35" s="13">
        <f t="shared" si="13"/>
        <v>0</v>
      </c>
      <c r="AB35" s="13">
        <f t="shared" si="14"/>
        <v>0</v>
      </c>
      <c r="AC35" s="16">
        <v>0</v>
      </c>
      <c r="AD35" s="16">
        <v>0</v>
      </c>
      <c r="AE35" s="16">
        <v>0</v>
      </c>
      <c r="AF35" s="13" t="str">
        <f t="shared" si="15"/>
        <v/>
      </c>
      <c r="AG35" s="13" t="str">
        <f t="shared" si="16"/>
        <v>не применяется</v>
      </c>
      <c r="AH35" s="13" t="str">
        <f t="shared" si="17"/>
        <v/>
      </c>
      <c r="AI35" s="16">
        <v>1</v>
      </c>
      <c r="AJ35" s="16">
        <v>0</v>
      </c>
      <c r="AK35" s="16">
        <v>1</v>
      </c>
      <c r="AL35" s="13">
        <f t="shared" si="18"/>
        <v>11.111111111111111</v>
      </c>
      <c r="AM35" s="13">
        <f t="shared" si="19"/>
        <v>0.1111111111111111</v>
      </c>
      <c r="AN35" s="13">
        <f t="shared" si="20"/>
        <v>0.1111111111111111</v>
      </c>
      <c r="AO35" s="16">
        <v>1</v>
      </c>
      <c r="AP35" s="16">
        <v>34</v>
      </c>
      <c r="AQ35" s="16">
        <v>0</v>
      </c>
      <c r="AR35" s="13">
        <f t="shared" si="21"/>
        <v>11.111111111111111</v>
      </c>
      <c r="AS35" s="13">
        <f t="shared" si="22"/>
        <v>0</v>
      </c>
      <c r="AT35" s="13">
        <f t="shared" si="23"/>
        <v>0</v>
      </c>
      <c r="AU35" s="13">
        <f t="shared" si="24"/>
        <v>2</v>
      </c>
      <c r="AV35" s="13">
        <f t="shared" si="25"/>
        <v>1.5</v>
      </c>
      <c r="AW35" s="13">
        <f t="shared" si="26"/>
        <v>1.5</v>
      </c>
      <c r="AX35" s="13">
        <f t="shared" si="27"/>
        <v>2</v>
      </c>
      <c r="AY35" s="13" t="str">
        <f t="shared" si="28"/>
        <v/>
      </c>
      <c r="AZ35" s="13">
        <f t="shared" si="29"/>
        <v>1</v>
      </c>
      <c r="BA35" s="13">
        <f t="shared" si="30"/>
        <v>1</v>
      </c>
      <c r="BB35" s="13">
        <f t="shared" si="31"/>
        <v>9</v>
      </c>
    </row>
    <row r="36" spans="1:54" ht="25.5" x14ac:dyDescent="0.2">
      <c r="A36" s="1" t="s">
        <v>57</v>
      </c>
      <c r="B36" s="11" t="s">
        <v>36</v>
      </c>
      <c r="C36" s="13">
        <f t="shared" si="0"/>
        <v>0.4863777777777778</v>
      </c>
      <c r="D36" s="13">
        <f t="shared" si="1"/>
        <v>1</v>
      </c>
      <c r="E36" s="16">
        <v>1</v>
      </c>
      <c r="F36" s="16">
        <v>93.87</v>
      </c>
      <c r="G36" s="13">
        <f t="shared" si="2"/>
        <v>22.222222222222221</v>
      </c>
      <c r="H36" s="13">
        <f t="shared" si="3"/>
        <v>22.222222222222221</v>
      </c>
      <c r="I36" s="13">
        <f t="shared" si="4"/>
        <v>0.20860000000000001</v>
      </c>
      <c r="J36" s="13">
        <f t="shared" si="5"/>
        <v>0.20860000000000001</v>
      </c>
      <c r="K36" s="16">
        <v>1</v>
      </c>
      <c r="L36" s="16">
        <v>100</v>
      </c>
      <c r="M36" s="16">
        <v>1</v>
      </c>
      <c r="N36" s="13">
        <f t="shared" si="6"/>
        <v>16.666666666666668</v>
      </c>
      <c r="O36" s="13">
        <f t="shared" si="7"/>
        <v>0.16666666666666669</v>
      </c>
      <c r="P36" s="13">
        <f t="shared" si="8"/>
        <v>0.16666666666666669</v>
      </c>
      <c r="Q36" s="16">
        <v>1</v>
      </c>
      <c r="R36" s="16">
        <v>100</v>
      </c>
      <c r="S36" s="16">
        <v>1</v>
      </c>
      <c r="T36" s="13">
        <f t="shared" si="9"/>
        <v>16.666666666666668</v>
      </c>
      <c r="U36" s="13">
        <f t="shared" si="10"/>
        <v>0.16666666666666669</v>
      </c>
      <c r="V36" s="13">
        <f t="shared" si="11"/>
        <v>0.16666666666666669</v>
      </c>
      <c r="W36" s="16">
        <v>1</v>
      </c>
      <c r="X36" s="16">
        <v>37.284799999999997</v>
      </c>
      <c r="Y36" s="16">
        <v>0</v>
      </c>
      <c r="Z36" s="13">
        <f t="shared" si="12"/>
        <v>22.222222222222221</v>
      </c>
      <c r="AA36" s="13">
        <f t="shared" si="13"/>
        <v>0</v>
      </c>
      <c r="AB36" s="13">
        <f t="shared" si="14"/>
        <v>0</v>
      </c>
      <c r="AC36" s="16">
        <v>0</v>
      </c>
      <c r="AD36" s="16">
        <v>0</v>
      </c>
      <c r="AE36" s="16">
        <v>0</v>
      </c>
      <c r="AF36" s="13" t="str">
        <f t="shared" si="15"/>
        <v/>
      </c>
      <c r="AG36" s="13" t="str">
        <f t="shared" si="16"/>
        <v>не применяется</v>
      </c>
      <c r="AH36" s="13" t="str">
        <f t="shared" si="17"/>
        <v/>
      </c>
      <c r="AI36" s="16">
        <v>1</v>
      </c>
      <c r="AJ36" s="16">
        <v>0</v>
      </c>
      <c r="AK36" s="16">
        <v>1</v>
      </c>
      <c r="AL36" s="13">
        <f t="shared" si="18"/>
        <v>11.111111111111111</v>
      </c>
      <c r="AM36" s="13">
        <f t="shared" si="19"/>
        <v>0.1111111111111111</v>
      </c>
      <c r="AN36" s="13">
        <f t="shared" si="20"/>
        <v>0.1111111111111111</v>
      </c>
      <c r="AO36" s="16">
        <v>1</v>
      </c>
      <c r="AP36" s="16">
        <v>34</v>
      </c>
      <c r="AQ36" s="16">
        <v>0</v>
      </c>
      <c r="AR36" s="13">
        <f t="shared" si="21"/>
        <v>11.111111111111111</v>
      </c>
      <c r="AS36" s="13">
        <f t="shared" si="22"/>
        <v>0</v>
      </c>
      <c r="AT36" s="13">
        <f t="shared" si="23"/>
        <v>0</v>
      </c>
      <c r="AU36" s="13">
        <f t="shared" si="24"/>
        <v>2</v>
      </c>
      <c r="AV36" s="13">
        <f t="shared" si="25"/>
        <v>1.5</v>
      </c>
      <c r="AW36" s="13">
        <f t="shared" si="26"/>
        <v>1.5</v>
      </c>
      <c r="AX36" s="13">
        <f t="shared" si="27"/>
        <v>2</v>
      </c>
      <c r="AY36" s="13" t="str">
        <f t="shared" si="28"/>
        <v/>
      </c>
      <c r="AZ36" s="13">
        <f t="shared" si="29"/>
        <v>1</v>
      </c>
      <c r="BA36" s="13">
        <f t="shared" si="30"/>
        <v>1</v>
      </c>
      <c r="BB36" s="13">
        <f t="shared" si="31"/>
        <v>9</v>
      </c>
    </row>
    <row r="37" spans="1:54" ht="38.25" x14ac:dyDescent="0.2">
      <c r="A37" s="1" t="s">
        <v>58</v>
      </c>
      <c r="B37" s="11" t="s">
        <v>37</v>
      </c>
      <c r="C37" s="13">
        <f t="shared" si="0"/>
        <v>0.63888888888888884</v>
      </c>
      <c r="D37" s="13">
        <f t="shared" si="1"/>
        <v>1</v>
      </c>
      <c r="E37" s="16">
        <v>1</v>
      </c>
      <c r="F37" s="16">
        <v>100</v>
      </c>
      <c r="G37" s="13">
        <f t="shared" si="2"/>
        <v>22.222222222222221</v>
      </c>
      <c r="H37" s="13">
        <f t="shared" si="3"/>
        <v>22.222222222222221</v>
      </c>
      <c r="I37" s="13">
        <f t="shared" si="4"/>
        <v>0.22222222222222221</v>
      </c>
      <c r="J37" s="13">
        <f t="shared" si="5"/>
        <v>0.22222222222222221</v>
      </c>
      <c r="K37" s="16">
        <v>1</v>
      </c>
      <c r="L37" s="16">
        <v>50</v>
      </c>
      <c r="M37" s="16">
        <v>0.5</v>
      </c>
      <c r="N37" s="13">
        <f t="shared" si="6"/>
        <v>16.666666666666668</v>
      </c>
      <c r="O37" s="13">
        <f t="shared" si="7"/>
        <v>8.3333333333333343E-2</v>
      </c>
      <c r="P37" s="13">
        <f t="shared" si="8"/>
        <v>8.3333333333333343E-2</v>
      </c>
      <c r="Q37" s="16">
        <v>1</v>
      </c>
      <c r="R37" s="16">
        <v>0</v>
      </c>
      <c r="S37" s="16">
        <v>0</v>
      </c>
      <c r="T37" s="13">
        <f t="shared" si="9"/>
        <v>16.666666666666668</v>
      </c>
      <c r="U37" s="13">
        <f t="shared" si="10"/>
        <v>0</v>
      </c>
      <c r="V37" s="13">
        <f t="shared" si="11"/>
        <v>0</v>
      </c>
      <c r="W37" s="16">
        <v>1</v>
      </c>
      <c r="X37" s="16">
        <v>100</v>
      </c>
      <c r="Y37" s="16">
        <v>1</v>
      </c>
      <c r="Z37" s="13">
        <f t="shared" si="12"/>
        <v>22.222222222222221</v>
      </c>
      <c r="AA37" s="13">
        <f t="shared" si="13"/>
        <v>0.22222222222222221</v>
      </c>
      <c r="AB37" s="13">
        <f t="shared" si="14"/>
        <v>0.22222222222222221</v>
      </c>
      <c r="AC37" s="16">
        <v>0</v>
      </c>
      <c r="AD37" s="16">
        <v>0</v>
      </c>
      <c r="AE37" s="16">
        <v>0</v>
      </c>
      <c r="AF37" s="13" t="str">
        <f t="shared" si="15"/>
        <v/>
      </c>
      <c r="AG37" s="13" t="str">
        <f t="shared" si="16"/>
        <v>не применяется</v>
      </c>
      <c r="AH37" s="13" t="str">
        <f t="shared" si="17"/>
        <v/>
      </c>
      <c r="AI37" s="16">
        <v>1</v>
      </c>
      <c r="AJ37" s="16">
        <v>0</v>
      </c>
      <c r="AK37" s="16">
        <v>1</v>
      </c>
      <c r="AL37" s="13">
        <f t="shared" si="18"/>
        <v>11.111111111111111</v>
      </c>
      <c r="AM37" s="13">
        <f t="shared" si="19"/>
        <v>0.1111111111111111</v>
      </c>
      <c r="AN37" s="13">
        <f t="shared" si="20"/>
        <v>0.1111111111111111</v>
      </c>
      <c r="AO37" s="16">
        <v>1</v>
      </c>
      <c r="AP37" s="16">
        <v>22</v>
      </c>
      <c r="AQ37" s="16">
        <v>0</v>
      </c>
      <c r="AR37" s="13">
        <f t="shared" si="21"/>
        <v>11.111111111111111</v>
      </c>
      <c r="AS37" s="13">
        <f t="shared" si="22"/>
        <v>0</v>
      </c>
      <c r="AT37" s="13">
        <f t="shared" si="23"/>
        <v>0</v>
      </c>
      <c r="AU37" s="13">
        <f t="shared" si="24"/>
        <v>2</v>
      </c>
      <c r="AV37" s="13">
        <f t="shared" si="25"/>
        <v>1.5</v>
      </c>
      <c r="AW37" s="13">
        <f t="shared" si="26"/>
        <v>1.5</v>
      </c>
      <c r="AX37" s="13">
        <f t="shared" si="27"/>
        <v>2</v>
      </c>
      <c r="AY37" s="13" t="str">
        <f t="shared" si="28"/>
        <v/>
      </c>
      <c r="AZ37" s="13">
        <f t="shared" si="29"/>
        <v>1</v>
      </c>
      <c r="BA37" s="13">
        <f t="shared" si="30"/>
        <v>1</v>
      </c>
      <c r="BB37" s="13">
        <f t="shared" si="31"/>
        <v>9</v>
      </c>
    </row>
    <row r="38" spans="1:54" ht="25.5" x14ac:dyDescent="0.2">
      <c r="A38" s="1" t="s">
        <v>59</v>
      </c>
      <c r="B38" s="11" t="s">
        <v>38</v>
      </c>
      <c r="C38" s="13">
        <f t="shared" si="0"/>
        <v>0.69358888888888881</v>
      </c>
      <c r="D38" s="13">
        <f t="shared" si="1"/>
        <v>1</v>
      </c>
      <c r="E38" s="16">
        <v>1</v>
      </c>
      <c r="F38" s="16">
        <v>87.114999999999995</v>
      </c>
      <c r="G38" s="13">
        <f t="shared" si="2"/>
        <v>22.222222222222221</v>
      </c>
      <c r="H38" s="13">
        <f t="shared" si="3"/>
        <v>22.222222222222221</v>
      </c>
      <c r="I38" s="13">
        <f t="shared" si="4"/>
        <v>0.19358888888888889</v>
      </c>
      <c r="J38" s="13">
        <f t="shared" si="5"/>
        <v>0.19358888888888889</v>
      </c>
      <c r="K38" s="16">
        <v>1</v>
      </c>
      <c r="L38" s="16">
        <v>0</v>
      </c>
      <c r="M38" s="16">
        <v>0</v>
      </c>
      <c r="N38" s="13">
        <f t="shared" si="6"/>
        <v>16.666666666666668</v>
      </c>
      <c r="O38" s="13">
        <f t="shared" si="7"/>
        <v>0</v>
      </c>
      <c r="P38" s="13">
        <f t="shared" si="8"/>
        <v>0</v>
      </c>
      <c r="Q38" s="16">
        <v>1</v>
      </c>
      <c r="R38" s="16">
        <v>0</v>
      </c>
      <c r="S38" s="16">
        <v>0</v>
      </c>
      <c r="T38" s="13">
        <f t="shared" si="9"/>
        <v>16.666666666666668</v>
      </c>
      <c r="U38" s="13">
        <f t="shared" si="10"/>
        <v>0</v>
      </c>
      <c r="V38" s="13">
        <f t="shared" si="11"/>
        <v>0</v>
      </c>
      <c r="W38" s="16">
        <v>1</v>
      </c>
      <c r="X38" s="16">
        <v>100</v>
      </c>
      <c r="Y38" s="16">
        <v>1</v>
      </c>
      <c r="Z38" s="13">
        <f t="shared" si="12"/>
        <v>22.222222222222221</v>
      </c>
      <c r="AA38" s="13">
        <f t="shared" si="13"/>
        <v>0.22222222222222221</v>
      </c>
      <c r="AB38" s="13">
        <f t="shared" si="14"/>
        <v>0.22222222222222221</v>
      </c>
      <c r="AC38" s="16">
        <v>0</v>
      </c>
      <c r="AD38" s="16">
        <v>0</v>
      </c>
      <c r="AE38" s="16">
        <v>0</v>
      </c>
      <c r="AF38" s="13" t="str">
        <f t="shared" si="15"/>
        <v/>
      </c>
      <c r="AG38" s="13" t="str">
        <f t="shared" si="16"/>
        <v>не применяется</v>
      </c>
      <c r="AH38" s="13" t="str">
        <f t="shared" si="17"/>
        <v/>
      </c>
      <c r="AI38" s="16">
        <v>1</v>
      </c>
      <c r="AJ38" s="16">
        <v>0</v>
      </c>
      <c r="AK38" s="16">
        <v>1</v>
      </c>
      <c r="AL38" s="13">
        <f t="shared" si="18"/>
        <v>11.111111111111111</v>
      </c>
      <c r="AM38" s="13">
        <f t="shared" si="19"/>
        <v>0.1111111111111111</v>
      </c>
      <c r="AN38" s="13">
        <f t="shared" si="20"/>
        <v>0.1111111111111111</v>
      </c>
      <c r="AO38" s="16">
        <v>1</v>
      </c>
      <c r="AP38" s="16">
        <v>23</v>
      </c>
      <c r="AQ38" s="16">
        <v>0</v>
      </c>
      <c r="AR38" s="13">
        <f t="shared" si="21"/>
        <v>11.111111111111111</v>
      </c>
      <c r="AS38" s="13">
        <f t="shared" si="22"/>
        <v>0</v>
      </c>
      <c r="AT38" s="13">
        <f t="shared" si="23"/>
        <v>0</v>
      </c>
      <c r="AU38" s="13">
        <f t="shared" si="24"/>
        <v>2</v>
      </c>
      <c r="AV38" s="13">
        <f t="shared" si="25"/>
        <v>1.5</v>
      </c>
      <c r="AW38" s="13">
        <f t="shared" si="26"/>
        <v>1.5</v>
      </c>
      <c r="AX38" s="13">
        <f t="shared" si="27"/>
        <v>2</v>
      </c>
      <c r="AY38" s="13" t="str">
        <f t="shared" si="28"/>
        <v/>
      </c>
      <c r="AZ38" s="13">
        <f t="shared" si="29"/>
        <v>1</v>
      </c>
      <c r="BA38" s="13">
        <f t="shared" si="30"/>
        <v>1</v>
      </c>
      <c r="BB38" s="13">
        <f t="shared" si="31"/>
        <v>9</v>
      </c>
    </row>
    <row r="39" spans="1:54" ht="38.25" x14ac:dyDescent="0.2">
      <c r="A39" s="1" t="s">
        <v>60</v>
      </c>
      <c r="B39" s="11" t="s">
        <v>39</v>
      </c>
      <c r="C39" s="13">
        <f t="shared" si="0"/>
        <v>0.55555555555555558</v>
      </c>
      <c r="D39" s="13">
        <f t="shared" si="1"/>
        <v>1</v>
      </c>
      <c r="E39" s="16">
        <v>1</v>
      </c>
      <c r="F39" s="16">
        <v>100</v>
      </c>
      <c r="G39" s="13">
        <f t="shared" si="2"/>
        <v>22.222222222222221</v>
      </c>
      <c r="H39" s="13">
        <f t="shared" si="3"/>
        <v>22.222222222222221</v>
      </c>
      <c r="I39" s="13">
        <f t="shared" si="4"/>
        <v>0.22222222222222221</v>
      </c>
      <c r="J39" s="13">
        <f t="shared" si="5"/>
        <v>0.22222222222222221</v>
      </c>
      <c r="K39" s="16">
        <v>1</v>
      </c>
      <c r="L39" s="16">
        <v>0</v>
      </c>
      <c r="M39" s="16">
        <v>0</v>
      </c>
      <c r="N39" s="13">
        <f t="shared" si="6"/>
        <v>16.666666666666668</v>
      </c>
      <c r="O39" s="13">
        <f t="shared" si="7"/>
        <v>0</v>
      </c>
      <c r="P39" s="13">
        <f t="shared" si="8"/>
        <v>0</v>
      </c>
      <c r="Q39" s="16">
        <v>1</v>
      </c>
      <c r="R39" s="16">
        <v>100</v>
      </c>
      <c r="S39" s="16">
        <v>1</v>
      </c>
      <c r="T39" s="13">
        <f t="shared" si="9"/>
        <v>16.666666666666668</v>
      </c>
      <c r="U39" s="13">
        <f t="shared" si="10"/>
        <v>0.16666666666666669</v>
      </c>
      <c r="V39" s="13">
        <f t="shared" si="11"/>
        <v>0.16666666666666669</v>
      </c>
      <c r="W39" s="16">
        <v>1</v>
      </c>
      <c r="X39" s="16">
        <v>100</v>
      </c>
      <c r="Y39" s="16">
        <v>1</v>
      </c>
      <c r="Z39" s="13">
        <f t="shared" si="12"/>
        <v>22.222222222222221</v>
      </c>
      <c r="AA39" s="13">
        <f t="shared" si="13"/>
        <v>0.22222222222222221</v>
      </c>
      <c r="AB39" s="13">
        <f t="shared" si="14"/>
        <v>0.22222222222222221</v>
      </c>
      <c r="AC39" s="16">
        <v>0</v>
      </c>
      <c r="AD39" s="16">
        <v>0</v>
      </c>
      <c r="AE39" s="16">
        <v>0</v>
      </c>
      <c r="AF39" s="13" t="str">
        <f t="shared" si="15"/>
        <v/>
      </c>
      <c r="AG39" s="13" t="str">
        <f t="shared" si="16"/>
        <v>не применяется</v>
      </c>
      <c r="AH39" s="13" t="str">
        <f t="shared" si="17"/>
        <v/>
      </c>
      <c r="AI39" s="16">
        <v>1</v>
      </c>
      <c r="AJ39" s="16">
        <v>0</v>
      </c>
      <c r="AK39" s="16">
        <v>1</v>
      </c>
      <c r="AL39" s="13">
        <f t="shared" si="18"/>
        <v>11.111111111111111</v>
      </c>
      <c r="AM39" s="13">
        <f t="shared" si="19"/>
        <v>0.1111111111111111</v>
      </c>
      <c r="AN39" s="13">
        <f t="shared" si="20"/>
        <v>0.1111111111111111</v>
      </c>
      <c r="AO39" s="16">
        <v>1</v>
      </c>
      <c r="AP39" s="16">
        <v>20</v>
      </c>
      <c r="AQ39" s="16">
        <v>0</v>
      </c>
      <c r="AR39" s="13">
        <f t="shared" si="21"/>
        <v>11.111111111111111</v>
      </c>
      <c r="AS39" s="13">
        <f t="shared" si="22"/>
        <v>0</v>
      </c>
      <c r="AT39" s="13">
        <f t="shared" si="23"/>
        <v>0</v>
      </c>
      <c r="AU39" s="13">
        <f t="shared" si="24"/>
        <v>2</v>
      </c>
      <c r="AV39" s="13">
        <f t="shared" si="25"/>
        <v>1.5</v>
      </c>
      <c r="AW39" s="13">
        <f t="shared" si="26"/>
        <v>1.5</v>
      </c>
      <c r="AX39" s="13">
        <f t="shared" si="27"/>
        <v>2</v>
      </c>
      <c r="AY39" s="13" t="str">
        <f t="shared" si="28"/>
        <v/>
      </c>
      <c r="AZ39" s="13">
        <f t="shared" si="29"/>
        <v>1</v>
      </c>
      <c r="BA39" s="13">
        <f t="shared" si="30"/>
        <v>1</v>
      </c>
      <c r="BB39" s="13">
        <f t="shared" si="31"/>
        <v>9</v>
      </c>
    </row>
    <row r="40" spans="1:54" ht="25.5" x14ac:dyDescent="0.2">
      <c r="A40" s="1" t="s">
        <v>61</v>
      </c>
      <c r="B40" s="11" t="s">
        <v>40</v>
      </c>
      <c r="C40" s="53">
        <f t="shared" si="0"/>
        <v>0.33333333333333331</v>
      </c>
      <c r="D40" s="13">
        <f t="shared" si="1"/>
        <v>1</v>
      </c>
      <c r="E40" s="16">
        <v>1</v>
      </c>
      <c r="F40" s="16">
        <v>100</v>
      </c>
      <c r="G40" s="13">
        <f t="shared" si="2"/>
        <v>22.222222222222221</v>
      </c>
      <c r="H40" s="13">
        <f t="shared" si="3"/>
        <v>22.222222222222221</v>
      </c>
      <c r="I40" s="13">
        <f t="shared" si="4"/>
        <v>0.22222222222222221</v>
      </c>
      <c r="J40" s="13">
        <f t="shared" si="5"/>
        <v>0.22222222222222221</v>
      </c>
      <c r="K40" s="16">
        <v>1</v>
      </c>
      <c r="L40" s="16">
        <v>0</v>
      </c>
      <c r="M40" s="16">
        <v>0</v>
      </c>
      <c r="N40" s="13">
        <f t="shared" si="6"/>
        <v>16.666666666666668</v>
      </c>
      <c r="O40" s="13">
        <f t="shared" si="7"/>
        <v>0</v>
      </c>
      <c r="P40" s="13">
        <f t="shared" si="8"/>
        <v>0</v>
      </c>
      <c r="Q40" s="16">
        <v>1</v>
      </c>
      <c r="R40" s="16">
        <v>0</v>
      </c>
      <c r="S40" s="16">
        <v>0</v>
      </c>
      <c r="T40" s="13">
        <f t="shared" si="9"/>
        <v>16.666666666666668</v>
      </c>
      <c r="U40" s="13">
        <f t="shared" si="10"/>
        <v>0</v>
      </c>
      <c r="V40" s="13">
        <f t="shared" si="11"/>
        <v>0</v>
      </c>
      <c r="W40" s="16">
        <v>1</v>
      </c>
      <c r="X40" s="16">
        <v>0</v>
      </c>
      <c r="Y40" s="16">
        <v>0</v>
      </c>
      <c r="Z40" s="13">
        <f t="shared" si="12"/>
        <v>22.222222222222221</v>
      </c>
      <c r="AA40" s="13">
        <f t="shared" si="13"/>
        <v>0</v>
      </c>
      <c r="AB40" s="13">
        <f t="shared" si="14"/>
        <v>0</v>
      </c>
      <c r="AC40" s="16">
        <v>0</v>
      </c>
      <c r="AD40" s="16">
        <v>0</v>
      </c>
      <c r="AE40" s="16">
        <v>0</v>
      </c>
      <c r="AF40" s="13" t="str">
        <f t="shared" si="15"/>
        <v/>
      </c>
      <c r="AG40" s="13" t="str">
        <f t="shared" si="16"/>
        <v>не применяется</v>
      </c>
      <c r="AH40" s="13" t="str">
        <f t="shared" si="17"/>
        <v/>
      </c>
      <c r="AI40" s="16">
        <v>1</v>
      </c>
      <c r="AJ40" s="16">
        <v>0</v>
      </c>
      <c r="AK40" s="16">
        <v>1</v>
      </c>
      <c r="AL40" s="13">
        <f t="shared" si="18"/>
        <v>11.111111111111111</v>
      </c>
      <c r="AM40" s="13">
        <f t="shared" si="19"/>
        <v>0.1111111111111111</v>
      </c>
      <c r="AN40" s="13">
        <f t="shared" si="20"/>
        <v>0.1111111111111111</v>
      </c>
      <c r="AO40" s="16">
        <v>1</v>
      </c>
      <c r="AP40" s="16">
        <v>15</v>
      </c>
      <c r="AQ40" s="16">
        <v>0</v>
      </c>
      <c r="AR40" s="13">
        <f t="shared" si="21"/>
        <v>11.111111111111111</v>
      </c>
      <c r="AS40" s="13">
        <f t="shared" si="22"/>
        <v>0</v>
      </c>
      <c r="AT40" s="13">
        <f t="shared" si="23"/>
        <v>0</v>
      </c>
      <c r="AU40" s="13">
        <f t="shared" si="24"/>
        <v>2</v>
      </c>
      <c r="AV40" s="13">
        <f t="shared" si="25"/>
        <v>1.5</v>
      </c>
      <c r="AW40" s="13">
        <f t="shared" si="26"/>
        <v>1.5</v>
      </c>
      <c r="AX40" s="13">
        <f t="shared" si="27"/>
        <v>2</v>
      </c>
      <c r="AY40" s="13" t="str">
        <f t="shared" si="28"/>
        <v/>
      </c>
      <c r="AZ40" s="13">
        <f t="shared" si="29"/>
        <v>1</v>
      </c>
      <c r="BA40" s="13">
        <f t="shared" si="30"/>
        <v>1</v>
      </c>
      <c r="BB40" s="13">
        <f t="shared" si="31"/>
        <v>9</v>
      </c>
    </row>
    <row r="41" spans="1:54" ht="13.5" customHeight="1" x14ac:dyDescent="0.2"/>
    <row r="59" ht="30" customHeight="1" x14ac:dyDescent="0.2"/>
  </sheetData>
  <sheetProtection algorithmName="SHA-512" hashValue="xTnIXFIpCRjQwJdsD8cfue7c+oP+EGL5FuoxbGCZ6KMJS04gGTjSMj00gm414UN9q9lxnix5oaDoA89CG0dA4g==" saltValue="X6TatMJ40omphDgjekKKrQ==" spinCount="100000" sheet="1" objects="1" scenarios="1" formatCells="0" formatColumns="0" formatRows="0" deleteColumns="0" deleteRows="0"/>
  <protectedRanges>
    <protectedRange sqref="C18:C40" name="krista_tr_51240_0_0"/>
    <protectedRange sqref="D18:D40" name="krista_tr_40531_0_0"/>
    <protectedRange sqref="G18:G40" name="krista_tf_54198_0_0"/>
    <protectedRange sqref="H18:H40" name="krista_tf_40535_0_0"/>
    <protectedRange sqref="I18:I40" name="krista_tf_40536_0_0"/>
    <protectedRange sqref="J18:J40" name="krista_tr_40537_0_0"/>
    <protectedRange sqref="N18:N40" name="krista_tf_40541_0_0"/>
    <protectedRange sqref="O18:O40" name="krista_tf_40542_0_0"/>
    <protectedRange sqref="P18:P40" name="krista_tr_40543_0_0"/>
    <protectedRange sqref="T18:T40" name="krista_tf_40547_0_0"/>
    <protectedRange sqref="U18:U40" name="krista_tf_40548_0_0"/>
    <protectedRange sqref="V18:V40" name="krista_tr_40549_0_0"/>
    <protectedRange sqref="Z18:Z40" name="krista_tf_40553_0_0"/>
    <protectedRange sqref="AA18:AA40" name="krista_tf_40554_0_0"/>
    <protectedRange sqref="AB18:AB40" name="krista_tr_40555_0_0"/>
    <protectedRange sqref="AF18:AF40" name="krista_tf_40559_0_0"/>
    <protectedRange sqref="AG18:AG40" name="krista_tf_40560_0_0"/>
    <protectedRange sqref="AH18:AH40" name="krista_tr_40561_0_0"/>
    <protectedRange sqref="AL18:AL40" name="krista_tf_40565_0_0"/>
    <protectedRange sqref="AM18:AM40" name="krista_tf_40566_0_0"/>
    <protectedRange sqref="AN18:AN40" name="krista_tr_40567_0_0"/>
    <protectedRange sqref="AR18:AR40" name="krista_tf_40571_0_0"/>
    <protectedRange sqref="AS18:AS40" name="krista_tf_40572_0_0"/>
    <protectedRange sqref="AT18:AT40" name="krista_tr_40573_0_0"/>
    <protectedRange sqref="AU18:AU40" name="krista_tf_40580_0_0"/>
    <protectedRange sqref="AV18:AV40" name="krista_tf_40581_0_0"/>
    <protectedRange sqref="AW18:AW40" name="krista_tf_40582_0_0"/>
    <protectedRange sqref="AX18:AX40" name="krista_tf_40583_0_0"/>
    <protectedRange sqref="AY18:AY40" name="krista_tf_40584_0_0"/>
    <protectedRange sqref="AZ18:AZ40" name="krista_tf_40585_0_0"/>
    <protectedRange sqref="BA18:BA40" name="krista_tf_40586_0_0"/>
    <protectedRange sqref="BB18:BB40" name="krista_tf_40588_0_0"/>
  </protectedRanges>
  <mergeCells count="20">
    <mergeCell ref="AI16:AN16"/>
    <mergeCell ref="AO16:AT16"/>
    <mergeCell ref="AU16:BB16"/>
    <mergeCell ref="W16:AB16"/>
    <mergeCell ref="AC16:AH16"/>
    <mergeCell ref="B13:H13"/>
    <mergeCell ref="B14:H14"/>
    <mergeCell ref="K16:P16"/>
    <mergeCell ref="Q16:V16"/>
    <mergeCell ref="A1:E1"/>
    <mergeCell ref="B8:H8"/>
    <mergeCell ref="B9:H9"/>
    <mergeCell ref="B10:H10"/>
    <mergeCell ref="B11:H11"/>
    <mergeCell ref="B12:H12"/>
    <mergeCell ref="A16:A17"/>
    <mergeCell ref="B16:B17"/>
    <mergeCell ref="C16:C17"/>
    <mergeCell ref="D16:D17"/>
    <mergeCell ref="E16:J16"/>
  </mergeCells>
  <conditionalFormatting sqref="A8:A14">
    <cfRule type="expression" dxfId="6" priority="1" stopIfTrue="1">
      <formula>"(сумм(A8:F12)&lt;&gt;100"</formula>
    </cfRule>
  </conditionalFormatting>
  <pageMargins left="0.25" right="0.25" top="0.75" bottom="0.75" header="0.3" footer="0.3"/>
  <pageSetup paperSize="8" scale="70" fitToWidth="0" orientation="landscape" r:id="rId1"/>
  <headerFooter alignWithMargins="0"/>
  <colBreaks count="1" manualBreakCount="1">
    <brk id="27" max="43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40598" r:id="rId8"/>
    <customPr name="40599" r:id="rId9"/>
    <customPr name="54393" r:id="rId10"/>
    <customPr name="krista_fm_columnsmarkup" r:id="rId11"/>
    <customPr name="krista_fm_consts" r:id="rId12"/>
    <customPr name="krista_fm_Events" r:id="rId13"/>
    <customPr name="krista_fm_metadataXML" r:id="rId14"/>
    <customPr name="krista_fm_rowsaxis" r:id="rId15"/>
    <customPr name="krista_fm_rowsmarkup" r:id="rId16"/>
    <customPr name="krista_SheetHistory" r:id="rId17"/>
    <customPr name="p14" r:id="rId18"/>
    <customPr name="p18" r:id="rId19"/>
    <customPr name="p20" r:id="rId20"/>
  </customProperties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C000"/>
    <pageSetUpPr fitToPage="1"/>
  </sheetPr>
  <dimension ref="A1:AA68"/>
  <sheetViews>
    <sheetView topLeftCell="A12" zoomScale="65" zoomScaleNormal="65" zoomScaleSheetLayoutView="85" workbookViewId="0">
      <selection activeCell="K9" sqref="K9"/>
    </sheetView>
  </sheetViews>
  <sheetFormatPr defaultRowHeight="12.75" x14ac:dyDescent="0.2"/>
  <cols>
    <col min="1" max="1" width="6.28515625" customWidth="1"/>
    <col min="2" max="2" width="42.140625" customWidth="1"/>
    <col min="3" max="3" width="12.7109375" customWidth="1"/>
    <col min="4" max="4" width="15.28515625" bestFit="1" customWidth="1"/>
    <col min="5" max="6" width="12.7109375" customWidth="1"/>
    <col min="7" max="7" width="11.5703125" customWidth="1"/>
    <col min="8" max="8" width="13" customWidth="1"/>
    <col min="9" max="9" width="0.7109375" hidden="1" customWidth="1"/>
    <col min="10" max="10" width="11" customWidth="1"/>
    <col min="11" max="11" width="13.42578125" customWidth="1"/>
    <col min="12" max="12" width="12.5703125" customWidth="1"/>
    <col min="13" max="13" width="11.7109375" customWidth="1"/>
    <col min="14" max="14" width="11.140625" customWidth="1"/>
    <col min="15" max="15" width="0.28515625" hidden="1" customWidth="1"/>
    <col min="16" max="16" width="13.28515625" customWidth="1"/>
    <col min="17" max="17" width="11.7109375" customWidth="1"/>
    <col min="18" max="18" width="11.42578125" customWidth="1"/>
    <col min="19" max="19" width="13" customWidth="1"/>
    <col min="20" max="20" width="13.140625" customWidth="1"/>
    <col min="21" max="21" width="15.7109375" hidden="1" customWidth="1"/>
    <col min="22" max="22" width="14.140625" customWidth="1"/>
    <col min="23" max="23" width="13.140625" customWidth="1"/>
    <col min="24" max="24" width="12.140625" style="8" customWidth="1"/>
    <col min="25" max="25" width="11.85546875" style="8" customWidth="1"/>
    <col min="26" max="26" width="14.85546875" style="8" customWidth="1"/>
    <col min="27" max="33" width="27.42578125" customWidth="1"/>
    <col min="34" max="34" width="60.85546875" customWidth="1"/>
    <col min="35" max="40" width="27.42578125" customWidth="1"/>
    <col min="41" max="43" width="31.28515625" customWidth="1"/>
    <col min="44" max="44" width="27.42578125" customWidth="1"/>
    <col min="45" max="47" width="34.28515625" customWidth="1"/>
    <col min="48" max="51" width="27.42578125" customWidth="1"/>
    <col min="52" max="52" width="39.42578125" customWidth="1"/>
    <col min="53" max="53" width="41.28515625" customWidth="1"/>
    <col min="54" max="65" width="27.42578125" customWidth="1"/>
    <col min="68" max="68" width="10.28515625" bestFit="1" customWidth="1"/>
    <col min="71" max="71" width="10.28515625" bestFit="1" customWidth="1"/>
    <col min="74" max="74" width="10.28515625" bestFit="1" customWidth="1"/>
    <col min="77" max="77" width="10.28515625" bestFit="1" customWidth="1"/>
    <col min="80" max="80" width="10.28515625" bestFit="1" customWidth="1"/>
    <col min="83" max="83" width="10.28515625" bestFit="1" customWidth="1"/>
    <col min="86" max="86" width="10.28515625" bestFit="1" customWidth="1"/>
    <col min="89" max="89" width="10.28515625" bestFit="1" customWidth="1"/>
    <col min="92" max="92" width="10.28515625" bestFit="1" customWidth="1"/>
    <col min="95" max="95" width="10.28515625" bestFit="1" customWidth="1"/>
    <col min="98" max="98" width="10.28515625" bestFit="1" customWidth="1"/>
    <col min="101" max="101" width="10.28515625" bestFit="1" customWidth="1"/>
    <col min="104" max="104" width="10.28515625" bestFit="1" customWidth="1"/>
    <col min="107" max="107" width="10.28515625" bestFit="1" customWidth="1"/>
    <col min="110" max="110" width="10.28515625" bestFit="1" customWidth="1"/>
    <col min="113" max="113" width="10.28515625" bestFit="1" customWidth="1"/>
    <col min="116" max="116" width="10.28515625" bestFit="1" customWidth="1"/>
    <col min="119" max="119" width="10.28515625" bestFit="1" customWidth="1"/>
    <col min="122" max="122" width="10.28515625" bestFit="1" customWidth="1"/>
    <col min="125" max="125" width="10.28515625" bestFit="1" customWidth="1"/>
    <col min="128" max="128" width="10.28515625" bestFit="1" customWidth="1"/>
    <col min="131" max="131" width="10.28515625" bestFit="1" customWidth="1"/>
    <col min="134" max="134" width="10.28515625" bestFit="1" customWidth="1"/>
    <col min="137" max="137" width="10.28515625" bestFit="1" customWidth="1"/>
    <col min="140" max="140" width="10.28515625" bestFit="1" customWidth="1"/>
    <col min="143" max="143" width="10.28515625" bestFit="1" customWidth="1"/>
    <col min="146" max="146" width="10.28515625" bestFit="1" customWidth="1"/>
    <col min="149" max="149" width="10.28515625" bestFit="1" customWidth="1"/>
    <col min="152" max="152" width="10.28515625" bestFit="1" customWidth="1"/>
    <col min="155" max="155" width="10.28515625" bestFit="1" customWidth="1"/>
    <col min="158" max="158" width="10.28515625" bestFit="1" customWidth="1"/>
    <col min="161" max="161" width="10.28515625" bestFit="1" customWidth="1"/>
    <col min="164" max="164" width="10.28515625" bestFit="1" customWidth="1"/>
    <col min="167" max="167" width="10.28515625" bestFit="1" customWidth="1"/>
    <col min="170" max="170" width="10.28515625" bestFit="1" customWidth="1"/>
    <col min="173" max="173" width="10.28515625" bestFit="1" customWidth="1"/>
    <col min="176" max="176" width="10.28515625" bestFit="1" customWidth="1"/>
    <col min="179" max="179" width="10.28515625" bestFit="1" customWidth="1"/>
    <col min="182" max="182" width="10.28515625" bestFit="1" customWidth="1"/>
    <col min="185" max="185" width="10.28515625" bestFit="1" customWidth="1"/>
    <col min="188" max="188" width="10.28515625" bestFit="1" customWidth="1"/>
    <col min="191" max="191" width="10.28515625" bestFit="1" customWidth="1"/>
    <col min="194" max="194" width="10.28515625" bestFit="1" customWidth="1"/>
    <col min="197" max="197" width="10.28515625" bestFit="1" customWidth="1"/>
    <col min="200" max="200" width="10.28515625" bestFit="1" customWidth="1"/>
    <col min="203" max="203" width="10.28515625" bestFit="1" customWidth="1"/>
    <col min="206" max="206" width="10.28515625" bestFit="1" customWidth="1"/>
  </cols>
  <sheetData>
    <row r="1" spans="1:26" ht="20.25" customHeight="1" x14ac:dyDescent="0.25">
      <c r="A1" s="85" t="s">
        <v>71</v>
      </c>
      <c r="B1" s="86"/>
      <c r="C1" s="86"/>
      <c r="D1" s="86"/>
      <c r="E1" s="86"/>
      <c r="W1" s="10"/>
      <c r="X1" s="10"/>
      <c r="Y1" s="10"/>
      <c r="Z1" s="10"/>
    </row>
    <row r="2" spans="1:26" x14ac:dyDescent="0.2">
      <c r="W2" s="10"/>
      <c r="X2" s="10"/>
      <c r="Y2" s="10"/>
      <c r="Z2" s="10"/>
    </row>
    <row r="3" spans="1:26" x14ac:dyDescent="0.2">
      <c r="A3" s="2" t="s">
        <v>14</v>
      </c>
      <c r="B3" s="2"/>
      <c r="C3" s="2"/>
      <c r="D3" s="2"/>
      <c r="E3" s="2"/>
      <c r="F3" s="2"/>
      <c r="G3" s="2"/>
      <c r="H3" s="2"/>
      <c r="W3" s="10"/>
      <c r="X3" s="10"/>
      <c r="Y3" s="10"/>
      <c r="Z3" s="10"/>
    </row>
    <row r="4" spans="1:26" x14ac:dyDescent="0.2">
      <c r="A4" s="2" t="s">
        <v>15</v>
      </c>
      <c r="B4" s="2"/>
      <c r="C4" s="2"/>
      <c r="D4" s="2"/>
      <c r="E4" s="2"/>
      <c r="F4" s="2"/>
      <c r="G4" s="2"/>
      <c r="H4" s="2"/>
      <c r="W4" s="10"/>
      <c r="X4" s="10"/>
      <c r="Y4" s="10"/>
      <c r="Z4" s="10"/>
    </row>
    <row r="5" spans="1:26" x14ac:dyDescent="0.2">
      <c r="A5" s="2" t="s">
        <v>1</v>
      </c>
      <c r="B5" s="2"/>
      <c r="C5" s="2"/>
      <c r="D5" s="2"/>
      <c r="E5" s="2"/>
      <c r="F5" s="2"/>
      <c r="G5" s="2"/>
      <c r="H5" s="2"/>
      <c r="W5" s="10"/>
      <c r="X5" s="10"/>
      <c r="Y5" s="10"/>
      <c r="Z5" s="10"/>
    </row>
    <row r="6" spans="1:26" x14ac:dyDescent="0.2">
      <c r="A6" s="2" t="s">
        <v>7</v>
      </c>
      <c r="B6" s="2"/>
      <c r="C6" s="2"/>
      <c r="D6" s="2"/>
      <c r="E6" s="2"/>
      <c r="F6" s="2"/>
      <c r="G6" s="2"/>
      <c r="H6" s="2"/>
      <c r="W6" s="10"/>
      <c r="X6" s="10"/>
      <c r="Y6" s="10"/>
      <c r="Z6" s="10"/>
    </row>
    <row r="7" spans="1:26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W7" s="10"/>
      <c r="X7" s="10"/>
      <c r="Y7" s="10"/>
      <c r="Z7" s="10"/>
    </row>
    <row r="8" spans="1:26" ht="25.5" customHeight="1" thickBot="1" x14ac:dyDescent="0.25">
      <c r="A8" s="6">
        <v>30</v>
      </c>
      <c r="B8" s="81" t="s">
        <v>90</v>
      </c>
      <c r="C8" s="82"/>
      <c r="D8" s="82"/>
      <c r="E8" s="82"/>
      <c r="F8" s="82"/>
      <c r="G8" s="82"/>
      <c r="H8" s="82"/>
      <c r="W8" s="10"/>
      <c r="X8" s="10"/>
      <c r="Y8" s="10"/>
      <c r="Z8" s="10"/>
    </row>
    <row r="9" spans="1:26" ht="43.5" customHeight="1" thickBot="1" x14ac:dyDescent="0.25">
      <c r="A9" s="6">
        <v>35</v>
      </c>
      <c r="B9" s="81" t="s">
        <v>92</v>
      </c>
      <c r="C9" s="82"/>
      <c r="D9" s="82"/>
      <c r="E9" s="82"/>
      <c r="F9" s="83"/>
      <c r="G9" s="83"/>
      <c r="H9" s="83"/>
      <c r="W9" s="10"/>
      <c r="X9" s="10"/>
      <c r="Y9" s="10"/>
      <c r="Z9" s="10"/>
    </row>
    <row r="10" spans="1:26" ht="33.75" customHeight="1" thickBot="1" x14ac:dyDescent="0.25">
      <c r="A10" s="6">
        <v>35</v>
      </c>
      <c r="B10" s="81" t="s">
        <v>91</v>
      </c>
      <c r="C10" s="82"/>
      <c r="D10" s="82"/>
      <c r="E10" s="82"/>
      <c r="F10" s="83"/>
      <c r="G10" s="83"/>
      <c r="H10" s="83"/>
      <c r="W10" s="10"/>
      <c r="X10" s="10"/>
      <c r="Y10" s="10"/>
      <c r="Z10" s="10"/>
    </row>
    <row r="11" spans="1:26" ht="25.5" customHeight="1" thickBot="1" x14ac:dyDescent="0.25">
      <c r="A11" s="22"/>
      <c r="B11" s="23"/>
      <c r="C11" s="24"/>
      <c r="D11" s="24"/>
      <c r="E11" s="24"/>
      <c r="F11" s="20"/>
      <c r="G11" s="20"/>
      <c r="H11" s="20"/>
      <c r="W11" s="10"/>
      <c r="X11" s="10"/>
      <c r="Y11" s="10"/>
      <c r="Z11" s="10"/>
    </row>
    <row r="12" spans="1:26" ht="100.5" customHeight="1" x14ac:dyDescent="0.2">
      <c r="A12" s="104" t="s">
        <v>9</v>
      </c>
      <c r="B12" s="104" t="s">
        <v>8</v>
      </c>
      <c r="C12" s="104" t="s">
        <v>20</v>
      </c>
      <c r="D12" s="104" t="s">
        <v>136</v>
      </c>
      <c r="E12" s="103" t="s">
        <v>93</v>
      </c>
      <c r="F12" s="101"/>
      <c r="G12" s="101"/>
      <c r="H12" s="101"/>
      <c r="I12" s="101"/>
      <c r="J12" s="102"/>
      <c r="K12" s="100" t="s">
        <v>94</v>
      </c>
      <c r="L12" s="106"/>
      <c r="M12" s="106"/>
      <c r="N12" s="106"/>
      <c r="O12" s="106"/>
      <c r="P12" s="107"/>
      <c r="Q12" s="100" t="s">
        <v>95</v>
      </c>
      <c r="R12" s="101"/>
      <c r="S12" s="101"/>
      <c r="T12" s="101"/>
      <c r="U12" s="101"/>
      <c r="V12" s="102"/>
      <c r="W12" s="97" t="s">
        <v>5</v>
      </c>
      <c r="X12" s="98"/>
      <c r="Y12" s="98"/>
      <c r="Z12" s="99"/>
    </row>
    <row r="13" spans="1:26" ht="58.5" customHeight="1" thickBot="1" x14ac:dyDescent="0.25">
      <c r="A13" s="105"/>
      <c r="B13" s="105"/>
      <c r="C13" s="105"/>
      <c r="D13" s="105"/>
      <c r="E13" s="40" t="s">
        <v>63</v>
      </c>
      <c r="F13" s="30" t="s">
        <v>141</v>
      </c>
      <c r="G13" s="30" t="s">
        <v>17</v>
      </c>
      <c r="H13" s="30" t="s">
        <v>62</v>
      </c>
      <c r="I13" s="30" t="s">
        <v>144</v>
      </c>
      <c r="J13" s="41" t="s">
        <v>64</v>
      </c>
      <c r="K13" s="40" t="s">
        <v>63</v>
      </c>
      <c r="L13" s="30" t="s">
        <v>141</v>
      </c>
      <c r="M13" s="30" t="s">
        <v>17</v>
      </c>
      <c r="N13" s="30" t="s">
        <v>62</v>
      </c>
      <c r="O13" s="30" t="s">
        <v>144</v>
      </c>
      <c r="P13" s="41" t="s">
        <v>64</v>
      </c>
      <c r="Q13" s="40" t="s">
        <v>63</v>
      </c>
      <c r="R13" s="30" t="s">
        <v>141</v>
      </c>
      <c r="S13" s="30" t="s">
        <v>17</v>
      </c>
      <c r="T13" s="30" t="s">
        <v>62</v>
      </c>
      <c r="U13" s="30" t="s">
        <v>144</v>
      </c>
      <c r="V13" s="41" t="s">
        <v>64</v>
      </c>
      <c r="W13" s="42">
        <v>1</v>
      </c>
      <c r="X13" s="28">
        <v>2</v>
      </c>
      <c r="Y13" s="28">
        <v>3</v>
      </c>
      <c r="Z13" s="29" t="s">
        <v>135</v>
      </c>
    </row>
    <row r="14" spans="1:26" ht="17.25" customHeight="1" x14ac:dyDescent="0.2">
      <c r="A14" s="1" t="s">
        <v>41</v>
      </c>
      <c r="B14" s="11" t="s">
        <v>21</v>
      </c>
      <c r="C14" s="13">
        <f t="shared" ref="C14:C36" si="0">IF(D14&lt;&gt;1,"",SUM(J14,P14,V14))</f>
        <v>1</v>
      </c>
      <c r="D14" s="13">
        <f t="shared" ref="D14:D36" si="1">IF(SUM(E14,K14,Q14)=0,0,1)</f>
        <v>1</v>
      </c>
      <c r="E14" s="16">
        <v>1</v>
      </c>
      <c r="F14" s="16">
        <v>100</v>
      </c>
      <c r="G14" s="16">
        <v>1</v>
      </c>
      <c r="H14" s="13">
        <f t="shared" ref="H14:H36" si="2">IF(E14=1,(MIN(Вес2.1,Вес2.2,Вес2.3))*((100/MIN(Вес2.1,Вес2.2,Вес2.3))/Z14*Вес2.1/MIN(Вес2.1,Вес2.2,Вес2.3)),"")</f>
        <v>100</v>
      </c>
      <c r="I14" s="13">
        <f t="shared" ref="I14:I36" si="3">IF(H14="","не применяется",IF(E14=0,"не применяется",H14*G14/100))</f>
        <v>1</v>
      </c>
      <c r="J14" s="13">
        <f t="shared" ref="J14:J36" si="4">IF(ISNUMBER(I14),I14,"")</f>
        <v>1</v>
      </c>
      <c r="K14" s="16">
        <v>0</v>
      </c>
      <c r="L14" s="16">
        <v>0</v>
      </c>
      <c r="M14" s="16">
        <v>0</v>
      </c>
      <c r="N14" s="13" t="str">
        <f t="shared" ref="N14:N36" si="5">IF(K14=1,(MIN(Вес2.1,Вес2.2,Вес2.3))*((100/MIN(Вес2.1,Вес2.2,Вес2.3))/Z14*Вес2.2/MIN(Вес2.1,Вес2.2,Вес2.3)),"")</f>
        <v/>
      </c>
      <c r="O14" s="13" t="str">
        <f t="shared" ref="O14:O36" si="6">IF(N14="","не применяется",IF(K14=0,"не применяется",N14*M14/100))</f>
        <v>не применяется</v>
      </c>
      <c r="P14" s="13" t="str">
        <f t="shared" ref="P14:P36" si="7">IF(ISNUMBER(O14),O14,"")</f>
        <v/>
      </c>
      <c r="Q14" s="16">
        <v>0</v>
      </c>
      <c r="R14" s="16">
        <v>0</v>
      </c>
      <c r="S14" s="16">
        <v>0</v>
      </c>
      <c r="T14" s="13" t="str">
        <f t="shared" ref="T14:T36" si="8">IF(Q14=1,(MIN(Вес2.1,Вес2.2,Вес2.3))*((100/MIN(Вес2.1,Вес2.2,Вес2.3))/Z14*Вес2.3/MIN(Вес2.1,Вес2.2,Вес2.3)),"")</f>
        <v/>
      </c>
      <c r="U14" s="13" t="str">
        <f t="shared" ref="U14:U36" si="9">IF(T14="","не применяется",IF(Q14=0,"не применяется",T14*S14/100))</f>
        <v>не применяется</v>
      </c>
      <c r="V14" s="13" t="str">
        <f t="shared" ref="V14:V36" si="10">IF(ISNUMBER(U14),U14,"")</f>
        <v/>
      </c>
      <c r="W14" s="13">
        <f t="shared" ref="W14:W36" si="11">IF(E14=1,Вес2.1/MIN(Вес2.1,Вес2.2,Вес2.3),"")</f>
        <v>1</v>
      </c>
      <c r="X14" s="13" t="str">
        <f t="shared" ref="X14:X36" si="12">IF(K14=1,Вес2.2/MIN(Вес2.1,Вес2.2,Вес2.3),"")</f>
        <v/>
      </c>
      <c r="Y14" s="13" t="str">
        <f t="shared" ref="Y14:Y36" si="13">IF(Q14=1,Вес2.3/MIN(Вес2.1,Вес2.2,Вес2.3),"")</f>
        <v/>
      </c>
      <c r="Z14" s="13">
        <f t="shared" ref="Z14:Z36" si="14">SUM(W14:Y14)</f>
        <v>1</v>
      </c>
    </row>
    <row r="15" spans="1:26" ht="25.5" x14ac:dyDescent="0.2">
      <c r="A15" s="1" t="s">
        <v>42</v>
      </c>
      <c r="B15" s="11" t="s">
        <v>148</v>
      </c>
      <c r="C15" s="13">
        <f t="shared" si="0"/>
        <v>0.99999999999999978</v>
      </c>
      <c r="D15" s="13">
        <f t="shared" si="1"/>
        <v>1</v>
      </c>
      <c r="E15" s="16">
        <v>1</v>
      </c>
      <c r="F15" s="16">
        <v>100</v>
      </c>
      <c r="G15" s="16">
        <v>1</v>
      </c>
      <c r="H15" s="13">
        <f t="shared" si="2"/>
        <v>29.999999999999996</v>
      </c>
      <c r="I15" s="13">
        <f t="shared" si="3"/>
        <v>0.3</v>
      </c>
      <c r="J15" s="13">
        <f t="shared" si="4"/>
        <v>0.3</v>
      </c>
      <c r="K15" s="16">
        <v>1</v>
      </c>
      <c r="L15" s="16">
        <v>100</v>
      </c>
      <c r="M15" s="16">
        <v>1</v>
      </c>
      <c r="N15" s="13">
        <f t="shared" si="5"/>
        <v>34.999999999999993</v>
      </c>
      <c r="O15" s="13">
        <f t="shared" si="6"/>
        <v>0.34999999999999992</v>
      </c>
      <c r="P15" s="13">
        <f t="shared" si="7"/>
        <v>0.34999999999999992</v>
      </c>
      <c r="Q15" s="16">
        <v>1</v>
      </c>
      <c r="R15" s="16">
        <v>100</v>
      </c>
      <c r="S15" s="16">
        <v>1</v>
      </c>
      <c r="T15" s="13">
        <f t="shared" si="8"/>
        <v>34.999999999999993</v>
      </c>
      <c r="U15" s="13">
        <f t="shared" si="9"/>
        <v>0.34999999999999992</v>
      </c>
      <c r="V15" s="13">
        <f t="shared" si="10"/>
        <v>0.34999999999999992</v>
      </c>
      <c r="W15" s="13">
        <f t="shared" si="11"/>
        <v>1</v>
      </c>
      <c r="X15" s="13">
        <f t="shared" si="12"/>
        <v>1.1666666666666667</v>
      </c>
      <c r="Y15" s="13">
        <f t="shared" si="13"/>
        <v>1.1666666666666667</v>
      </c>
      <c r="Z15" s="13">
        <f t="shared" si="14"/>
        <v>3.3333333333333339</v>
      </c>
    </row>
    <row r="16" spans="1:26" ht="29.25" customHeight="1" x14ac:dyDescent="0.2">
      <c r="A16" s="1" t="s">
        <v>43</v>
      </c>
      <c r="B16" s="11" t="s">
        <v>22</v>
      </c>
      <c r="C16" s="13">
        <f t="shared" si="0"/>
        <v>0.99999999999999989</v>
      </c>
      <c r="D16" s="13">
        <f t="shared" si="1"/>
        <v>1</v>
      </c>
      <c r="E16" s="16">
        <v>1</v>
      </c>
      <c r="F16" s="16">
        <v>100</v>
      </c>
      <c r="G16" s="16">
        <v>1</v>
      </c>
      <c r="H16" s="13">
        <f t="shared" si="2"/>
        <v>46.153846153846146</v>
      </c>
      <c r="I16" s="13">
        <f t="shared" si="3"/>
        <v>0.46153846153846145</v>
      </c>
      <c r="J16" s="13">
        <f t="shared" si="4"/>
        <v>0.46153846153846145</v>
      </c>
      <c r="K16" s="16">
        <v>0</v>
      </c>
      <c r="L16" s="16">
        <v>0</v>
      </c>
      <c r="M16" s="16">
        <v>0</v>
      </c>
      <c r="N16" s="13" t="str">
        <f t="shared" si="5"/>
        <v/>
      </c>
      <c r="O16" s="13" t="str">
        <f t="shared" si="6"/>
        <v>не применяется</v>
      </c>
      <c r="P16" s="13" t="str">
        <f t="shared" si="7"/>
        <v/>
      </c>
      <c r="Q16" s="16">
        <v>1</v>
      </c>
      <c r="R16" s="16">
        <v>100</v>
      </c>
      <c r="S16" s="16">
        <v>1</v>
      </c>
      <c r="T16" s="13">
        <f t="shared" si="8"/>
        <v>53.84615384615384</v>
      </c>
      <c r="U16" s="13">
        <f t="shared" si="9"/>
        <v>0.53846153846153844</v>
      </c>
      <c r="V16" s="13">
        <f t="shared" si="10"/>
        <v>0.53846153846153844</v>
      </c>
      <c r="W16" s="13">
        <f t="shared" si="11"/>
        <v>1</v>
      </c>
      <c r="X16" s="13" t="str">
        <f t="shared" si="12"/>
        <v/>
      </c>
      <c r="Y16" s="13">
        <f t="shared" si="13"/>
        <v>1.1666666666666667</v>
      </c>
      <c r="Z16" s="13">
        <f t="shared" si="14"/>
        <v>2.166666666666667</v>
      </c>
    </row>
    <row r="17" spans="1:26" ht="38.25" x14ac:dyDescent="0.2">
      <c r="A17" s="1" t="s">
        <v>152</v>
      </c>
      <c r="B17" s="11" t="s">
        <v>153</v>
      </c>
      <c r="C17" s="13">
        <f t="shared" si="0"/>
        <v>0</v>
      </c>
      <c r="D17" s="13">
        <f t="shared" si="1"/>
        <v>1</v>
      </c>
      <c r="E17" s="16">
        <v>1</v>
      </c>
      <c r="F17" s="16">
        <v>0</v>
      </c>
      <c r="G17" s="16">
        <v>0</v>
      </c>
      <c r="H17" s="13">
        <f t="shared" si="2"/>
        <v>46.153846153846146</v>
      </c>
      <c r="I17" s="13">
        <f t="shared" si="3"/>
        <v>0</v>
      </c>
      <c r="J17" s="13">
        <f t="shared" si="4"/>
        <v>0</v>
      </c>
      <c r="K17" s="16">
        <v>1</v>
      </c>
      <c r="L17" s="16">
        <v>0</v>
      </c>
      <c r="M17" s="16">
        <v>0</v>
      </c>
      <c r="N17" s="13">
        <f t="shared" si="5"/>
        <v>53.84615384615384</v>
      </c>
      <c r="O17" s="13">
        <f t="shared" si="6"/>
        <v>0</v>
      </c>
      <c r="P17" s="13">
        <f t="shared" si="7"/>
        <v>0</v>
      </c>
      <c r="Q17" s="16">
        <v>0</v>
      </c>
      <c r="R17" s="16">
        <v>0</v>
      </c>
      <c r="S17" s="16">
        <v>0</v>
      </c>
      <c r="T17" s="13" t="str">
        <f t="shared" si="8"/>
        <v/>
      </c>
      <c r="U17" s="13" t="str">
        <f t="shared" si="9"/>
        <v>не применяется</v>
      </c>
      <c r="V17" s="13" t="str">
        <f t="shared" si="10"/>
        <v/>
      </c>
      <c r="W17" s="13">
        <f t="shared" si="11"/>
        <v>1</v>
      </c>
      <c r="X17" s="13">
        <f t="shared" si="12"/>
        <v>1.1666666666666667</v>
      </c>
      <c r="Y17" s="13" t="str">
        <f t="shared" si="13"/>
        <v/>
      </c>
      <c r="Z17" s="13">
        <f t="shared" si="14"/>
        <v>2.166666666666667</v>
      </c>
    </row>
    <row r="18" spans="1:26" ht="27" customHeight="1" x14ac:dyDescent="0.2">
      <c r="A18" s="1" t="s">
        <v>44</v>
      </c>
      <c r="B18" s="11" t="s">
        <v>23</v>
      </c>
      <c r="C18" s="13">
        <f t="shared" si="0"/>
        <v>1</v>
      </c>
      <c r="D18" s="13">
        <f t="shared" si="1"/>
        <v>1</v>
      </c>
      <c r="E18" s="16">
        <v>1</v>
      </c>
      <c r="F18" s="16">
        <v>100</v>
      </c>
      <c r="G18" s="16">
        <v>1</v>
      </c>
      <c r="H18" s="13">
        <f t="shared" si="2"/>
        <v>100</v>
      </c>
      <c r="I18" s="13">
        <f t="shared" si="3"/>
        <v>1</v>
      </c>
      <c r="J18" s="13">
        <f t="shared" si="4"/>
        <v>1</v>
      </c>
      <c r="K18" s="16">
        <v>0</v>
      </c>
      <c r="L18" s="16">
        <v>0</v>
      </c>
      <c r="M18" s="16">
        <v>0</v>
      </c>
      <c r="N18" s="13" t="str">
        <f t="shared" si="5"/>
        <v/>
      </c>
      <c r="O18" s="13" t="str">
        <f t="shared" si="6"/>
        <v>не применяется</v>
      </c>
      <c r="P18" s="13" t="str">
        <f t="shared" si="7"/>
        <v/>
      </c>
      <c r="Q18" s="16">
        <v>0</v>
      </c>
      <c r="R18" s="16">
        <v>0</v>
      </c>
      <c r="S18" s="16">
        <v>0</v>
      </c>
      <c r="T18" s="13" t="str">
        <f t="shared" si="8"/>
        <v/>
      </c>
      <c r="U18" s="13" t="str">
        <f t="shared" si="9"/>
        <v>не применяется</v>
      </c>
      <c r="V18" s="13" t="str">
        <f t="shared" si="10"/>
        <v/>
      </c>
      <c r="W18" s="13">
        <f t="shared" si="11"/>
        <v>1</v>
      </c>
      <c r="X18" s="13" t="str">
        <f t="shared" si="12"/>
        <v/>
      </c>
      <c r="Y18" s="13" t="str">
        <f t="shared" si="13"/>
        <v/>
      </c>
      <c r="Z18" s="13">
        <f t="shared" si="14"/>
        <v>1</v>
      </c>
    </row>
    <row r="19" spans="1:26" ht="41.25" customHeight="1" x14ac:dyDescent="0.2">
      <c r="A19" s="1" t="s">
        <v>45</v>
      </c>
      <c r="B19" s="11" t="s">
        <v>24</v>
      </c>
      <c r="C19" s="13">
        <f t="shared" si="0"/>
        <v>0.46153846153846145</v>
      </c>
      <c r="D19" s="13">
        <f t="shared" si="1"/>
        <v>1</v>
      </c>
      <c r="E19" s="16">
        <v>1</v>
      </c>
      <c r="F19" s="16">
        <v>100</v>
      </c>
      <c r="G19" s="16">
        <v>1</v>
      </c>
      <c r="H19" s="13">
        <f t="shared" si="2"/>
        <v>46.153846153846146</v>
      </c>
      <c r="I19" s="13">
        <f t="shared" si="3"/>
        <v>0.46153846153846145</v>
      </c>
      <c r="J19" s="13">
        <f t="shared" si="4"/>
        <v>0.46153846153846145</v>
      </c>
      <c r="K19" s="16">
        <v>1</v>
      </c>
      <c r="L19" s="16">
        <v>0</v>
      </c>
      <c r="M19" s="16">
        <v>0</v>
      </c>
      <c r="N19" s="13">
        <f t="shared" si="5"/>
        <v>53.84615384615384</v>
      </c>
      <c r="O19" s="13">
        <f t="shared" si="6"/>
        <v>0</v>
      </c>
      <c r="P19" s="13">
        <f t="shared" si="7"/>
        <v>0</v>
      </c>
      <c r="Q19" s="16">
        <v>0</v>
      </c>
      <c r="R19" s="16">
        <v>0</v>
      </c>
      <c r="S19" s="16">
        <v>0</v>
      </c>
      <c r="T19" s="13" t="str">
        <f t="shared" si="8"/>
        <v/>
      </c>
      <c r="U19" s="13" t="str">
        <f t="shared" si="9"/>
        <v>не применяется</v>
      </c>
      <c r="V19" s="13" t="str">
        <f t="shared" si="10"/>
        <v/>
      </c>
      <c r="W19" s="13">
        <f t="shared" si="11"/>
        <v>1</v>
      </c>
      <c r="X19" s="13">
        <f t="shared" si="12"/>
        <v>1.1666666666666667</v>
      </c>
      <c r="Y19" s="13" t="str">
        <f t="shared" si="13"/>
        <v/>
      </c>
      <c r="Z19" s="13">
        <f t="shared" si="14"/>
        <v>2.166666666666667</v>
      </c>
    </row>
    <row r="20" spans="1:26" ht="29.25" customHeight="1" x14ac:dyDescent="0.2">
      <c r="A20" s="1" t="s">
        <v>46</v>
      </c>
      <c r="B20" s="11" t="s">
        <v>25</v>
      </c>
      <c r="C20" s="13">
        <f t="shared" si="0"/>
        <v>0.64999999999999991</v>
      </c>
      <c r="D20" s="13">
        <f t="shared" si="1"/>
        <v>1</v>
      </c>
      <c r="E20" s="16">
        <v>1</v>
      </c>
      <c r="F20" s="16">
        <v>100</v>
      </c>
      <c r="G20" s="16">
        <v>1</v>
      </c>
      <c r="H20" s="13">
        <f t="shared" si="2"/>
        <v>29.999999999999996</v>
      </c>
      <c r="I20" s="13">
        <f t="shared" si="3"/>
        <v>0.3</v>
      </c>
      <c r="J20" s="13">
        <f t="shared" si="4"/>
        <v>0.3</v>
      </c>
      <c r="K20" s="16">
        <v>1</v>
      </c>
      <c r="L20" s="16">
        <v>0</v>
      </c>
      <c r="M20" s="16">
        <v>0</v>
      </c>
      <c r="N20" s="13">
        <f t="shared" si="5"/>
        <v>34.999999999999993</v>
      </c>
      <c r="O20" s="13">
        <f t="shared" si="6"/>
        <v>0</v>
      </c>
      <c r="P20" s="13">
        <f t="shared" si="7"/>
        <v>0</v>
      </c>
      <c r="Q20" s="16">
        <v>1</v>
      </c>
      <c r="R20" s="16">
        <v>100</v>
      </c>
      <c r="S20" s="16">
        <v>1</v>
      </c>
      <c r="T20" s="13">
        <f t="shared" si="8"/>
        <v>34.999999999999993</v>
      </c>
      <c r="U20" s="13">
        <f t="shared" si="9"/>
        <v>0.34999999999999992</v>
      </c>
      <c r="V20" s="13">
        <f t="shared" si="10"/>
        <v>0.34999999999999992</v>
      </c>
      <c r="W20" s="13">
        <f t="shared" si="11"/>
        <v>1</v>
      </c>
      <c r="X20" s="13">
        <f t="shared" si="12"/>
        <v>1.1666666666666667</v>
      </c>
      <c r="Y20" s="13">
        <f t="shared" si="13"/>
        <v>1.1666666666666667</v>
      </c>
      <c r="Z20" s="13">
        <f t="shared" si="14"/>
        <v>3.3333333333333339</v>
      </c>
    </row>
    <row r="21" spans="1:26" ht="38.25" x14ac:dyDescent="0.2">
      <c r="A21" s="1" t="s">
        <v>47</v>
      </c>
      <c r="B21" s="11" t="s">
        <v>26</v>
      </c>
      <c r="C21" s="13">
        <f t="shared" si="0"/>
        <v>0.46153846153846145</v>
      </c>
      <c r="D21" s="13">
        <f t="shared" si="1"/>
        <v>1</v>
      </c>
      <c r="E21" s="16">
        <v>1</v>
      </c>
      <c r="F21" s="16">
        <v>100</v>
      </c>
      <c r="G21" s="16">
        <v>1</v>
      </c>
      <c r="H21" s="13">
        <f t="shared" si="2"/>
        <v>46.153846153846146</v>
      </c>
      <c r="I21" s="13">
        <f t="shared" si="3"/>
        <v>0.46153846153846145</v>
      </c>
      <c r="J21" s="13">
        <f t="shared" si="4"/>
        <v>0.46153846153846145</v>
      </c>
      <c r="K21" s="16">
        <v>1</v>
      </c>
      <c r="L21" s="16">
        <v>0</v>
      </c>
      <c r="M21" s="16">
        <v>0</v>
      </c>
      <c r="N21" s="13">
        <f t="shared" si="5"/>
        <v>53.84615384615384</v>
      </c>
      <c r="O21" s="13">
        <f t="shared" si="6"/>
        <v>0</v>
      </c>
      <c r="P21" s="13">
        <f t="shared" si="7"/>
        <v>0</v>
      </c>
      <c r="Q21" s="16">
        <v>0</v>
      </c>
      <c r="R21" s="16">
        <v>0</v>
      </c>
      <c r="S21" s="16">
        <v>0</v>
      </c>
      <c r="T21" s="13" t="str">
        <f t="shared" si="8"/>
        <v/>
      </c>
      <c r="U21" s="13" t="str">
        <f t="shared" si="9"/>
        <v>не применяется</v>
      </c>
      <c r="V21" s="13" t="str">
        <f t="shared" si="10"/>
        <v/>
      </c>
      <c r="W21" s="13">
        <f t="shared" si="11"/>
        <v>1</v>
      </c>
      <c r="X21" s="13">
        <f t="shared" si="12"/>
        <v>1.1666666666666667</v>
      </c>
      <c r="Y21" s="13" t="str">
        <f t="shared" si="13"/>
        <v/>
      </c>
      <c r="Z21" s="13">
        <f t="shared" si="14"/>
        <v>2.166666666666667</v>
      </c>
    </row>
    <row r="22" spans="1:26" ht="39.75" customHeight="1" x14ac:dyDescent="0.2">
      <c r="A22" s="1" t="s">
        <v>48</v>
      </c>
      <c r="B22" s="11" t="s">
        <v>27</v>
      </c>
      <c r="C22" s="13">
        <f t="shared" si="0"/>
        <v>0</v>
      </c>
      <c r="D22" s="13">
        <f t="shared" si="1"/>
        <v>1</v>
      </c>
      <c r="E22" s="16">
        <v>1</v>
      </c>
      <c r="F22" s="16">
        <v>0</v>
      </c>
      <c r="G22" s="16">
        <v>0</v>
      </c>
      <c r="H22" s="13">
        <f t="shared" si="2"/>
        <v>46.153846153846146</v>
      </c>
      <c r="I22" s="13">
        <f t="shared" si="3"/>
        <v>0</v>
      </c>
      <c r="J22" s="13">
        <f t="shared" si="4"/>
        <v>0</v>
      </c>
      <c r="K22" s="16">
        <v>1</v>
      </c>
      <c r="L22" s="16">
        <v>0</v>
      </c>
      <c r="M22" s="16">
        <v>0</v>
      </c>
      <c r="N22" s="13">
        <f t="shared" si="5"/>
        <v>53.84615384615384</v>
      </c>
      <c r="O22" s="13">
        <f t="shared" si="6"/>
        <v>0</v>
      </c>
      <c r="P22" s="13">
        <f t="shared" si="7"/>
        <v>0</v>
      </c>
      <c r="Q22" s="16">
        <v>0</v>
      </c>
      <c r="R22" s="16">
        <v>0</v>
      </c>
      <c r="S22" s="16">
        <v>0</v>
      </c>
      <c r="T22" s="13" t="str">
        <f t="shared" si="8"/>
        <v/>
      </c>
      <c r="U22" s="13" t="str">
        <f t="shared" si="9"/>
        <v>не применяется</v>
      </c>
      <c r="V22" s="13" t="str">
        <f t="shared" si="10"/>
        <v/>
      </c>
      <c r="W22" s="13">
        <f t="shared" si="11"/>
        <v>1</v>
      </c>
      <c r="X22" s="13">
        <f t="shared" si="12"/>
        <v>1.1666666666666667</v>
      </c>
      <c r="Y22" s="13" t="str">
        <f t="shared" si="13"/>
        <v/>
      </c>
      <c r="Z22" s="13">
        <f t="shared" si="14"/>
        <v>2.166666666666667</v>
      </c>
    </row>
    <row r="23" spans="1:26" ht="25.5" x14ac:dyDescent="0.2">
      <c r="A23" s="1" t="s">
        <v>49</v>
      </c>
      <c r="B23" s="11" t="s">
        <v>28</v>
      </c>
      <c r="C23" s="13">
        <f t="shared" si="0"/>
        <v>0</v>
      </c>
      <c r="D23" s="13">
        <f t="shared" si="1"/>
        <v>1</v>
      </c>
      <c r="E23" s="16">
        <v>1</v>
      </c>
      <c r="F23" s="16">
        <v>0</v>
      </c>
      <c r="G23" s="16">
        <v>0</v>
      </c>
      <c r="H23" s="13">
        <f t="shared" si="2"/>
        <v>46.153846153846146</v>
      </c>
      <c r="I23" s="13">
        <f t="shared" si="3"/>
        <v>0</v>
      </c>
      <c r="J23" s="13">
        <f t="shared" si="4"/>
        <v>0</v>
      </c>
      <c r="K23" s="16">
        <v>1</v>
      </c>
      <c r="L23" s="16">
        <v>0</v>
      </c>
      <c r="M23" s="16">
        <v>0</v>
      </c>
      <c r="N23" s="13">
        <f t="shared" si="5"/>
        <v>53.84615384615384</v>
      </c>
      <c r="O23" s="13">
        <f t="shared" si="6"/>
        <v>0</v>
      </c>
      <c r="P23" s="13">
        <f t="shared" si="7"/>
        <v>0</v>
      </c>
      <c r="Q23" s="16">
        <v>0</v>
      </c>
      <c r="R23" s="16">
        <v>0</v>
      </c>
      <c r="S23" s="16">
        <v>0</v>
      </c>
      <c r="T23" s="13" t="str">
        <f t="shared" si="8"/>
        <v/>
      </c>
      <c r="U23" s="13" t="str">
        <f t="shared" si="9"/>
        <v>не применяется</v>
      </c>
      <c r="V23" s="13" t="str">
        <f t="shared" si="10"/>
        <v/>
      </c>
      <c r="W23" s="13">
        <f t="shared" si="11"/>
        <v>1</v>
      </c>
      <c r="X23" s="13">
        <f t="shared" si="12"/>
        <v>1.1666666666666667</v>
      </c>
      <c r="Y23" s="13" t="str">
        <f t="shared" si="13"/>
        <v/>
      </c>
      <c r="Z23" s="13">
        <f t="shared" si="14"/>
        <v>2.166666666666667</v>
      </c>
    </row>
    <row r="24" spans="1:26" ht="39" customHeight="1" x14ac:dyDescent="0.2">
      <c r="A24" s="1" t="s">
        <v>150</v>
      </c>
      <c r="B24" s="11" t="s">
        <v>147</v>
      </c>
      <c r="C24" s="13">
        <f t="shared" si="0"/>
        <v>0.23076923076923073</v>
      </c>
      <c r="D24" s="13">
        <f t="shared" si="1"/>
        <v>1</v>
      </c>
      <c r="E24" s="16">
        <v>1</v>
      </c>
      <c r="F24" s="16">
        <v>50</v>
      </c>
      <c r="G24" s="16">
        <v>0.5</v>
      </c>
      <c r="H24" s="13">
        <f t="shared" si="2"/>
        <v>46.153846153846146</v>
      </c>
      <c r="I24" s="13">
        <f t="shared" si="3"/>
        <v>0.23076923076923073</v>
      </c>
      <c r="J24" s="13">
        <f t="shared" si="4"/>
        <v>0.23076923076923073</v>
      </c>
      <c r="K24" s="16">
        <v>1</v>
      </c>
      <c r="L24" s="16">
        <v>0</v>
      </c>
      <c r="M24" s="16">
        <v>0</v>
      </c>
      <c r="N24" s="13">
        <f t="shared" si="5"/>
        <v>53.84615384615384</v>
      </c>
      <c r="O24" s="13">
        <f t="shared" si="6"/>
        <v>0</v>
      </c>
      <c r="P24" s="13">
        <f t="shared" si="7"/>
        <v>0</v>
      </c>
      <c r="Q24" s="16">
        <v>0</v>
      </c>
      <c r="R24" s="16">
        <v>0</v>
      </c>
      <c r="S24" s="16">
        <v>0</v>
      </c>
      <c r="T24" s="13" t="str">
        <f t="shared" si="8"/>
        <v/>
      </c>
      <c r="U24" s="13" t="str">
        <f t="shared" si="9"/>
        <v>не применяется</v>
      </c>
      <c r="V24" s="13" t="str">
        <f t="shared" si="10"/>
        <v/>
      </c>
      <c r="W24" s="13">
        <f t="shared" si="11"/>
        <v>1</v>
      </c>
      <c r="X24" s="13">
        <f t="shared" si="12"/>
        <v>1.1666666666666667</v>
      </c>
      <c r="Y24" s="13" t="str">
        <f t="shared" si="13"/>
        <v/>
      </c>
      <c r="Z24" s="13">
        <f t="shared" si="14"/>
        <v>2.166666666666667</v>
      </c>
    </row>
    <row r="25" spans="1:26" ht="27.75" customHeight="1" x14ac:dyDescent="0.2">
      <c r="A25" s="1" t="s">
        <v>50</v>
      </c>
      <c r="B25" s="11" t="s">
        <v>29</v>
      </c>
      <c r="C25" s="13">
        <f t="shared" si="0"/>
        <v>0.34999999999999992</v>
      </c>
      <c r="D25" s="13">
        <f t="shared" si="1"/>
        <v>1</v>
      </c>
      <c r="E25" s="16">
        <v>1</v>
      </c>
      <c r="F25" s="16">
        <v>0</v>
      </c>
      <c r="G25" s="16">
        <v>0</v>
      </c>
      <c r="H25" s="13">
        <f t="shared" si="2"/>
        <v>29.999999999999996</v>
      </c>
      <c r="I25" s="13">
        <f t="shared" si="3"/>
        <v>0</v>
      </c>
      <c r="J25" s="13">
        <f t="shared" si="4"/>
        <v>0</v>
      </c>
      <c r="K25" s="16">
        <v>1</v>
      </c>
      <c r="L25" s="16">
        <v>0</v>
      </c>
      <c r="M25" s="16">
        <v>0</v>
      </c>
      <c r="N25" s="13">
        <f t="shared" si="5"/>
        <v>34.999999999999993</v>
      </c>
      <c r="O25" s="13">
        <f t="shared" si="6"/>
        <v>0</v>
      </c>
      <c r="P25" s="13">
        <f t="shared" si="7"/>
        <v>0</v>
      </c>
      <c r="Q25" s="16">
        <v>1</v>
      </c>
      <c r="R25" s="16">
        <v>100</v>
      </c>
      <c r="S25" s="16">
        <v>1</v>
      </c>
      <c r="T25" s="13">
        <f t="shared" si="8"/>
        <v>34.999999999999993</v>
      </c>
      <c r="U25" s="13">
        <f t="shared" si="9"/>
        <v>0.34999999999999992</v>
      </c>
      <c r="V25" s="13">
        <f t="shared" si="10"/>
        <v>0.34999999999999992</v>
      </c>
      <c r="W25" s="13">
        <f t="shared" si="11"/>
        <v>1</v>
      </c>
      <c r="X25" s="13">
        <f t="shared" si="12"/>
        <v>1.1666666666666667</v>
      </c>
      <c r="Y25" s="13">
        <f t="shared" si="13"/>
        <v>1.1666666666666667</v>
      </c>
      <c r="Z25" s="13">
        <f t="shared" si="14"/>
        <v>3.3333333333333339</v>
      </c>
    </row>
    <row r="26" spans="1:26" ht="38.25" x14ac:dyDescent="0.2">
      <c r="A26" s="1" t="s">
        <v>51</v>
      </c>
      <c r="B26" s="11" t="s">
        <v>30</v>
      </c>
      <c r="C26" s="13">
        <f t="shared" si="0"/>
        <v>0.34999999999999992</v>
      </c>
      <c r="D26" s="13">
        <f t="shared" si="1"/>
        <v>1</v>
      </c>
      <c r="E26" s="16">
        <v>1</v>
      </c>
      <c r="F26" s="16">
        <v>0</v>
      </c>
      <c r="G26" s="16">
        <v>0</v>
      </c>
      <c r="H26" s="13">
        <f t="shared" si="2"/>
        <v>29.999999999999996</v>
      </c>
      <c r="I26" s="13">
        <f t="shared" si="3"/>
        <v>0</v>
      </c>
      <c r="J26" s="13">
        <f t="shared" si="4"/>
        <v>0</v>
      </c>
      <c r="K26" s="16">
        <v>1</v>
      </c>
      <c r="L26" s="16">
        <v>0</v>
      </c>
      <c r="M26" s="16">
        <v>0</v>
      </c>
      <c r="N26" s="13">
        <f t="shared" si="5"/>
        <v>34.999999999999993</v>
      </c>
      <c r="O26" s="13">
        <f t="shared" si="6"/>
        <v>0</v>
      </c>
      <c r="P26" s="13">
        <f t="shared" si="7"/>
        <v>0</v>
      </c>
      <c r="Q26" s="16">
        <v>1</v>
      </c>
      <c r="R26" s="16">
        <v>100</v>
      </c>
      <c r="S26" s="16">
        <v>1</v>
      </c>
      <c r="T26" s="13">
        <f t="shared" si="8"/>
        <v>34.999999999999993</v>
      </c>
      <c r="U26" s="13">
        <f t="shared" si="9"/>
        <v>0.34999999999999992</v>
      </c>
      <c r="V26" s="13">
        <f t="shared" si="10"/>
        <v>0.34999999999999992</v>
      </c>
      <c r="W26" s="13">
        <f t="shared" si="11"/>
        <v>1</v>
      </c>
      <c r="X26" s="13">
        <f t="shared" si="12"/>
        <v>1.1666666666666667</v>
      </c>
      <c r="Y26" s="13">
        <f t="shared" si="13"/>
        <v>1.1666666666666667</v>
      </c>
      <c r="Z26" s="13">
        <f t="shared" si="14"/>
        <v>3.3333333333333339</v>
      </c>
    </row>
    <row r="27" spans="1:26" ht="28.5" customHeight="1" x14ac:dyDescent="0.2">
      <c r="A27" s="1" t="s">
        <v>52</v>
      </c>
      <c r="B27" s="11" t="s">
        <v>31</v>
      </c>
      <c r="C27" s="13">
        <f t="shared" si="0"/>
        <v>0.99999999999999978</v>
      </c>
      <c r="D27" s="13">
        <f t="shared" si="1"/>
        <v>1</v>
      </c>
      <c r="E27" s="16">
        <v>1</v>
      </c>
      <c r="F27" s="16">
        <v>100</v>
      </c>
      <c r="G27" s="16">
        <v>1</v>
      </c>
      <c r="H27" s="13">
        <f t="shared" si="2"/>
        <v>29.999999999999996</v>
      </c>
      <c r="I27" s="13">
        <f t="shared" si="3"/>
        <v>0.3</v>
      </c>
      <c r="J27" s="13">
        <f t="shared" si="4"/>
        <v>0.3</v>
      </c>
      <c r="K27" s="16">
        <v>1</v>
      </c>
      <c r="L27" s="16">
        <v>100</v>
      </c>
      <c r="M27" s="16">
        <v>1</v>
      </c>
      <c r="N27" s="13">
        <f t="shared" si="5"/>
        <v>34.999999999999993</v>
      </c>
      <c r="O27" s="13">
        <f t="shared" si="6"/>
        <v>0.34999999999999992</v>
      </c>
      <c r="P27" s="13">
        <f t="shared" si="7"/>
        <v>0.34999999999999992</v>
      </c>
      <c r="Q27" s="16">
        <v>1</v>
      </c>
      <c r="R27" s="16">
        <v>100</v>
      </c>
      <c r="S27" s="16">
        <v>1</v>
      </c>
      <c r="T27" s="13">
        <f t="shared" si="8"/>
        <v>34.999999999999993</v>
      </c>
      <c r="U27" s="13">
        <f t="shared" si="9"/>
        <v>0.34999999999999992</v>
      </c>
      <c r="V27" s="13">
        <f t="shared" si="10"/>
        <v>0.34999999999999992</v>
      </c>
      <c r="W27" s="13">
        <f t="shared" si="11"/>
        <v>1</v>
      </c>
      <c r="X27" s="13">
        <f t="shared" si="12"/>
        <v>1.1666666666666667</v>
      </c>
      <c r="Y27" s="13">
        <f t="shared" si="13"/>
        <v>1.1666666666666667</v>
      </c>
      <c r="Z27" s="13">
        <f t="shared" si="14"/>
        <v>3.3333333333333339</v>
      </c>
    </row>
    <row r="28" spans="1:26" ht="38.25" x14ac:dyDescent="0.2">
      <c r="A28" s="1" t="s">
        <v>53</v>
      </c>
      <c r="B28" s="11" t="s">
        <v>32</v>
      </c>
      <c r="C28" s="13">
        <f t="shared" si="0"/>
        <v>0.64999999999999991</v>
      </c>
      <c r="D28" s="13">
        <f t="shared" si="1"/>
        <v>1</v>
      </c>
      <c r="E28" s="16">
        <v>1</v>
      </c>
      <c r="F28" s="16">
        <v>100</v>
      </c>
      <c r="G28" s="16">
        <v>1</v>
      </c>
      <c r="H28" s="13">
        <f t="shared" si="2"/>
        <v>29.999999999999996</v>
      </c>
      <c r="I28" s="13">
        <f t="shared" si="3"/>
        <v>0.3</v>
      </c>
      <c r="J28" s="13">
        <f t="shared" si="4"/>
        <v>0.3</v>
      </c>
      <c r="K28" s="16">
        <v>1</v>
      </c>
      <c r="L28" s="16">
        <v>0</v>
      </c>
      <c r="M28" s="16">
        <v>0</v>
      </c>
      <c r="N28" s="13">
        <f t="shared" si="5"/>
        <v>34.999999999999993</v>
      </c>
      <c r="O28" s="13">
        <f t="shared" si="6"/>
        <v>0</v>
      </c>
      <c r="P28" s="13">
        <f t="shared" si="7"/>
        <v>0</v>
      </c>
      <c r="Q28" s="16">
        <v>1</v>
      </c>
      <c r="R28" s="16">
        <v>100</v>
      </c>
      <c r="S28" s="16">
        <v>1</v>
      </c>
      <c r="T28" s="13">
        <f t="shared" si="8"/>
        <v>34.999999999999993</v>
      </c>
      <c r="U28" s="13">
        <f t="shared" si="9"/>
        <v>0.34999999999999992</v>
      </c>
      <c r="V28" s="13">
        <f t="shared" si="10"/>
        <v>0.34999999999999992</v>
      </c>
      <c r="W28" s="13">
        <f t="shared" si="11"/>
        <v>1</v>
      </c>
      <c r="X28" s="13">
        <f t="shared" si="12"/>
        <v>1.1666666666666667</v>
      </c>
      <c r="Y28" s="13">
        <f t="shared" si="13"/>
        <v>1.1666666666666667</v>
      </c>
      <c r="Z28" s="13">
        <f t="shared" si="14"/>
        <v>3.3333333333333339</v>
      </c>
    </row>
    <row r="29" spans="1:26" ht="25.5" x14ac:dyDescent="0.2">
      <c r="A29" s="1" t="s">
        <v>54</v>
      </c>
      <c r="B29" s="11" t="s">
        <v>33</v>
      </c>
      <c r="C29" s="13">
        <f t="shared" si="0"/>
        <v>0</v>
      </c>
      <c r="D29" s="13">
        <f t="shared" si="1"/>
        <v>1</v>
      </c>
      <c r="E29" s="16">
        <v>1</v>
      </c>
      <c r="F29" s="16">
        <v>0</v>
      </c>
      <c r="G29" s="16">
        <v>0</v>
      </c>
      <c r="H29" s="13">
        <f t="shared" si="2"/>
        <v>46.153846153846146</v>
      </c>
      <c r="I29" s="13">
        <f t="shared" si="3"/>
        <v>0</v>
      </c>
      <c r="J29" s="13">
        <f t="shared" si="4"/>
        <v>0</v>
      </c>
      <c r="K29" s="16">
        <v>1</v>
      </c>
      <c r="L29" s="16">
        <v>0</v>
      </c>
      <c r="M29" s="16">
        <v>0</v>
      </c>
      <c r="N29" s="13">
        <f t="shared" si="5"/>
        <v>53.84615384615384</v>
      </c>
      <c r="O29" s="13">
        <f t="shared" si="6"/>
        <v>0</v>
      </c>
      <c r="P29" s="13">
        <f t="shared" si="7"/>
        <v>0</v>
      </c>
      <c r="Q29" s="16">
        <v>0</v>
      </c>
      <c r="R29" s="16">
        <v>0</v>
      </c>
      <c r="S29" s="16">
        <v>0</v>
      </c>
      <c r="T29" s="13" t="str">
        <f t="shared" si="8"/>
        <v/>
      </c>
      <c r="U29" s="13" t="str">
        <f t="shared" si="9"/>
        <v>не применяется</v>
      </c>
      <c r="V29" s="13" t="str">
        <f t="shared" si="10"/>
        <v/>
      </c>
      <c r="W29" s="13">
        <f t="shared" si="11"/>
        <v>1</v>
      </c>
      <c r="X29" s="13">
        <f t="shared" si="12"/>
        <v>1.1666666666666667</v>
      </c>
      <c r="Y29" s="13" t="str">
        <f t="shared" si="13"/>
        <v/>
      </c>
      <c r="Z29" s="13">
        <f t="shared" si="14"/>
        <v>2.166666666666667</v>
      </c>
    </row>
    <row r="30" spans="1:26" ht="25.5" x14ac:dyDescent="0.2">
      <c r="A30" s="1" t="s">
        <v>55</v>
      </c>
      <c r="B30" s="11" t="s">
        <v>34</v>
      </c>
      <c r="C30" s="13">
        <f t="shared" si="0"/>
        <v>0</v>
      </c>
      <c r="D30" s="13">
        <f t="shared" si="1"/>
        <v>1</v>
      </c>
      <c r="E30" s="16">
        <v>1</v>
      </c>
      <c r="F30" s="16">
        <v>0</v>
      </c>
      <c r="G30" s="16">
        <v>0</v>
      </c>
      <c r="H30" s="13">
        <f t="shared" si="2"/>
        <v>46.153846153846146</v>
      </c>
      <c r="I30" s="13">
        <f t="shared" si="3"/>
        <v>0</v>
      </c>
      <c r="J30" s="13">
        <f t="shared" si="4"/>
        <v>0</v>
      </c>
      <c r="K30" s="16">
        <v>1</v>
      </c>
      <c r="L30" s="16">
        <v>0</v>
      </c>
      <c r="M30" s="16">
        <v>0</v>
      </c>
      <c r="N30" s="13">
        <f t="shared" si="5"/>
        <v>53.84615384615384</v>
      </c>
      <c r="O30" s="13">
        <f t="shared" si="6"/>
        <v>0</v>
      </c>
      <c r="P30" s="13">
        <f t="shared" si="7"/>
        <v>0</v>
      </c>
      <c r="Q30" s="16">
        <v>0</v>
      </c>
      <c r="R30" s="16">
        <v>0</v>
      </c>
      <c r="S30" s="16">
        <v>0</v>
      </c>
      <c r="T30" s="13" t="str">
        <f t="shared" si="8"/>
        <v/>
      </c>
      <c r="U30" s="13" t="str">
        <f t="shared" si="9"/>
        <v>не применяется</v>
      </c>
      <c r="V30" s="13" t="str">
        <f t="shared" si="10"/>
        <v/>
      </c>
      <c r="W30" s="13">
        <f t="shared" si="11"/>
        <v>1</v>
      </c>
      <c r="X30" s="13">
        <f t="shared" si="12"/>
        <v>1.1666666666666667</v>
      </c>
      <c r="Y30" s="13" t="str">
        <f t="shared" si="13"/>
        <v/>
      </c>
      <c r="Z30" s="13">
        <f t="shared" si="14"/>
        <v>2.166666666666667</v>
      </c>
    </row>
    <row r="31" spans="1:26" ht="25.5" x14ac:dyDescent="0.2">
      <c r="A31" s="1" t="s">
        <v>56</v>
      </c>
      <c r="B31" s="11" t="s">
        <v>35</v>
      </c>
      <c r="C31" s="13">
        <f t="shared" si="0"/>
        <v>0</v>
      </c>
      <c r="D31" s="13">
        <f t="shared" si="1"/>
        <v>1</v>
      </c>
      <c r="E31" s="16">
        <v>1</v>
      </c>
      <c r="F31" s="16">
        <v>0</v>
      </c>
      <c r="G31" s="16">
        <v>0</v>
      </c>
      <c r="H31" s="13">
        <f t="shared" si="2"/>
        <v>46.153846153846146</v>
      </c>
      <c r="I31" s="13">
        <f t="shared" si="3"/>
        <v>0</v>
      </c>
      <c r="J31" s="13">
        <f t="shared" si="4"/>
        <v>0</v>
      </c>
      <c r="K31" s="16">
        <v>1</v>
      </c>
      <c r="L31" s="16">
        <v>0</v>
      </c>
      <c r="M31" s="16">
        <v>0</v>
      </c>
      <c r="N31" s="13">
        <f t="shared" si="5"/>
        <v>53.84615384615384</v>
      </c>
      <c r="O31" s="13">
        <f t="shared" si="6"/>
        <v>0</v>
      </c>
      <c r="P31" s="13">
        <f t="shared" si="7"/>
        <v>0</v>
      </c>
      <c r="Q31" s="16">
        <v>0</v>
      </c>
      <c r="R31" s="16">
        <v>0</v>
      </c>
      <c r="S31" s="16">
        <v>0</v>
      </c>
      <c r="T31" s="13" t="str">
        <f t="shared" si="8"/>
        <v/>
      </c>
      <c r="U31" s="13" t="str">
        <f t="shared" si="9"/>
        <v>не применяется</v>
      </c>
      <c r="V31" s="13" t="str">
        <f t="shared" si="10"/>
        <v/>
      </c>
      <c r="W31" s="13">
        <f t="shared" si="11"/>
        <v>1</v>
      </c>
      <c r="X31" s="13">
        <f t="shared" si="12"/>
        <v>1.1666666666666667</v>
      </c>
      <c r="Y31" s="13" t="str">
        <f t="shared" si="13"/>
        <v/>
      </c>
      <c r="Z31" s="13">
        <f t="shared" si="14"/>
        <v>2.166666666666667</v>
      </c>
    </row>
    <row r="32" spans="1:26" ht="25.5" x14ac:dyDescent="0.2">
      <c r="A32" s="1" t="s">
        <v>57</v>
      </c>
      <c r="B32" s="11" t="s">
        <v>36</v>
      </c>
      <c r="C32" s="13">
        <f t="shared" si="0"/>
        <v>0</v>
      </c>
      <c r="D32" s="13">
        <f t="shared" si="1"/>
        <v>1</v>
      </c>
      <c r="E32" s="16">
        <v>1</v>
      </c>
      <c r="F32" s="16">
        <v>0</v>
      </c>
      <c r="G32" s="16">
        <v>0</v>
      </c>
      <c r="H32" s="13">
        <f t="shared" si="2"/>
        <v>46.153846153846146</v>
      </c>
      <c r="I32" s="13">
        <f t="shared" si="3"/>
        <v>0</v>
      </c>
      <c r="J32" s="13">
        <f t="shared" si="4"/>
        <v>0</v>
      </c>
      <c r="K32" s="16">
        <v>1</v>
      </c>
      <c r="L32" s="16">
        <v>0</v>
      </c>
      <c r="M32" s="16">
        <v>0</v>
      </c>
      <c r="N32" s="13">
        <f t="shared" si="5"/>
        <v>53.84615384615384</v>
      </c>
      <c r="O32" s="13">
        <f t="shared" si="6"/>
        <v>0</v>
      </c>
      <c r="P32" s="13">
        <f t="shared" si="7"/>
        <v>0</v>
      </c>
      <c r="Q32" s="16">
        <v>0</v>
      </c>
      <c r="R32" s="16">
        <v>0</v>
      </c>
      <c r="S32" s="16">
        <v>0</v>
      </c>
      <c r="T32" s="13" t="str">
        <f t="shared" si="8"/>
        <v/>
      </c>
      <c r="U32" s="13" t="str">
        <f t="shared" si="9"/>
        <v>не применяется</v>
      </c>
      <c r="V32" s="13" t="str">
        <f t="shared" si="10"/>
        <v/>
      </c>
      <c r="W32" s="13">
        <f t="shared" si="11"/>
        <v>1</v>
      </c>
      <c r="X32" s="13">
        <f t="shared" si="12"/>
        <v>1.1666666666666667</v>
      </c>
      <c r="Y32" s="13" t="str">
        <f t="shared" si="13"/>
        <v/>
      </c>
      <c r="Z32" s="13">
        <f t="shared" si="14"/>
        <v>2.166666666666667</v>
      </c>
    </row>
    <row r="33" spans="1:27" ht="38.25" x14ac:dyDescent="0.2">
      <c r="A33" s="1" t="s">
        <v>58</v>
      </c>
      <c r="B33" s="11" t="s">
        <v>37</v>
      </c>
      <c r="C33" s="13">
        <f t="shared" si="0"/>
        <v>0</v>
      </c>
      <c r="D33" s="13">
        <f t="shared" si="1"/>
        <v>1</v>
      </c>
      <c r="E33" s="16">
        <v>1</v>
      </c>
      <c r="F33" s="16">
        <v>0</v>
      </c>
      <c r="G33" s="16">
        <v>0</v>
      </c>
      <c r="H33" s="13">
        <f t="shared" si="2"/>
        <v>46.153846153846146</v>
      </c>
      <c r="I33" s="13">
        <f t="shared" si="3"/>
        <v>0</v>
      </c>
      <c r="J33" s="13">
        <f t="shared" si="4"/>
        <v>0</v>
      </c>
      <c r="K33" s="16">
        <v>1</v>
      </c>
      <c r="L33" s="16">
        <v>0</v>
      </c>
      <c r="M33" s="16">
        <v>0</v>
      </c>
      <c r="N33" s="13">
        <f t="shared" si="5"/>
        <v>53.84615384615384</v>
      </c>
      <c r="O33" s="13">
        <f t="shared" si="6"/>
        <v>0</v>
      </c>
      <c r="P33" s="13">
        <f t="shared" si="7"/>
        <v>0</v>
      </c>
      <c r="Q33" s="16">
        <v>0</v>
      </c>
      <c r="R33" s="16">
        <v>0</v>
      </c>
      <c r="S33" s="16">
        <v>0</v>
      </c>
      <c r="T33" s="13" t="str">
        <f t="shared" si="8"/>
        <v/>
      </c>
      <c r="U33" s="13" t="str">
        <f t="shared" si="9"/>
        <v>не применяется</v>
      </c>
      <c r="V33" s="13" t="str">
        <f t="shared" si="10"/>
        <v/>
      </c>
      <c r="W33" s="13">
        <f t="shared" si="11"/>
        <v>1</v>
      </c>
      <c r="X33" s="13">
        <f t="shared" si="12"/>
        <v>1.1666666666666667</v>
      </c>
      <c r="Y33" s="13" t="str">
        <f t="shared" si="13"/>
        <v/>
      </c>
      <c r="Z33" s="13">
        <f t="shared" si="14"/>
        <v>2.166666666666667</v>
      </c>
    </row>
    <row r="34" spans="1:27" ht="38.25" x14ac:dyDescent="0.2">
      <c r="A34" s="1" t="s">
        <v>59</v>
      </c>
      <c r="B34" s="11" t="s">
        <v>38</v>
      </c>
      <c r="C34" s="13">
        <f t="shared" si="0"/>
        <v>0.23076923076923073</v>
      </c>
      <c r="D34" s="13">
        <f t="shared" si="1"/>
        <v>1</v>
      </c>
      <c r="E34" s="16">
        <v>1</v>
      </c>
      <c r="F34" s="16">
        <v>50</v>
      </c>
      <c r="G34" s="16">
        <v>0.5</v>
      </c>
      <c r="H34" s="13">
        <f t="shared" si="2"/>
        <v>46.153846153846146</v>
      </c>
      <c r="I34" s="13">
        <f t="shared" si="3"/>
        <v>0.23076923076923073</v>
      </c>
      <c r="J34" s="13">
        <f t="shared" si="4"/>
        <v>0.23076923076923073</v>
      </c>
      <c r="K34" s="16">
        <v>1</v>
      </c>
      <c r="L34" s="16">
        <v>0</v>
      </c>
      <c r="M34" s="16">
        <v>0</v>
      </c>
      <c r="N34" s="13">
        <f t="shared" si="5"/>
        <v>53.84615384615384</v>
      </c>
      <c r="O34" s="13">
        <f t="shared" si="6"/>
        <v>0</v>
      </c>
      <c r="P34" s="13">
        <f t="shared" si="7"/>
        <v>0</v>
      </c>
      <c r="Q34" s="16">
        <v>0</v>
      </c>
      <c r="R34" s="16">
        <v>0</v>
      </c>
      <c r="S34" s="16">
        <v>0</v>
      </c>
      <c r="T34" s="13" t="str">
        <f t="shared" si="8"/>
        <v/>
      </c>
      <c r="U34" s="13" t="str">
        <f t="shared" si="9"/>
        <v>не применяется</v>
      </c>
      <c r="V34" s="13" t="str">
        <f t="shared" si="10"/>
        <v/>
      </c>
      <c r="W34" s="13">
        <f t="shared" si="11"/>
        <v>1</v>
      </c>
      <c r="X34" s="13">
        <f t="shared" si="12"/>
        <v>1.1666666666666667</v>
      </c>
      <c r="Y34" s="13" t="str">
        <f t="shared" si="13"/>
        <v/>
      </c>
      <c r="Z34" s="13">
        <f t="shared" si="14"/>
        <v>2.166666666666667</v>
      </c>
    </row>
    <row r="35" spans="1:27" ht="38.25" x14ac:dyDescent="0.2">
      <c r="A35" s="1" t="s">
        <v>60</v>
      </c>
      <c r="B35" s="11" t="s">
        <v>39</v>
      </c>
      <c r="C35" s="13">
        <f t="shared" si="0"/>
        <v>0.34999999999999992</v>
      </c>
      <c r="D35" s="13">
        <f t="shared" si="1"/>
        <v>1</v>
      </c>
      <c r="E35" s="16">
        <v>1</v>
      </c>
      <c r="F35" s="16">
        <v>0</v>
      </c>
      <c r="G35" s="16">
        <v>0</v>
      </c>
      <c r="H35" s="13">
        <f t="shared" si="2"/>
        <v>29.999999999999996</v>
      </c>
      <c r="I35" s="13">
        <f t="shared" si="3"/>
        <v>0</v>
      </c>
      <c r="J35" s="13">
        <f t="shared" si="4"/>
        <v>0</v>
      </c>
      <c r="K35" s="16">
        <v>1</v>
      </c>
      <c r="L35" s="16">
        <v>0</v>
      </c>
      <c r="M35" s="16">
        <v>0</v>
      </c>
      <c r="N35" s="13">
        <f t="shared" si="5"/>
        <v>34.999999999999993</v>
      </c>
      <c r="O35" s="13">
        <f t="shared" si="6"/>
        <v>0</v>
      </c>
      <c r="P35" s="13">
        <f t="shared" si="7"/>
        <v>0</v>
      </c>
      <c r="Q35" s="16">
        <v>1</v>
      </c>
      <c r="R35" s="16">
        <v>100</v>
      </c>
      <c r="S35" s="16">
        <v>1</v>
      </c>
      <c r="T35" s="13">
        <f t="shared" si="8"/>
        <v>34.999999999999993</v>
      </c>
      <c r="U35" s="13">
        <f t="shared" si="9"/>
        <v>0.34999999999999992</v>
      </c>
      <c r="V35" s="13">
        <f t="shared" si="10"/>
        <v>0.34999999999999992</v>
      </c>
      <c r="W35" s="13">
        <f t="shared" si="11"/>
        <v>1</v>
      </c>
      <c r="X35" s="13">
        <f t="shared" si="12"/>
        <v>1.1666666666666667</v>
      </c>
      <c r="Y35" s="13">
        <f t="shared" si="13"/>
        <v>1.1666666666666667</v>
      </c>
      <c r="Z35" s="13">
        <f t="shared" si="14"/>
        <v>3.3333333333333339</v>
      </c>
    </row>
    <row r="36" spans="1:27" ht="26.25" customHeight="1" x14ac:dyDescent="0.2">
      <c r="A36" s="1" t="s">
        <v>61</v>
      </c>
      <c r="B36" s="11" t="s">
        <v>40</v>
      </c>
      <c r="C36" s="13">
        <f t="shared" si="0"/>
        <v>0.23076923076923073</v>
      </c>
      <c r="D36" s="13">
        <f t="shared" si="1"/>
        <v>1</v>
      </c>
      <c r="E36" s="16">
        <v>1</v>
      </c>
      <c r="F36" s="16">
        <v>50</v>
      </c>
      <c r="G36" s="16">
        <v>0.5</v>
      </c>
      <c r="H36" s="13">
        <f t="shared" si="2"/>
        <v>46.153846153846146</v>
      </c>
      <c r="I36" s="13">
        <f t="shared" si="3"/>
        <v>0.23076923076923073</v>
      </c>
      <c r="J36" s="13">
        <f t="shared" si="4"/>
        <v>0.23076923076923073</v>
      </c>
      <c r="K36" s="16">
        <v>1</v>
      </c>
      <c r="L36" s="16">
        <v>0</v>
      </c>
      <c r="M36" s="16">
        <v>0</v>
      </c>
      <c r="N36" s="13">
        <f t="shared" si="5"/>
        <v>53.84615384615384</v>
      </c>
      <c r="O36" s="13">
        <f t="shared" si="6"/>
        <v>0</v>
      </c>
      <c r="P36" s="13">
        <f t="shared" si="7"/>
        <v>0</v>
      </c>
      <c r="Q36" s="16">
        <v>0</v>
      </c>
      <c r="R36" s="16">
        <v>0</v>
      </c>
      <c r="S36" s="16">
        <v>0</v>
      </c>
      <c r="T36" s="13" t="str">
        <f t="shared" si="8"/>
        <v/>
      </c>
      <c r="U36" s="13" t="str">
        <f t="shared" si="9"/>
        <v>не применяется</v>
      </c>
      <c r="V36" s="13" t="str">
        <f t="shared" si="10"/>
        <v/>
      </c>
      <c r="W36" s="13">
        <f t="shared" si="11"/>
        <v>1</v>
      </c>
      <c r="X36" s="13">
        <f t="shared" si="12"/>
        <v>1.1666666666666667</v>
      </c>
      <c r="Y36" s="13" t="str">
        <f t="shared" si="13"/>
        <v/>
      </c>
      <c r="Z36" s="13">
        <f t="shared" si="14"/>
        <v>2.166666666666667</v>
      </c>
    </row>
    <row r="37" spans="1:27" ht="13.5" customHeight="1" x14ac:dyDescent="0.2">
      <c r="X37" s="10"/>
      <c r="Y37" s="10"/>
      <c r="Z37" s="10"/>
    </row>
    <row r="38" spans="1:27" x14ac:dyDescent="0.2">
      <c r="X38" s="10"/>
      <c r="Y38" s="10"/>
      <c r="Z38" s="10"/>
    </row>
    <row r="39" spans="1:27" x14ac:dyDescent="0.2">
      <c r="X39" s="10"/>
      <c r="Y39" s="10"/>
      <c r="Z39" s="10"/>
    </row>
    <row r="40" spans="1:27" x14ac:dyDescent="0.2">
      <c r="X40" s="10"/>
      <c r="Y40" s="10"/>
      <c r="Z40" s="10"/>
    </row>
    <row r="41" spans="1:27" x14ac:dyDescent="0.2">
      <c r="X41" s="10"/>
      <c r="Y41" s="10"/>
      <c r="Z41" s="10"/>
    </row>
    <row r="42" spans="1:27" x14ac:dyDescent="0.2">
      <c r="X42" s="10"/>
      <c r="Y42" s="10"/>
      <c r="Z42" s="10"/>
    </row>
    <row r="43" spans="1:27" x14ac:dyDescent="0.2">
      <c r="X43" s="10"/>
      <c r="Y43" s="10"/>
      <c r="Z43" s="10"/>
    </row>
    <row r="44" spans="1:27" x14ac:dyDescent="0.2">
      <c r="X44" s="10"/>
      <c r="Y44" s="10"/>
      <c r="Z44" s="10"/>
    </row>
    <row r="45" spans="1:27" x14ac:dyDescent="0.2">
      <c r="X45" s="10"/>
      <c r="Y45" s="10"/>
      <c r="Z45" s="10"/>
    </row>
    <row r="46" spans="1:27" x14ac:dyDescent="0.2">
      <c r="X46" s="10"/>
      <c r="Y46" s="10"/>
      <c r="Z46" s="10"/>
      <c r="AA46" s="10"/>
    </row>
    <row r="47" spans="1:27" x14ac:dyDescent="0.2">
      <c r="X47" s="10"/>
      <c r="Y47" s="10"/>
      <c r="Z47" s="10"/>
      <c r="AA47" s="10"/>
    </row>
    <row r="48" spans="1:27" x14ac:dyDescent="0.2">
      <c r="X48" s="10"/>
      <c r="Y48" s="10"/>
      <c r="Z48" s="10"/>
      <c r="AA48" s="10"/>
    </row>
    <row r="49" spans="24:27" x14ac:dyDescent="0.2">
      <c r="X49" s="10"/>
      <c r="Y49" s="10"/>
      <c r="Z49" s="10"/>
      <c r="AA49" s="10"/>
    </row>
    <row r="50" spans="24:27" x14ac:dyDescent="0.2">
      <c r="X50" s="10"/>
      <c r="Y50" s="10"/>
      <c r="Z50" s="10"/>
      <c r="AA50" s="10"/>
    </row>
    <row r="51" spans="24:27" x14ac:dyDescent="0.2">
      <c r="X51" s="10"/>
      <c r="Y51" s="10"/>
      <c r="Z51" s="10"/>
      <c r="AA51" s="10"/>
    </row>
    <row r="52" spans="24:27" x14ac:dyDescent="0.2">
      <c r="X52" s="10"/>
      <c r="Y52" s="10"/>
      <c r="Z52" s="10"/>
      <c r="AA52" s="10"/>
    </row>
    <row r="53" spans="24:27" x14ac:dyDescent="0.2">
      <c r="X53" s="10"/>
      <c r="Y53" s="10"/>
      <c r="Z53" s="10"/>
      <c r="AA53" s="10"/>
    </row>
    <row r="54" spans="24:27" x14ac:dyDescent="0.2">
      <c r="X54" s="10"/>
      <c r="Y54" s="10"/>
      <c r="Z54" s="10"/>
      <c r="AA54" s="10"/>
    </row>
    <row r="55" spans="24:27" ht="30" customHeight="1" x14ac:dyDescent="0.2">
      <c r="X55" s="10"/>
      <c r="Y55" s="10"/>
      <c r="Z55" s="10"/>
      <c r="AA55" s="10"/>
    </row>
    <row r="56" spans="24:27" x14ac:dyDescent="0.2">
      <c r="X56" s="10"/>
      <c r="Y56" s="10"/>
      <c r="Z56" s="10"/>
      <c r="AA56" s="10"/>
    </row>
    <row r="57" spans="24:27" x14ac:dyDescent="0.2">
      <c r="X57" s="10"/>
      <c r="Y57" s="10"/>
      <c r="Z57" s="10"/>
      <c r="AA57" s="10"/>
    </row>
    <row r="58" spans="24:27" x14ac:dyDescent="0.2">
      <c r="X58" s="10"/>
      <c r="Y58" s="10"/>
      <c r="Z58" s="10"/>
      <c r="AA58" s="10"/>
    </row>
    <row r="59" spans="24:27" x14ac:dyDescent="0.2">
      <c r="X59" s="10"/>
      <c r="Y59" s="10"/>
      <c r="Z59" s="10"/>
      <c r="AA59" s="10"/>
    </row>
    <row r="60" spans="24:27" x14ac:dyDescent="0.2">
      <c r="X60" s="10"/>
      <c r="Y60" s="10"/>
      <c r="Z60" s="10"/>
      <c r="AA60" s="10"/>
    </row>
    <row r="61" spans="24:27" x14ac:dyDescent="0.2">
      <c r="X61" s="10"/>
      <c r="Y61" s="10"/>
      <c r="Z61" s="10"/>
      <c r="AA61" s="10"/>
    </row>
    <row r="62" spans="24:27" x14ac:dyDescent="0.2">
      <c r="X62" s="10"/>
      <c r="Y62" s="10"/>
      <c r="Z62" s="10"/>
      <c r="AA62" s="10"/>
    </row>
    <row r="63" spans="24:27" x14ac:dyDescent="0.2">
      <c r="X63" s="10"/>
      <c r="Y63" s="10"/>
      <c r="Z63" s="10"/>
      <c r="AA63" s="10"/>
    </row>
    <row r="64" spans="24:27" x14ac:dyDescent="0.2">
      <c r="X64" s="10"/>
      <c r="Y64" s="10"/>
      <c r="Z64" s="10"/>
      <c r="AA64" s="10"/>
    </row>
    <row r="65" spans="24:27" x14ac:dyDescent="0.2">
      <c r="X65" s="10"/>
      <c r="Y65" s="10"/>
      <c r="Z65" s="10"/>
      <c r="AA65" s="10"/>
    </row>
    <row r="66" spans="24:27" x14ac:dyDescent="0.2">
      <c r="X66" s="10"/>
      <c r="Y66" s="10"/>
      <c r="Z66" s="10"/>
      <c r="AA66" s="10"/>
    </row>
    <row r="67" spans="24:27" x14ac:dyDescent="0.2">
      <c r="X67" s="10"/>
      <c r="Y67" s="10"/>
      <c r="Z67" s="10"/>
      <c r="AA67" s="10"/>
    </row>
    <row r="68" spans="24:27" x14ac:dyDescent="0.2">
      <c r="X68" s="10"/>
      <c r="Y68" s="10"/>
      <c r="Z68" s="10"/>
      <c r="AA68" s="10"/>
    </row>
  </sheetData>
  <sheetProtection algorithmName="SHA-512" hashValue="2152lJmiWBfXxFPASd1zr2B6o4DuvETuJOEtrPm3pflDEyDKGC/8DApYG62PHpKEQUzy0AAtiYAVz4CFo+Eq6w==" saltValue="hx5ufrbz0SifQRFC8wwjhQ==" spinCount="100000" sheet="1" objects="1" scenarios="1" formatCells="0" formatColumns="0" formatRows="0" deleteColumns="0" deleteRows="0"/>
  <protectedRanges>
    <protectedRange sqref="C14:C36" name="krista_tr_47106_0_0"/>
    <protectedRange sqref="D14:D36" name="krista_tr_40531_0_0"/>
    <protectedRange sqref="H14:H36" name="krista_tf_40535_0_0"/>
    <protectedRange sqref="I14:I36" name="krista_tf_40536_0_0"/>
    <protectedRange sqref="J14:J36" name="krista_tr_40537_0_0"/>
    <protectedRange sqref="N14:N36" name="krista_tf_40541_0_0"/>
    <protectedRange sqref="O14:O36" name="krista_tf_40542_0_0"/>
    <protectedRange sqref="P14:P36" name="krista_tr_40543_0_0"/>
    <protectedRange sqref="T14:T36" name="krista_tf_40547_0_0"/>
    <protectedRange sqref="U14:U36" name="krista_tf_40548_0_0"/>
    <protectedRange sqref="V14:V36" name="krista_tr_40549_0_0"/>
    <protectedRange sqref="W14:W36" name="krista_tf_40580_0_0"/>
    <protectedRange sqref="X14:X36" name="krista_tf_40581_0_0"/>
    <protectedRange sqref="Y14:Y36" name="krista_tf_40582_0_0"/>
    <protectedRange sqref="Z14:Z36" name="krista_tf_40588_0_0"/>
  </protectedRanges>
  <mergeCells count="12">
    <mergeCell ref="W12:Z12"/>
    <mergeCell ref="A1:E1"/>
    <mergeCell ref="B8:H8"/>
    <mergeCell ref="B9:H9"/>
    <mergeCell ref="B10:H10"/>
    <mergeCell ref="Q12:V12"/>
    <mergeCell ref="E12:J12"/>
    <mergeCell ref="A12:A13"/>
    <mergeCell ref="B12:B13"/>
    <mergeCell ref="C12:C13"/>
    <mergeCell ref="D12:D13"/>
    <mergeCell ref="K12:P12"/>
  </mergeCells>
  <conditionalFormatting sqref="A8:A11">
    <cfRule type="expression" dxfId="5" priority="2" stopIfTrue="1">
      <formula>"(сумм(A8:F12)&lt;&gt;100"</formula>
    </cfRule>
  </conditionalFormatting>
  <pageMargins left="0.25" right="0.25" top="0.75" bottom="0.75" header="0.3" footer="0.3"/>
  <pageSetup paperSize="8" scale="39" fitToWidth="0" orientation="landscape" r:id="rId1"/>
  <headerFooter alignWithMargins="0"/>
  <customProperties>
    <customPr name="40591" r:id="rId2"/>
    <customPr name="40592" r:id="rId3"/>
    <customPr name="40593" r:id="rId4"/>
    <customPr name="40594" r:id="rId5"/>
    <customPr name="krista_fm_columnsmarkup" r:id="rId6"/>
    <customPr name="krista_fm_consts" r:id="rId7"/>
    <customPr name="krista_fm_Events" r:id="rId8"/>
    <customPr name="krista_fm_metadataXML" r:id="rId9"/>
    <customPr name="krista_fm_rowsaxis" r:id="rId10"/>
    <customPr name="krista_fm_rowsmarkup" r:id="rId11"/>
    <customPr name="krista_SheetHistory" r:id="rId12"/>
    <customPr name="p15" r:id="rId13"/>
    <customPr name="p19" r:id="rId14"/>
    <customPr name="p22" r:id="rId15"/>
  </customProperties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AN52"/>
  <sheetViews>
    <sheetView view="pageBreakPreview" topLeftCell="A10" zoomScale="85" zoomScaleNormal="75" zoomScaleSheetLayoutView="85" workbookViewId="0">
      <selection activeCell="K11" sqref="K11"/>
    </sheetView>
  </sheetViews>
  <sheetFormatPr defaultRowHeight="12.75" x14ac:dyDescent="0.2"/>
  <cols>
    <col min="1" max="1" width="6.28515625" customWidth="1"/>
    <col min="2" max="2" width="81.42578125" customWidth="1"/>
    <col min="3" max="3" width="11.5703125" customWidth="1"/>
    <col min="4" max="4" width="17.7109375" customWidth="1"/>
    <col min="5" max="5" width="15.42578125" bestFit="1" customWidth="1"/>
    <col min="6" max="6" width="12.7109375" customWidth="1"/>
    <col min="7" max="7" width="11.5703125" customWidth="1"/>
    <col min="8" max="8" width="12.7109375" customWidth="1"/>
    <col min="9" max="9" width="13.85546875" hidden="1" customWidth="1"/>
    <col min="10" max="10" width="11" customWidth="1"/>
    <col min="11" max="11" width="13.42578125" customWidth="1"/>
    <col min="12" max="12" width="12.5703125" customWidth="1"/>
    <col min="13" max="13" width="11.7109375" customWidth="1"/>
    <col min="14" max="14" width="11.28515625" customWidth="1"/>
    <col min="15" max="15" width="13.140625" hidden="1" customWidth="1"/>
    <col min="16" max="16" width="13.28515625" customWidth="1"/>
    <col min="17" max="17" width="11.7109375" customWidth="1"/>
    <col min="18" max="18" width="11.42578125" customWidth="1"/>
    <col min="19" max="19" width="13" customWidth="1"/>
    <col min="20" max="20" width="13.140625" customWidth="1"/>
    <col min="21" max="21" width="10.140625" hidden="1" customWidth="1"/>
    <col min="22" max="22" width="13.28515625" customWidth="1"/>
    <col min="23" max="23" width="13.140625" customWidth="1"/>
    <col min="24" max="24" width="12.140625" customWidth="1"/>
    <col min="25" max="25" width="11.85546875" customWidth="1"/>
    <col min="26" max="26" width="13.28515625" customWidth="1"/>
    <col min="27" max="27" width="14.28515625" hidden="1" customWidth="1"/>
    <col min="28" max="28" width="12.28515625" bestFit="1" customWidth="1"/>
    <col min="29" max="29" width="15.140625" customWidth="1"/>
    <col min="30" max="30" width="11.85546875" customWidth="1"/>
    <col min="31" max="31" width="13.140625" customWidth="1"/>
    <col min="32" max="32" width="13" customWidth="1"/>
    <col min="33" max="33" width="13.140625" hidden="1" customWidth="1"/>
    <col min="34" max="34" width="11" customWidth="1"/>
    <col min="35" max="35" width="13" hidden="1" customWidth="1"/>
    <col min="36" max="36" width="12.5703125" style="8" hidden="1" customWidth="1"/>
    <col min="37" max="37" width="11.85546875" style="8" hidden="1" customWidth="1"/>
    <col min="38" max="38" width="11.28515625" style="8" hidden="1" customWidth="1"/>
    <col min="39" max="39" width="10.42578125" style="8" hidden="1" customWidth="1"/>
    <col min="40" max="40" width="13.7109375" style="8" hidden="1" customWidth="1"/>
    <col min="41" max="47" width="27.42578125" customWidth="1"/>
    <col min="48" max="48" width="60.85546875" customWidth="1"/>
    <col min="49" max="54" width="27.42578125" customWidth="1"/>
    <col min="55" max="57" width="31.28515625" customWidth="1"/>
    <col min="58" max="58" width="27.42578125" customWidth="1"/>
    <col min="59" max="61" width="34.28515625" customWidth="1"/>
    <col min="62" max="65" width="27.42578125" customWidth="1"/>
    <col min="66" max="66" width="39.42578125" customWidth="1"/>
    <col min="67" max="67" width="41.28515625" customWidth="1"/>
    <col min="68" max="79" width="27.42578125" customWidth="1"/>
    <col min="82" max="82" width="10.28515625" bestFit="1" customWidth="1"/>
    <col min="85" max="85" width="10.28515625" bestFit="1" customWidth="1"/>
    <col min="88" max="88" width="10.28515625" bestFit="1" customWidth="1"/>
    <col min="91" max="91" width="10.28515625" bestFit="1" customWidth="1"/>
    <col min="94" max="94" width="10.28515625" bestFit="1" customWidth="1"/>
    <col min="97" max="97" width="10.28515625" bestFit="1" customWidth="1"/>
    <col min="100" max="100" width="10.28515625" bestFit="1" customWidth="1"/>
    <col min="103" max="103" width="10.28515625" bestFit="1" customWidth="1"/>
    <col min="106" max="106" width="10.28515625" bestFit="1" customWidth="1"/>
    <col min="109" max="109" width="10.28515625" bestFit="1" customWidth="1"/>
    <col min="112" max="112" width="10.28515625" bestFit="1" customWidth="1"/>
    <col min="115" max="115" width="10.28515625" bestFit="1" customWidth="1"/>
    <col min="118" max="118" width="10.28515625" bestFit="1" customWidth="1"/>
    <col min="121" max="121" width="10.28515625" bestFit="1" customWidth="1"/>
    <col min="124" max="124" width="10.28515625" bestFit="1" customWidth="1"/>
    <col min="127" max="127" width="10.28515625" bestFit="1" customWidth="1"/>
    <col min="130" max="130" width="10.28515625" bestFit="1" customWidth="1"/>
    <col min="133" max="133" width="10.28515625" bestFit="1" customWidth="1"/>
    <col min="136" max="136" width="10.28515625" bestFit="1" customWidth="1"/>
    <col min="139" max="139" width="10.28515625" bestFit="1" customWidth="1"/>
    <col min="142" max="142" width="10.28515625" bestFit="1" customWidth="1"/>
    <col min="145" max="145" width="10.28515625" bestFit="1" customWidth="1"/>
    <col min="148" max="148" width="10.28515625" bestFit="1" customWidth="1"/>
    <col min="151" max="151" width="10.28515625" bestFit="1" customWidth="1"/>
    <col min="154" max="154" width="10.28515625" bestFit="1" customWidth="1"/>
    <col min="157" max="157" width="10.28515625" bestFit="1" customWidth="1"/>
    <col min="160" max="160" width="10.28515625" bestFit="1" customWidth="1"/>
    <col min="163" max="163" width="10.28515625" bestFit="1" customWidth="1"/>
    <col min="166" max="166" width="10.28515625" bestFit="1" customWidth="1"/>
    <col min="169" max="169" width="10.28515625" bestFit="1" customWidth="1"/>
    <col min="172" max="172" width="10.28515625" bestFit="1" customWidth="1"/>
    <col min="175" max="175" width="10.28515625" bestFit="1" customWidth="1"/>
    <col min="178" max="178" width="10.28515625" bestFit="1" customWidth="1"/>
    <col min="181" max="181" width="10.28515625" bestFit="1" customWidth="1"/>
    <col min="184" max="184" width="10.28515625" bestFit="1" customWidth="1"/>
    <col min="187" max="187" width="10.28515625" bestFit="1" customWidth="1"/>
    <col min="190" max="190" width="10.28515625" bestFit="1" customWidth="1"/>
    <col min="193" max="193" width="10.28515625" bestFit="1" customWidth="1"/>
    <col min="196" max="196" width="10.28515625" bestFit="1" customWidth="1"/>
    <col min="199" max="199" width="10.28515625" bestFit="1" customWidth="1"/>
    <col min="202" max="202" width="10.28515625" bestFit="1" customWidth="1"/>
    <col min="205" max="205" width="10.28515625" bestFit="1" customWidth="1"/>
    <col min="208" max="208" width="10.28515625" bestFit="1" customWidth="1"/>
    <col min="211" max="211" width="10.28515625" bestFit="1" customWidth="1"/>
    <col min="214" max="214" width="10.28515625" bestFit="1" customWidth="1"/>
    <col min="217" max="217" width="10.28515625" bestFit="1" customWidth="1"/>
    <col min="220" max="220" width="10.28515625" bestFit="1" customWidth="1"/>
  </cols>
  <sheetData>
    <row r="1" spans="1:40" ht="20.25" customHeight="1" x14ac:dyDescent="0.25">
      <c r="A1" s="85" t="s">
        <v>72</v>
      </c>
      <c r="B1" s="86"/>
      <c r="C1" s="86"/>
      <c r="D1" s="86"/>
      <c r="E1" s="86"/>
      <c r="AJ1" s="10"/>
      <c r="AK1" s="10"/>
      <c r="AL1" s="10"/>
      <c r="AM1" s="10"/>
      <c r="AN1" s="10"/>
    </row>
    <row r="2" spans="1:40" x14ac:dyDescent="0.2">
      <c r="AJ2" s="10"/>
      <c r="AK2" s="10"/>
      <c r="AL2" s="10"/>
      <c r="AM2" s="10"/>
      <c r="AN2" s="10"/>
    </row>
    <row r="3" spans="1:40" x14ac:dyDescent="0.2">
      <c r="A3" s="2" t="s">
        <v>14</v>
      </c>
      <c r="B3" s="2"/>
      <c r="C3" s="2"/>
      <c r="D3" s="2"/>
      <c r="E3" s="2"/>
      <c r="F3" s="2"/>
      <c r="G3" s="2"/>
      <c r="H3" s="2"/>
      <c r="AJ3" s="10"/>
      <c r="AK3" s="10"/>
      <c r="AL3" s="10"/>
      <c r="AM3" s="10"/>
      <c r="AN3" s="10"/>
    </row>
    <row r="4" spans="1:40" x14ac:dyDescent="0.2">
      <c r="A4" s="2" t="s">
        <v>15</v>
      </c>
      <c r="B4" s="2"/>
      <c r="C4" s="2"/>
      <c r="D4" s="2"/>
      <c r="E4" s="2"/>
      <c r="F4" s="2"/>
      <c r="G4" s="2"/>
      <c r="H4" s="2"/>
      <c r="AJ4" s="10"/>
      <c r="AK4" s="10"/>
      <c r="AL4" s="10"/>
      <c r="AM4" s="10"/>
      <c r="AN4" s="10"/>
    </row>
    <row r="5" spans="1:40" x14ac:dyDescent="0.2">
      <c r="A5" s="2" t="s">
        <v>1</v>
      </c>
      <c r="B5" s="2"/>
      <c r="C5" s="2"/>
      <c r="D5" s="2"/>
      <c r="E5" s="2"/>
      <c r="F5" s="2"/>
      <c r="G5" s="2"/>
      <c r="H5" s="2"/>
      <c r="AJ5" s="10"/>
      <c r="AK5" s="10"/>
      <c r="AL5" s="10"/>
      <c r="AM5" s="10"/>
      <c r="AN5" s="10"/>
    </row>
    <row r="6" spans="1:40" x14ac:dyDescent="0.2">
      <c r="A6" s="2" t="s">
        <v>7</v>
      </c>
      <c r="B6" s="2"/>
      <c r="C6" s="2"/>
      <c r="D6" s="2"/>
      <c r="E6" s="2"/>
      <c r="F6" s="2"/>
      <c r="G6" s="2"/>
      <c r="H6" s="2"/>
      <c r="AJ6" s="10"/>
      <c r="AK6" s="10"/>
      <c r="AL6" s="10"/>
      <c r="AM6" s="10"/>
      <c r="AN6" s="10"/>
    </row>
    <row r="7" spans="1:40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AJ7" s="10"/>
      <c r="AK7" s="10"/>
      <c r="AL7" s="10"/>
      <c r="AM7" s="10"/>
      <c r="AN7" s="10"/>
    </row>
    <row r="8" spans="1:40" ht="21" customHeight="1" thickBot="1" x14ac:dyDescent="0.25">
      <c r="A8" s="6">
        <v>15</v>
      </c>
      <c r="B8" s="81" t="s">
        <v>96</v>
      </c>
      <c r="C8" s="82"/>
      <c r="D8" s="82"/>
      <c r="E8" s="82"/>
      <c r="F8" s="82"/>
      <c r="G8" s="82"/>
      <c r="H8" s="82"/>
      <c r="AJ8" s="10"/>
      <c r="AK8" s="10"/>
      <c r="AL8" s="10"/>
      <c r="AM8" s="10"/>
      <c r="AN8" s="10"/>
    </row>
    <row r="9" spans="1:40" ht="20.25" customHeight="1" thickBot="1" x14ac:dyDescent="0.25">
      <c r="A9" s="6">
        <v>19</v>
      </c>
      <c r="B9" s="81" t="s">
        <v>97</v>
      </c>
      <c r="C9" s="82"/>
      <c r="D9" s="82"/>
      <c r="E9" s="82"/>
      <c r="F9" s="83"/>
      <c r="G9" s="83"/>
      <c r="H9" s="83"/>
      <c r="AJ9" s="10"/>
      <c r="AK9" s="10"/>
      <c r="AL9" s="10"/>
      <c r="AM9" s="10"/>
      <c r="AN9" s="10"/>
    </row>
    <row r="10" spans="1:40" ht="27" customHeight="1" thickBot="1" x14ac:dyDescent="0.25">
      <c r="A10" s="6">
        <v>39</v>
      </c>
      <c r="B10" s="81" t="s">
        <v>98</v>
      </c>
      <c r="C10" s="82"/>
      <c r="D10" s="82"/>
      <c r="E10" s="82"/>
      <c r="F10" s="83"/>
      <c r="G10" s="83"/>
      <c r="H10" s="83"/>
      <c r="AJ10" s="10"/>
      <c r="AK10" s="10"/>
      <c r="AL10" s="10"/>
      <c r="AM10" s="10"/>
      <c r="AN10" s="10"/>
    </row>
    <row r="11" spans="1:40" ht="27.75" customHeight="1" thickBot="1" x14ac:dyDescent="0.25">
      <c r="A11" s="6">
        <v>9</v>
      </c>
      <c r="B11" s="81" t="s">
        <v>99</v>
      </c>
      <c r="C11" s="82"/>
      <c r="D11" s="82"/>
      <c r="E11" s="82"/>
      <c r="F11" s="83"/>
      <c r="G11" s="83"/>
      <c r="H11" s="83"/>
      <c r="AJ11" s="10"/>
      <c r="AK11" s="10"/>
      <c r="AL11" s="10"/>
      <c r="AM11" s="10"/>
      <c r="AN11" s="10"/>
    </row>
    <row r="12" spans="1:40" ht="27.75" customHeight="1" thickBot="1" x14ac:dyDescent="0.25">
      <c r="A12" s="6">
        <v>18</v>
      </c>
      <c r="B12" s="81" t="s">
        <v>100</v>
      </c>
      <c r="C12" s="82"/>
      <c r="D12" s="82"/>
      <c r="E12" s="82"/>
      <c r="F12" s="83"/>
      <c r="G12" s="83"/>
      <c r="H12" s="83"/>
      <c r="AJ12" s="10"/>
      <c r="AK12" s="10"/>
      <c r="AL12" s="10"/>
      <c r="AM12" s="10"/>
      <c r="AN12" s="10"/>
    </row>
    <row r="13" spans="1:40" ht="27.75" customHeight="1" thickBot="1" x14ac:dyDescent="0.25">
      <c r="A13" s="22"/>
      <c r="B13" s="25"/>
      <c r="C13" s="26"/>
      <c r="D13" s="26"/>
      <c r="E13" s="26"/>
      <c r="F13" s="19"/>
      <c r="G13" s="19"/>
      <c r="H13" s="19"/>
      <c r="AJ13" s="10"/>
      <c r="AK13" s="10"/>
      <c r="AL13" s="10"/>
      <c r="AM13" s="10"/>
      <c r="AN13" s="10"/>
    </row>
    <row r="14" spans="1:40" ht="67.5" customHeight="1" x14ac:dyDescent="0.2">
      <c r="A14" s="118" t="s">
        <v>9</v>
      </c>
      <c r="B14" s="120" t="s">
        <v>8</v>
      </c>
      <c r="C14" s="120" t="s">
        <v>20</v>
      </c>
      <c r="D14" s="122" t="s">
        <v>137</v>
      </c>
      <c r="E14" s="117" t="s">
        <v>101</v>
      </c>
      <c r="F14" s="109"/>
      <c r="G14" s="109"/>
      <c r="H14" s="109"/>
      <c r="I14" s="109"/>
      <c r="J14" s="110"/>
      <c r="K14" s="114" t="s">
        <v>102</v>
      </c>
      <c r="L14" s="115"/>
      <c r="M14" s="115"/>
      <c r="N14" s="115"/>
      <c r="O14" s="115"/>
      <c r="P14" s="116"/>
      <c r="Q14" s="111" t="s">
        <v>103</v>
      </c>
      <c r="R14" s="109"/>
      <c r="S14" s="109"/>
      <c r="T14" s="109"/>
      <c r="U14" s="109"/>
      <c r="V14" s="110"/>
      <c r="W14" s="111" t="s">
        <v>104</v>
      </c>
      <c r="X14" s="109"/>
      <c r="Y14" s="109"/>
      <c r="Z14" s="109"/>
      <c r="AA14" s="109"/>
      <c r="AB14" s="110"/>
      <c r="AC14" s="112" t="s">
        <v>105</v>
      </c>
      <c r="AD14" s="109"/>
      <c r="AE14" s="109"/>
      <c r="AF14" s="109"/>
      <c r="AG14" s="109"/>
      <c r="AH14" s="113"/>
      <c r="AI14" s="108" t="s">
        <v>5</v>
      </c>
      <c r="AJ14" s="109"/>
      <c r="AK14" s="109"/>
      <c r="AL14" s="109"/>
      <c r="AM14" s="109"/>
      <c r="AN14" s="110"/>
    </row>
    <row r="15" spans="1:40" ht="58.5" customHeight="1" thickBot="1" x14ac:dyDescent="0.25">
      <c r="A15" s="119"/>
      <c r="B15" s="121"/>
      <c r="C15" s="121"/>
      <c r="D15" s="123"/>
      <c r="E15" s="40" t="s">
        <v>63</v>
      </c>
      <c r="F15" s="30" t="s">
        <v>16</v>
      </c>
      <c r="G15" s="30" t="s">
        <v>17</v>
      </c>
      <c r="H15" s="30" t="s">
        <v>62</v>
      </c>
      <c r="I15" s="30" t="s">
        <v>144</v>
      </c>
      <c r="J15" s="41" t="s">
        <v>64</v>
      </c>
      <c r="K15" s="39" t="s">
        <v>63</v>
      </c>
      <c r="L15" s="30" t="s">
        <v>141</v>
      </c>
      <c r="M15" s="30" t="s">
        <v>17</v>
      </c>
      <c r="N15" s="30" t="s">
        <v>62</v>
      </c>
      <c r="O15" s="30" t="s">
        <v>144</v>
      </c>
      <c r="P15" s="38" t="s">
        <v>64</v>
      </c>
      <c r="Q15" s="40" t="s">
        <v>63</v>
      </c>
      <c r="R15" s="30" t="s">
        <v>141</v>
      </c>
      <c r="S15" s="30" t="s">
        <v>17</v>
      </c>
      <c r="T15" s="30" t="s">
        <v>62</v>
      </c>
      <c r="U15" s="30" t="s">
        <v>144</v>
      </c>
      <c r="V15" s="41" t="s">
        <v>64</v>
      </c>
      <c r="W15" s="40" t="s">
        <v>63</v>
      </c>
      <c r="X15" s="30" t="s">
        <v>141</v>
      </c>
      <c r="Y15" s="30" t="s">
        <v>17</v>
      </c>
      <c r="Z15" s="30" t="s">
        <v>62</v>
      </c>
      <c r="AA15" s="30" t="s">
        <v>144</v>
      </c>
      <c r="AB15" s="41" t="s">
        <v>64</v>
      </c>
      <c r="AC15" s="39" t="s">
        <v>63</v>
      </c>
      <c r="AD15" s="30" t="s">
        <v>141</v>
      </c>
      <c r="AE15" s="30" t="s">
        <v>17</v>
      </c>
      <c r="AF15" s="30" t="s">
        <v>62</v>
      </c>
      <c r="AG15" s="30" t="s">
        <v>144</v>
      </c>
      <c r="AH15" s="38" t="s">
        <v>64</v>
      </c>
      <c r="AI15" s="42">
        <v>1</v>
      </c>
      <c r="AJ15" s="28">
        <v>2</v>
      </c>
      <c r="AK15" s="28">
        <v>3</v>
      </c>
      <c r="AL15" s="28">
        <v>4</v>
      </c>
      <c r="AM15" s="28">
        <v>5</v>
      </c>
      <c r="AN15" s="29" t="s">
        <v>135</v>
      </c>
    </row>
    <row r="16" spans="1:40" ht="18" customHeight="1" x14ac:dyDescent="0.2">
      <c r="A16" s="1" t="s">
        <v>41</v>
      </c>
      <c r="B16" s="11" t="s">
        <v>21</v>
      </c>
      <c r="C16" s="13">
        <f t="shared" ref="C16:C38" si="0">IF(D16&lt;&gt;1,"",SUM(J16,P16,V16,AB16,AH16))</f>
        <v>0.85245901639344268</v>
      </c>
      <c r="D16" s="13">
        <f t="shared" ref="D16:D38" si="1">IF(SUM(E16,K16,Q16,W16,AC16)=0,0,1)</f>
        <v>1</v>
      </c>
      <c r="E16" s="16">
        <v>1</v>
      </c>
      <c r="F16" s="16">
        <v>27.604700000000001</v>
      </c>
      <c r="G16" s="16">
        <v>1</v>
      </c>
      <c r="H16" s="13">
        <f t="shared" ref="H16:H38" si="2">IF(E16=1,(MIN(Вес3.1,Вес3.2,Вес3.3,Вес3.4,Вес3.5))*((100/MIN(Вес3.1,Вес3.2,Вес3.3,Вес3.4,Вес3.5))/AN16*Вес3.1/MIN(Вес3.1,Вес3.2,Вес3.3,Вес3.4,Вес3.5)),"")</f>
        <v>24.590163934426229</v>
      </c>
      <c r="I16" s="13">
        <f t="shared" ref="I16:I38" si="3">IF(H16="","не применяется",IF(E16=0,"не применяется",H16*G16/100))</f>
        <v>0.24590163934426229</v>
      </c>
      <c r="J16" s="13">
        <f t="shared" ref="J16:J38" si="4">IF(ISNUMBER(I16),I16,"")</f>
        <v>0.24590163934426229</v>
      </c>
      <c r="K16" s="16">
        <v>1</v>
      </c>
      <c r="L16" s="16">
        <v>101.39660000000001</v>
      </c>
      <c r="M16" s="16">
        <v>1</v>
      </c>
      <c r="N16" s="13">
        <f t="shared" ref="N16:N38" si="5">IF(K16=1,(MIN(Вес3.1,Вес3.2,Вес3.3,Вес3.4,Вес3.5))*((100/MIN(Вес3.1,Вес3.2,Вес3.3,Вес3.4,Вес3.5))/AN16*Вес3.2/MIN(Вес3.1,Вес3.2,Вес3.3,Вес3.4,Вес3.5)),"")</f>
        <v>31.147540983606557</v>
      </c>
      <c r="O16" s="13">
        <f t="shared" ref="O16:O38" si="6">IF(N16="","не применяется",IF(K16=0,"не применяется",N16*M16/100))</f>
        <v>0.31147540983606559</v>
      </c>
      <c r="P16" s="13">
        <f t="shared" ref="P16:P38" si="7">IF(ISNUMBER(O16),O16,"")</f>
        <v>0.31147540983606559</v>
      </c>
      <c r="Q16" s="16">
        <v>0</v>
      </c>
      <c r="R16" s="16">
        <v>0</v>
      </c>
      <c r="S16" s="16">
        <v>0</v>
      </c>
      <c r="T16" s="13" t="str">
        <f t="shared" ref="T16:T38" si="8">IF(Q16=1,(MIN(Вес3.1,Вес3.2,Вес3.3,Вес3.4,Вес3.5))*((100/MIN(Вес3.1,Вес3.2,Вес3.3,Вес3.4,Вес3.5))/AN16*Вес3.3/MIN(Вес3.1,Вес3.2,Вес3.3,Вес3.4,Вес3.5)),"")</f>
        <v/>
      </c>
      <c r="U16" s="13" t="str">
        <f t="shared" ref="U16:U38" si="9">IF(T16="","не применяется",IF(Q16=0,"не применяется",T16*S16/100))</f>
        <v>не применяется</v>
      </c>
      <c r="V16" s="13" t="str">
        <f t="shared" ref="V16:V38" si="10">IF(ISNUMBER(U16),U16,"")</f>
        <v/>
      </c>
      <c r="W16" s="16">
        <v>1</v>
      </c>
      <c r="X16" s="16">
        <v>4.3998999999999997</v>
      </c>
      <c r="Y16" s="16">
        <v>0</v>
      </c>
      <c r="Z16" s="13">
        <f t="shared" ref="Z16:Z38" si="11">IF(W16=1,(MIN(Вес3.1,Вес3.2,Вес3.3,Вес3.4,Вес3.5))*((100/MIN(Вес3.1,Вес3.2,Вес3.3,Вес3.4,Вес3.5))/AN16*Вес3.4/MIN(Вес3.1,Вес3.2,Вес3.3,Вес3.4,Вес3.5)),"")</f>
        <v>14.754098360655739</v>
      </c>
      <c r="AA16" s="13">
        <f t="shared" ref="AA16:AA38" si="12">IF(Z16="","не применяется",IF(W16=0,"не применяется",Y16*Z16/100))</f>
        <v>0</v>
      </c>
      <c r="AB16" s="13">
        <f t="shared" ref="AB16:AB38" si="13">IF(ISNUMBER(AA16),AA16,"")</f>
        <v>0</v>
      </c>
      <c r="AC16" s="16">
        <v>1</v>
      </c>
      <c r="AD16" s="16">
        <v>0</v>
      </c>
      <c r="AE16" s="16">
        <v>1</v>
      </c>
      <c r="AF16" s="13">
        <f t="shared" ref="AF16:AF38" si="14">IF(AC16=1,(MIN(Вес3.1,Вес3.2,Вес3.3,Вес3.4,Вес3.5))*((100/MIN(Вес3.1,Вес3.2,Вес3.3,Вес3.4,Вес3.5))/AN16*Вес3.5/MIN(Вес3.1,Вес3.2,Вес3.3,Вес3.4,Вес3.5)),"")</f>
        <v>29.508196721311478</v>
      </c>
      <c r="AG16" s="13">
        <f t="shared" ref="AG16:AG38" si="15">IF(AF16="","не применяется",IF(AC16=0,"не применяется",AF16*AE16/100))</f>
        <v>0.2950819672131148</v>
      </c>
      <c r="AH16" s="13">
        <f t="shared" ref="AH16:AH38" si="16">IF(ISNUMBER(AG16),AG16,"")</f>
        <v>0.2950819672131148</v>
      </c>
      <c r="AI16" s="13">
        <f t="shared" ref="AI16:AI38" si="17">IF(E16=1,Вес3.1/MIN(Вес3.1,Вес3.2,Вес3.3,Вес3.4,Вес3.5),"")</f>
        <v>1.6666666666666667</v>
      </c>
      <c r="AJ16" s="13">
        <f t="shared" ref="AJ16:AJ38" si="18">IF(K16=1,Вес3.2/MIN(Вес3.1,Вес3.2,Вес3.3,Вес3.4,Вес3.5),"")</f>
        <v>2.1111111111111112</v>
      </c>
      <c r="AK16" s="13" t="str">
        <f t="shared" ref="AK16:AK38" si="19">IF(Q16=1,Вес3.3/MIN(Вес3.1,Вес3.2,Вес3.3,Вес3.4,Вес3.5),"")</f>
        <v/>
      </c>
      <c r="AL16" s="13">
        <f t="shared" ref="AL16:AL38" si="20">IF(W16=1,Вес3.4/MIN(Вес3.1,Вес3.2,Вес3.3,Вес3.4,Вес3.5),"")</f>
        <v>1</v>
      </c>
      <c r="AM16" s="13">
        <f t="shared" ref="AM16:AM38" si="21">IF(AC16=1,Вес3.5/MIN(Вес3.1,Вес3.2,Вес3.3,Вес3.4,Вес3.5),"")</f>
        <v>2</v>
      </c>
      <c r="AN16" s="13">
        <f t="shared" ref="AN16:AN38" si="22">SUM(AI16:AM16)</f>
        <v>6.7777777777777777</v>
      </c>
    </row>
    <row r="17" spans="1:40" x14ac:dyDescent="0.2">
      <c r="A17" s="1" t="s">
        <v>42</v>
      </c>
      <c r="B17" s="11" t="s">
        <v>148</v>
      </c>
      <c r="C17" s="13">
        <f t="shared" si="0"/>
        <v>0.37637100000000001</v>
      </c>
      <c r="D17" s="13">
        <f t="shared" si="1"/>
        <v>1</v>
      </c>
      <c r="E17" s="16">
        <v>1</v>
      </c>
      <c r="F17" s="16">
        <v>9.7902000000000005</v>
      </c>
      <c r="G17" s="16">
        <v>1</v>
      </c>
      <c r="H17" s="13">
        <f t="shared" si="2"/>
        <v>15</v>
      </c>
      <c r="I17" s="13">
        <f t="shared" si="3"/>
        <v>0.15</v>
      </c>
      <c r="J17" s="13">
        <f t="shared" si="4"/>
        <v>0.15</v>
      </c>
      <c r="K17" s="16">
        <v>1</v>
      </c>
      <c r="L17" s="16">
        <v>52.561999999999998</v>
      </c>
      <c r="M17" s="16">
        <v>0</v>
      </c>
      <c r="N17" s="13">
        <f t="shared" si="5"/>
        <v>19</v>
      </c>
      <c r="O17" s="13">
        <f t="shared" si="6"/>
        <v>0</v>
      </c>
      <c r="P17" s="13">
        <f t="shared" si="7"/>
        <v>0</v>
      </c>
      <c r="Q17" s="16">
        <v>1</v>
      </c>
      <c r="R17" s="16">
        <v>11.886799999999999</v>
      </c>
      <c r="S17" s="16">
        <v>0.11890000000000001</v>
      </c>
      <c r="T17" s="13">
        <f t="shared" si="8"/>
        <v>39</v>
      </c>
      <c r="U17" s="13">
        <f t="shared" si="9"/>
        <v>4.6371000000000002E-2</v>
      </c>
      <c r="V17" s="13">
        <f t="shared" si="10"/>
        <v>4.6371000000000002E-2</v>
      </c>
      <c r="W17" s="16">
        <v>1</v>
      </c>
      <c r="X17" s="16">
        <v>8.2527000000000008</v>
      </c>
      <c r="Y17" s="16">
        <v>0</v>
      </c>
      <c r="Z17" s="13">
        <f t="shared" si="11"/>
        <v>9</v>
      </c>
      <c r="AA17" s="13">
        <f t="shared" si="12"/>
        <v>0</v>
      </c>
      <c r="AB17" s="13">
        <f t="shared" si="13"/>
        <v>0</v>
      </c>
      <c r="AC17" s="16">
        <v>1</v>
      </c>
      <c r="AD17" s="16">
        <v>0</v>
      </c>
      <c r="AE17" s="16">
        <v>1</v>
      </c>
      <c r="AF17" s="13">
        <f t="shared" si="14"/>
        <v>18</v>
      </c>
      <c r="AG17" s="13">
        <f t="shared" si="15"/>
        <v>0.18</v>
      </c>
      <c r="AH17" s="13">
        <f t="shared" si="16"/>
        <v>0.18</v>
      </c>
      <c r="AI17" s="13">
        <f t="shared" si="17"/>
        <v>1.6666666666666667</v>
      </c>
      <c r="AJ17" s="13">
        <f t="shared" si="18"/>
        <v>2.1111111111111112</v>
      </c>
      <c r="AK17" s="13">
        <f t="shared" si="19"/>
        <v>4.333333333333333</v>
      </c>
      <c r="AL17" s="13">
        <f t="shared" si="20"/>
        <v>1</v>
      </c>
      <c r="AM17" s="13">
        <f t="shared" si="21"/>
        <v>2</v>
      </c>
      <c r="AN17" s="13">
        <f t="shared" si="22"/>
        <v>11.111111111111111</v>
      </c>
    </row>
    <row r="18" spans="1:40" ht="18" customHeight="1" x14ac:dyDescent="0.2">
      <c r="A18" s="1" t="s">
        <v>43</v>
      </c>
      <c r="B18" s="11" t="s">
        <v>22</v>
      </c>
      <c r="C18" s="13">
        <f t="shared" si="0"/>
        <v>0.54098360655737709</v>
      </c>
      <c r="D18" s="13">
        <f t="shared" si="1"/>
        <v>1</v>
      </c>
      <c r="E18" s="16">
        <v>1</v>
      </c>
      <c r="F18" s="16">
        <v>23.842099999999999</v>
      </c>
      <c r="G18" s="16">
        <v>1</v>
      </c>
      <c r="H18" s="13">
        <f t="shared" si="2"/>
        <v>24.590163934426229</v>
      </c>
      <c r="I18" s="13">
        <f t="shared" si="3"/>
        <v>0.24590163934426229</v>
      </c>
      <c r="J18" s="13">
        <f t="shared" si="4"/>
        <v>0.24590163934426229</v>
      </c>
      <c r="K18" s="16">
        <v>1</v>
      </c>
      <c r="L18" s="16">
        <v>27.16</v>
      </c>
      <c r="M18" s="16">
        <v>0</v>
      </c>
      <c r="N18" s="13">
        <f t="shared" si="5"/>
        <v>31.147540983606557</v>
      </c>
      <c r="O18" s="13">
        <f t="shared" si="6"/>
        <v>0</v>
      </c>
      <c r="P18" s="13">
        <f t="shared" si="7"/>
        <v>0</v>
      </c>
      <c r="Q18" s="16">
        <v>0</v>
      </c>
      <c r="R18" s="16">
        <v>0</v>
      </c>
      <c r="S18" s="16">
        <v>0</v>
      </c>
      <c r="T18" s="13" t="str">
        <f t="shared" si="8"/>
        <v/>
      </c>
      <c r="U18" s="13" t="str">
        <f t="shared" si="9"/>
        <v>не применяется</v>
      </c>
      <c r="V18" s="13" t="str">
        <f t="shared" si="10"/>
        <v/>
      </c>
      <c r="W18" s="16">
        <v>1</v>
      </c>
      <c r="X18" s="16">
        <v>4.7013999999999996</v>
      </c>
      <c r="Y18" s="16">
        <v>0</v>
      </c>
      <c r="Z18" s="13">
        <f t="shared" si="11"/>
        <v>14.754098360655739</v>
      </c>
      <c r="AA18" s="13">
        <f t="shared" si="12"/>
        <v>0</v>
      </c>
      <c r="AB18" s="13">
        <f t="shared" si="13"/>
        <v>0</v>
      </c>
      <c r="AC18" s="16">
        <v>1</v>
      </c>
      <c r="AD18" s="16">
        <v>0</v>
      </c>
      <c r="AE18" s="16">
        <v>1</v>
      </c>
      <c r="AF18" s="13">
        <f t="shared" si="14"/>
        <v>29.508196721311478</v>
      </c>
      <c r="AG18" s="13">
        <f t="shared" si="15"/>
        <v>0.2950819672131148</v>
      </c>
      <c r="AH18" s="13">
        <f t="shared" si="16"/>
        <v>0.2950819672131148</v>
      </c>
      <c r="AI18" s="13">
        <f t="shared" si="17"/>
        <v>1.6666666666666667</v>
      </c>
      <c r="AJ18" s="13">
        <f t="shared" si="18"/>
        <v>2.1111111111111112</v>
      </c>
      <c r="AK18" s="13" t="str">
        <f t="shared" si="19"/>
        <v/>
      </c>
      <c r="AL18" s="13">
        <f t="shared" si="20"/>
        <v>1</v>
      </c>
      <c r="AM18" s="13">
        <f t="shared" si="21"/>
        <v>2</v>
      </c>
      <c r="AN18" s="13">
        <f t="shared" si="22"/>
        <v>6.7777777777777777</v>
      </c>
    </row>
    <row r="19" spans="1:40" ht="24" customHeight="1" x14ac:dyDescent="0.2">
      <c r="A19" s="1" t="s">
        <v>152</v>
      </c>
      <c r="B19" s="11" t="s">
        <v>153</v>
      </c>
      <c r="C19" s="13">
        <f t="shared" si="0"/>
        <v>1</v>
      </c>
      <c r="D19" s="13">
        <f t="shared" si="1"/>
        <v>1</v>
      </c>
      <c r="E19" s="16">
        <v>1</v>
      </c>
      <c r="F19" s="16">
        <v>5.51</v>
      </c>
      <c r="G19" s="16">
        <v>1</v>
      </c>
      <c r="H19" s="13">
        <f t="shared" si="2"/>
        <v>24.590163934426229</v>
      </c>
      <c r="I19" s="13">
        <f t="shared" si="3"/>
        <v>0.24590163934426229</v>
      </c>
      <c r="J19" s="13">
        <f t="shared" si="4"/>
        <v>0.24590163934426229</v>
      </c>
      <c r="K19" s="16">
        <v>1</v>
      </c>
      <c r="L19" s="16">
        <v>102.8579</v>
      </c>
      <c r="M19" s="16">
        <v>1</v>
      </c>
      <c r="N19" s="13">
        <f t="shared" si="5"/>
        <v>31.147540983606557</v>
      </c>
      <c r="O19" s="13">
        <f t="shared" si="6"/>
        <v>0.31147540983606559</v>
      </c>
      <c r="P19" s="13">
        <f t="shared" si="7"/>
        <v>0.31147540983606559</v>
      </c>
      <c r="Q19" s="16">
        <v>0</v>
      </c>
      <c r="R19" s="16">
        <v>0</v>
      </c>
      <c r="S19" s="16">
        <v>0</v>
      </c>
      <c r="T19" s="13" t="str">
        <f t="shared" si="8"/>
        <v/>
      </c>
      <c r="U19" s="13" t="str">
        <f t="shared" si="9"/>
        <v>не применяется</v>
      </c>
      <c r="V19" s="13" t="str">
        <f t="shared" si="10"/>
        <v/>
      </c>
      <c r="W19" s="16">
        <v>1</v>
      </c>
      <c r="X19" s="16">
        <v>0</v>
      </c>
      <c r="Y19" s="16">
        <v>1</v>
      </c>
      <c r="Z19" s="13">
        <f t="shared" si="11"/>
        <v>14.754098360655739</v>
      </c>
      <c r="AA19" s="13">
        <f t="shared" si="12"/>
        <v>0.1475409836065574</v>
      </c>
      <c r="AB19" s="13">
        <f t="shared" si="13"/>
        <v>0.1475409836065574</v>
      </c>
      <c r="AC19" s="16">
        <v>1</v>
      </c>
      <c r="AD19" s="16">
        <v>0</v>
      </c>
      <c r="AE19" s="16">
        <v>1</v>
      </c>
      <c r="AF19" s="13">
        <f t="shared" si="14"/>
        <v>29.508196721311478</v>
      </c>
      <c r="AG19" s="13">
        <f t="shared" si="15"/>
        <v>0.2950819672131148</v>
      </c>
      <c r="AH19" s="13">
        <f t="shared" si="16"/>
        <v>0.2950819672131148</v>
      </c>
      <c r="AI19" s="13">
        <f t="shared" si="17"/>
        <v>1.6666666666666667</v>
      </c>
      <c r="AJ19" s="13">
        <f t="shared" si="18"/>
        <v>2.1111111111111112</v>
      </c>
      <c r="AK19" s="13" t="str">
        <f t="shared" si="19"/>
        <v/>
      </c>
      <c r="AL19" s="13">
        <f t="shared" si="20"/>
        <v>1</v>
      </c>
      <c r="AM19" s="13">
        <f t="shared" si="21"/>
        <v>2</v>
      </c>
      <c r="AN19" s="13">
        <f t="shared" si="22"/>
        <v>6.7777777777777777</v>
      </c>
    </row>
    <row r="20" spans="1:40" ht="16.5" customHeight="1" x14ac:dyDescent="0.2">
      <c r="A20" s="1" t="s">
        <v>44</v>
      </c>
      <c r="B20" s="11" t="s">
        <v>23</v>
      </c>
      <c r="C20" s="13">
        <f t="shared" si="0"/>
        <v>0.85245901639344268</v>
      </c>
      <c r="D20" s="13">
        <f t="shared" si="1"/>
        <v>1</v>
      </c>
      <c r="E20" s="16">
        <v>1</v>
      </c>
      <c r="F20" s="16">
        <v>27.767099999999999</v>
      </c>
      <c r="G20" s="16">
        <v>1</v>
      </c>
      <c r="H20" s="13">
        <f t="shared" si="2"/>
        <v>24.590163934426229</v>
      </c>
      <c r="I20" s="13">
        <f t="shared" si="3"/>
        <v>0.24590163934426229</v>
      </c>
      <c r="J20" s="13">
        <f t="shared" si="4"/>
        <v>0.24590163934426229</v>
      </c>
      <c r="K20" s="16">
        <v>1</v>
      </c>
      <c r="L20" s="16">
        <v>100.00239999999999</v>
      </c>
      <c r="M20" s="16">
        <v>1</v>
      </c>
      <c r="N20" s="13">
        <f t="shared" si="5"/>
        <v>31.147540983606557</v>
      </c>
      <c r="O20" s="13">
        <f t="shared" si="6"/>
        <v>0.31147540983606559</v>
      </c>
      <c r="P20" s="13">
        <f t="shared" si="7"/>
        <v>0.31147540983606559</v>
      </c>
      <c r="Q20" s="16">
        <v>0</v>
      </c>
      <c r="R20" s="16">
        <v>0</v>
      </c>
      <c r="S20" s="16">
        <v>0</v>
      </c>
      <c r="T20" s="13" t="str">
        <f t="shared" si="8"/>
        <v/>
      </c>
      <c r="U20" s="13" t="str">
        <f t="shared" si="9"/>
        <v>не применяется</v>
      </c>
      <c r="V20" s="13" t="str">
        <f t="shared" si="10"/>
        <v/>
      </c>
      <c r="W20" s="16">
        <v>1</v>
      </c>
      <c r="X20" s="16">
        <v>5.6608999999999998</v>
      </c>
      <c r="Y20" s="16">
        <v>0</v>
      </c>
      <c r="Z20" s="13">
        <f t="shared" si="11"/>
        <v>14.754098360655739</v>
      </c>
      <c r="AA20" s="13">
        <f t="shared" si="12"/>
        <v>0</v>
      </c>
      <c r="AB20" s="13">
        <f t="shared" si="13"/>
        <v>0</v>
      </c>
      <c r="AC20" s="16">
        <v>1</v>
      </c>
      <c r="AD20" s="16">
        <v>0</v>
      </c>
      <c r="AE20" s="16">
        <v>1</v>
      </c>
      <c r="AF20" s="13">
        <f t="shared" si="14"/>
        <v>29.508196721311478</v>
      </c>
      <c r="AG20" s="13">
        <f t="shared" si="15"/>
        <v>0.2950819672131148</v>
      </c>
      <c r="AH20" s="13">
        <f t="shared" si="16"/>
        <v>0.2950819672131148</v>
      </c>
      <c r="AI20" s="13">
        <f t="shared" si="17"/>
        <v>1.6666666666666667</v>
      </c>
      <c r="AJ20" s="13">
        <f t="shared" si="18"/>
        <v>2.1111111111111112</v>
      </c>
      <c r="AK20" s="13" t="str">
        <f t="shared" si="19"/>
        <v/>
      </c>
      <c r="AL20" s="13">
        <f t="shared" si="20"/>
        <v>1</v>
      </c>
      <c r="AM20" s="13">
        <f t="shared" si="21"/>
        <v>2</v>
      </c>
      <c r="AN20" s="13">
        <f t="shared" si="22"/>
        <v>6.7777777777777777</v>
      </c>
    </row>
    <row r="21" spans="1:40" ht="25.5" x14ac:dyDescent="0.2">
      <c r="A21" s="1" t="s">
        <v>45</v>
      </c>
      <c r="B21" s="11" t="s">
        <v>24</v>
      </c>
      <c r="C21" s="13">
        <f t="shared" si="0"/>
        <v>0.33999999999999997</v>
      </c>
      <c r="D21" s="13">
        <f t="shared" si="1"/>
        <v>1</v>
      </c>
      <c r="E21" s="16">
        <v>1</v>
      </c>
      <c r="F21" s="16">
        <v>28.298400000000001</v>
      </c>
      <c r="G21" s="16">
        <v>1</v>
      </c>
      <c r="H21" s="13">
        <f t="shared" si="2"/>
        <v>15</v>
      </c>
      <c r="I21" s="13">
        <f t="shared" si="3"/>
        <v>0.15</v>
      </c>
      <c r="J21" s="13">
        <f t="shared" si="4"/>
        <v>0.15</v>
      </c>
      <c r="K21" s="16">
        <v>1</v>
      </c>
      <c r="L21" s="16">
        <v>100.3476</v>
      </c>
      <c r="M21" s="16">
        <v>1</v>
      </c>
      <c r="N21" s="13">
        <f t="shared" si="5"/>
        <v>19</v>
      </c>
      <c r="O21" s="13">
        <f t="shared" si="6"/>
        <v>0.19</v>
      </c>
      <c r="P21" s="13">
        <f t="shared" si="7"/>
        <v>0.19</v>
      </c>
      <c r="Q21" s="16">
        <v>1</v>
      </c>
      <c r="R21" s="16">
        <v>49.540300000000002</v>
      </c>
      <c r="S21" s="16">
        <v>0</v>
      </c>
      <c r="T21" s="13">
        <f t="shared" si="8"/>
        <v>39</v>
      </c>
      <c r="U21" s="13">
        <f t="shared" si="9"/>
        <v>0</v>
      </c>
      <c r="V21" s="13">
        <f t="shared" si="10"/>
        <v>0</v>
      </c>
      <c r="W21" s="16">
        <v>1</v>
      </c>
      <c r="X21" s="16">
        <v>6.4305000000000003</v>
      </c>
      <c r="Y21" s="16">
        <v>0</v>
      </c>
      <c r="Z21" s="13">
        <f t="shared" si="11"/>
        <v>9</v>
      </c>
      <c r="AA21" s="13">
        <f t="shared" si="12"/>
        <v>0</v>
      </c>
      <c r="AB21" s="13">
        <f t="shared" si="13"/>
        <v>0</v>
      </c>
      <c r="AC21" s="16">
        <v>1</v>
      </c>
      <c r="AD21" s="16">
        <v>29044.22</v>
      </c>
      <c r="AE21" s="16">
        <v>0</v>
      </c>
      <c r="AF21" s="13">
        <f t="shared" si="14"/>
        <v>18</v>
      </c>
      <c r="AG21" s="13">
        <f t="shared" si="15"/>
        <v>0</v>
      </c>
      <c r="AH21" s="13">
        <f t="shared" si="16"/>
        <v>0</v>
      </c>
      <c r="AI21" s="13">
        <f t="shared" si="17"/>
        <v>1.6666666666666667</v>
      </c>
      <c r="AJ21" s="13">
        <f t="shared" si="18"/>
        <v>2.1111111111111112</v>
      </c>
      <c r="AK21" s="13">
        <f t="shared" si="19"/>
        <v>4.333333333333333</v>
      </c>
      <c r="AL21" s="13">
        <f t="shared" si="20"/>
        <v>1</v>
      </c>
      <c r="AM21" s="13">
        <f t="shared" si="21"/>
        <v>2</v>
      </c>
      <c r="AN21" s="13">
        <f t="shared" si="22"/>
        <v>11.111111111111111</v>
      </c>
    </row>
    <row r="22" spans="1:40" ht="14.25" customHeight="1" x14ac:dyDescent="0.2">
      <c r="A22" s="1" t="s">
        <v>46</v>
      </c>
      <c r="B22" s="11" t="s">
        <v>25</v>
      </c>
      <c r="C22" s="13">
        <f t="shared" si="0"/>
        <v>0.37</v>
      </c>
      <c r="D22" s="13">
        <f t="shared" si="1"/>
        <v>1</v>
      </c>
      <c r="E22" s="16">
        <v>1</v>
      </c>
      <c r="F22" s="16">
        <v>66.788499999999999</v>
      </c>
      <c r="G22" s="16">
        <v>0</v>
      </c>
      <c r="H22" s="13">
        <f t="shared" si="2"/>
        <v>15</v>
      </c>
      <c r="I22" s="13">
        <f t="shared" si="3"/>
        <v>0</v>
      </c>
      <c r="J22" s="13">
        <f t="shared" si="4"/>
        <v>0</v>
      </c>
      <c r="K22" s="16">
        <v>1</v>
      </c>
      <c r="L22" s="16">
        <v>107.4541</v>
      </c>
      <c r="M22" s="16">
        <v>1</v>
      </c>
      <c r="N22" s="13">
        <f t="shared" si="5"/>
        <v>19</v>
      </c>
      <c r="O22" s="13">
        <f t="shared" si="6"/>
        <v>0.19</v>
      </c>
      <c r="P22" s="13">
        <f t="shared" si="7"/>
        <v>0.19</v>
      </c>
      <c r="Q22" s="16">
        <v>1</v>
      </c>
      <c r="R22" s="16">
        <v>0</v>
      </c>
      <c r="S22" s="16">
        <v>0</v>
      </c>
      <c r="T22" s="13">
        <f t="shared" si="8"/>
        <v>39</v>
      </c>
      <c r="U22" s="13">
        <f t="shared" si="9"/>
        <v>0</v>
      </c>
      <c r="V22" s="13">
        <f t="shared" si="10"/>
        <v>0</v>
      </c>
      <c r="W22" s="16">
        <v>1</v>
      </c>
      <c r="X22" s="16">
        <v>1.7997000000000001</v>
      </c>
      <c r="Y22" s="16">
        <v>0</v>
      </c>
      <c r="Z22" s="13">
        <f t="shared" si="11"/>
        <v>9</v>
      </c>
      <c r="AA22" s="13">
        <f t="shared" si="12"/>
        <v>0</v>
      </c>
      <c r="AB22" s="13">
        <f t="shared" si="13"/>
        <v>0</v>
      </c>
      <c r="AC22" s="16">
        <v>1</v>
      </c>
      <c r="AD22" s="16">
        <v>0</v>
      </c>
      <c r="AE22" s="16">
        <v>1</v>
      </c>
      <c r="AF22" s="13">
        <f t="shared" si="14"/>
        <v>18</v>
      </c>
      <c r="AG22" s="13">
        <f t="shared" si="15"/>
        <v>0.18</v>
      </c>
      <c r="AH22" s="13">
        <f t="shared" si="16"/>
        <v>0.18</v>
      </c>
      <c r="AI22" s="13">
        <f t="shared" si="17"/>
        <v>1.6666666666666667</v>
      </c>
      <c r="AJ22" s="13">
        <f t="shared" si="18"/>
        <v>2.1111111111111112</v>
      </c>
      <c r="AK22" s="13">
        <f t="shared" si="19"/>
        <v>4.333333333333333</v>
      </c>
      <c r="AL22" s="13">
        <f t="shared" si="20"/>
        <v>1</v>
      </c>
      <c r="AM22" s="13">
        <f t="shared" si="21"/>
        <v>2</v>
      </c>
      <c r="AN22" s="13">
        <f t="shared" si="22"/>
        <v>11.111111111111111</v>
      </c>
    </row>
    <row r="23" spans="1:40" ht="25.5" x14ac:dyDescent="0.2">
      <c r="A23" s="1" t="s">
        <v>47</v>
      </c>
      <c r="B23" s="11" t="s">
        <v>26</v>
      </c>
      <c r="C23" s="13">
        <f t="shared" si="0"/>
        <v>0.60940599999999989</v>
      </c>
      <c r="D23" s="13">
        <f t="shared" si="1"/>
        <v>1</v>
      </c>
      <c r="E23" s="16">
        <v>1</v>
      </c>
      <c r="F23" s="16">
        <v>32.039499999999997</v>
      </c>
      <c r="G23" s="16">
        <v>1</v>
      </c>
      <c r="H23" s="13">
        <f t="shared" si="2"/>
        <v>15</v>
      </c>
      <c r="I23" s="13">
        <f t="shared" si="3"/>
        <v>0.15</v>
      </c>
      <c r="J23" s="13">
        <f t="shared" si="4"/>
        <v>0.15</v>
      </c>
      <c r="K23" s="16">
        <v>1</v>
      </c>
      <c r="L23" s="16">
        <v>101.0801</v>
      </c>
      <c r="M23" s="16">
        <v>1</v>
      </c>
      <c r="N23" s="13">
        <f t="shared" si="5"/>
        <v>19</v>
      </c>
      <c r="O23" s="13">
        <f t="shared" si="6"/>
        <v>0.19</v>
      </c>
      <c r="P23" s="13">
        <f t="shared" si="7"/>
        <v>0.19</v>
      </c>
      <c r="Q23" s="16">
        <v>1</v>
      </c>
      <c r="R23" s="16">
        <v>0</v>
      </c>
      <c r="S23" s="16">
        <v>0</v>
      </c>
      <c r="T23" s="13">
        <f t="shared" si="8"/>
        <v>39</v>
      </c>
      <c r="U23" s="13">
        <f t="shared" si="9"/>
        <v>0</v>
      </c>
      <c r="V23" s="13">
        <f t="shared" si="10"/>
        <v>0</v>
      </c>
      <c r="W23" s="16">
        <v>1</v>
      </c>
      <c r="X23" s="16">
        <v>0.6593</v>
      </c>
      <c r="Y23" s="16">
        <v>0.99339999999999995</v>
      </c>
      <c r="Z23" s="13">
        <f t="shared" si="11"/>
        <v>9</v>
      </c>
      <c r="AA23" s="13">
        <f t="shared" si="12"/>
        <v>8.9405999999999999E-2</v>
      </c>
      <c r="AB23" s="13">
        <f t="shared" si="13"/>
        <v>8.9405999999999999E-2</v>
      </c>
      <c r="AC23" s="16">
        <v>1</v>
      </c>
      <c r="AD23" s="16">
        <v>0</v>
      </c>
      <c r="AE23" s="16">
        <v>1</v>
      </c>
      <c r="AF23" s="13">
        <f t="shared" si="14"/>
        <v>18</v>
      </c>
      <c r="AG23" s="13">
        <f t="shared" si="15"/>
        <v>0.18</v>
      </c>
      <c r="AH23" s="13">
        <f t="shared" si="16"/>
        <v>0.18</v>
      </c>
      <c r="AI23" s="13">
        <f t="shared" si="17"/>
        <v>1.6666666666666667</v>
      </c>
      <c r="AJ23" s="13">
        <f t="shared" si="18"/>
        <v>2.1111111111111112</v>
      </c>
      <c r="AK23" s="13">
        <f t="shared" si="19"/>
        <v>4.333333333333333</v>
      </c>
      <c r="AL23" s="13">
        <f t="shared" si="20"/>
        <v>1</v>
      </c>
      <c r="AM23" s="13">
        <f t="shared" si="21"/>
        <v>2</v>
      </c>
      <c r="AN23" s="13">
        <f t="shared" si="22"/>
        <v>11.111111111111111</v>
      </c>
    </row>
    <row r="24" spans="1:40" ht="25.5" x14ac:dyDescent="0.2">
      <c r="A24" s="1" t="s">
        <v>48</v>
      </c>
      <c r="B24" s="11" t="s">
        <v>27</v>
      </c>
      <c r="C24" s="13">
        <f t="shared" si="0"/>
        <v>0.52</v>
      </c>
      <c r="D24" s="13">
        <f t="shared" si="1"/>
        <v>1</v>
      </c>
      <c r="E24" s="16">
        <v>1</v>
      </c>
      <c r="F24" s="16">
        <v>16.952100000000002</v>
      </c>
      <c r="G24" s="16">
        <v>1</v>
      </c>
      <c r="H24" s="13">
        <f t="shared" si="2"/>
        <v>15</v>
      </c>
      <c r="I24" s="13">
        <f t="shared" si="3"/>
        <v>0.15</v>
      </c>
      <c r="J24" s="13">
        <f t="shared" si="4"/>
        <v>0.15</v>
      </c>
      <c r="K24" s="16">
        <v>1</v>
      </c>
      <c r="L24" s="16">
        <v>101.623</v>
      </c>
      <c r="M24" s="16">
        <v>1</v>
      </c>
      <c r="N24" s="13">
        <f t="shared" si="5"/>
        <v>19</v>
      </c>
      <c r="O24" s="13">
        <f t="shared" si="6"/>
        <v>0.19</v>
      </c>
      <c r="P24" s="13">
        <f t="shared" si="7"/>
        <v>0.19</v>
      </c>
      <c r="Q24" s="16">
        <v>1</v>
      </c>
      <c r="R24" s="16">
        <v>0</v>
      </c>
      <c r="S24" s="16">
        <v>0</v>
      </c>
      <c r="T24" s="13">
        <f t="shared" si="8"/>
        <v>39</v>
      </c>
      <c r="U24" s="13">
        <f t="shared" si="9"/>
        <v>0</v>
      </c>
      <c r="V24" s="13">
        <f t="shared" si="10"/>
        <v>0</v>
      </c>
      <c r="W24" s="16">
        <v>1</v>
      </c>
      <c r="X24" s="16">
        <v>4.7363999999999997</v>
      </c>
      <c r="Y24" s="16">
        <v>0</v>
      </c>
      <c r="Z24" s="13">
        <f t="shared" si="11"/>
        <v>9</v>
      </c>
      <c r="AA24" s="13">
        <f t="shared" si="12"/>
        <v>0</v>
      </c>
      <c r="AB24" s="13">
        <f t="shared" si="13"/>
        <v>0</v>
      </c>
      <c r="AC24" s="16">
        <v>1</v>
      </c>
      <c r="AD24" s="16">
        <v>0</v>
      </c>
      <c r="AE24" s="16">
        <v>1</v>
      </c>
      <c r="AF24" s="13">
        <f t="shared" si="14"/>
        <v>18</v>
      </c>
      <c r="AG24" s="13">
        <f t="shared" si="15"/>
        <v>0.18</v>
      </c>
      <c r="AH24" s="13">
        <f t="shared" si="16"/>
        <v>0.18</v>
      </c>
      <c r="AI24" s="13">
        <f t="shared" si="17"/>
        <v>1.6666666666666667</v>
      </c>
      <c r="AJ24" s="13">
        <f t="shared" si="18"/>
        <v>2.1111111111111112</v>
      </c>
      <c r="AK24" s="13">
        <f t="shared" si="19"/>
        <v>4.333333333333333</v>
      </c>
      <c r="AL24" s="13">
        <f t="shared" si="20"/>
        <v>1</v>
      </c>
      <c r="AM24" s="13">
        <f t="shared" si="21"/>
        <v>2</v>
      </c>
      <c r="AN24" s="13">
        <f t="shared" si="22"/>
        <v>11.111111111111111</v>
      </c>
    </row>
    <row r="25" spans="1:40" x14ac:dyDescent="0.2">
      <c r="A25" s="1" t="s">
        <v>49</v>
      </c>
      <c r="B25" s="11" t="s">
        <v>28</v>
      </c>
      <c r="C25" s="13">
        <f t="shared" si="0"/>
        <v>0.52</v>
      </c>
      <c r="D25" s="13">
        <f t="shared" si="1"/>
        <v>1</v>
      </c>
      <c r="E25" s="16">
        <v>1</v>
      </c>
      <c r="F25" s="16">
        <v>24.0063</v>
      </c>
      <c r="G25" s="16">
        <v>1</v>
      </c>
      <c r="H25" s="13">
        <f t="shared" si="2"/>
        <v>15</v>
      </c>
      <c r="I25" s="13">
        <f t="shared" si="3"/>
        <v>0.15</v>
      </c>
      <c r="J25" s="13">
        <f t="shared" si="4"/>
        <v>0.15</v>
      </c>
      <c r="K25" s="16">
        <v>1</v>
      </c>
      <c r="L25" s="16">
        <v>102.625</v>
      </c>
      <c r="M25" s="16">
        <v>1</v>
      </c>
      <c r="N25" s="13">
        <f t="shared" si="5"/>
        <v>19</v>
      </c>
      <c r="O25" s="13">
        <f t="shared" si="6"/>
        <v>0.19</v>
      </c>
      <c r="P25" s="13">
        <f t="shared" si="7"/>
        <v>0.19</v>
      </c>
      <c r="Q25" s="16">
        <v>1</v>
      </c>
      <c r="R25" s="16">
        <v>0</v>
      </c>
      <c r="S25" s="16">
        <v>0</v>
      </c>
      <c r="T25" s="13">
        <f t="shared" si="8"/>
        <v>39</v>
      </c>
      <c r="U25" s="13">
        <f t="shared" si="9"/>
        <v>0</v>
      </c>
      <c r="V25" s="13">
        <f t="shared" si="10"/>
        <v>0</v>
      </c>
      <c r="W25" s="16">
        <v>1</v>
      </c>
      <c r="X25" s="16">
        <v>8.2885000000000009</v>
      </c>
      <c r="Y25" s="16">
        <v>0</v>
      </c>
      <c r="Z25" s="13">
        <f t="shared" si="11"/>
        <v>9</v>
      </c>
      <c r="AA25" s="13">
        <f t="shared" si="12"/>
        <v>0</v>
      </c>
      <c r="AB25" s="13">
        <f t="shared" si="13"/>
        <v>0</v>
      </c>
      <c r="AC25" s="16">
        <v>1</v>
      </c>
      <c r="AD25" s="16">
        <v>0</v>
      </c>
      <c r="AE25" s="16">
        <v>1</v>
      </c>
      <c r="AF25" s="13">
        <f t="shared" si="14"/>
        <v>18</v>
      </c>
      <c r="AG25" s="13">
        <f t="shared" si="15"/>
        <v>0.18</v>
      </c>
      <c r="AH25" s="13">
        <f t="shared" si="16"/>
        <v>0.18</v>
      </c>
      <c r="AI25" s="13">
        <f t="shared" si="17"/>
        <v>1.6666666666666667</v>
      </c>
      <c r="AJ25" s="13">
        <f t="shared" si="18"/>
        <v>2.1111111111111112</v>
      </c>
      <c r="AK25" s="13">
        <f t="shared" si="19"/>
        <v>4.333333333333333</v>
      </c>
      <c r="AL25" s="13">
        <f t="shared" si="20"/>
        <v>1</v>
      </c>
      <c r="AM25" s="13">
        <f t="shared" si="21"/>
        <v>2</v>
      </c>
      <c r="AN25" s="13">
        <f t="shared" si="22"/>
        <v>11.111111111111111</v>
      </c>
    </row>
    <row r="26" spans="1:40" ht="25.5" x14ac:dyDescent="0.2">
      <c r="A26" s="1" t="s">
        <v>150</v>
      </c>
      <c r="B26" s="11" t="s">
        <v>147</v>
      </c>
      <c r="C26" s="13">
        <f t="shared" si="0"/>
        <v>0.37</v>
      </c>
      <c r="D26" s="13">
        <f t="shared" si="1"/>
        <v>1</v>
      </c>
      <c r="E26" s="16">
        <v>1</v>
      </c>
      <c r="F26" s="16">
        <v>46.613799999999998</v>
      </c>
      <c r="G26" s="16">
        <v>0</v>
      </c>
      <c r="H26" s="13">
        <f t="shared" si="2"/>
        <v>15</v>
      </c>
      <c r="I26" s="13">
        <f t="shared" si="3"/>
        <v>0</v>
      </c>
      <c r="J26" s="13">
        <f t="shared" si="4"/>
        <v>0</v>
      </c>
      <c r="K26" s="16">
        <v>1</v>
      </c>
      <c r="L26" s="16">
        <v>103.31359999999999</v>
      </c>
      <c r="M26" s="16">
        <v>1</v>
      </c>
      <c r="N26" s="13">
        <f t="shared" si="5"/>
        <v>19</v>
      </c>
      <c r="O26" s="13">
        <f t="shared" si="6"/>
        <v>0.19</v>
      </c>
      <c r="P26" s="13">
        <f t="shared" si="7"/>
        <v>0.19</v>
      </c>
      <c r="Q26" s="16">
        <v>1</v>
      </c>
      <c r="R26" s="16">
        <v>0</v>
      </c>
      <c r="S26" s="16">
        <v>0</v>
      </c>
      <c r="T26" s="13">
        <f t="shared" si="8"/>
        <v>39</v>
      </c>
      <c r="U26" s="13">
        <f t="shared" si="9"/>
        <v>0</v>
      </c>
      <c r="V26" s="13">
        <f t="shared" si="10"/>
        <v>0</v>
      </c>
      <c r="W26" s="16">
        <v>1</v>
      </c>
      <c r="X26" s="16">
        <v>3.1311</v>
      </c>
      <c r="Y26" s="16">
        <v>0</v>
      </c>
      <c r="Z26" s="13">
        <f t="shared" si="11"/>
        <v>9</v>
      </c>
      <c r="AA26" s="13">
        <f t="shared" si="12"/>
        <v>0</v>
      </c>
      <c r="AB26" s="13">
        <f t="shared" si="13"/>
        <v>0</v>
      </c>
      <c r="AC26" s="16">
        <v>1</v>
      </c>
      <c r="AD26" s="16">
        <v>0</v>
      </c>
      <c r="AE26" s="16">
        <v>1</v>
      </c>
      <c r="AF26" s="13">
        <f t="shared" si="14"/>
        <v>18</v>
      </c>
      <c r="AG26" s="13">
        <f t="shared" si="15"/>
        <v>0.18</v>
      </c>
      <c r="AH26" s="13">
        <f t="shared" si="16"/>
        <v>0.18</v>
      </c>
      <c r="AI26" s="13">
        <f t="shared" si="17"/>
        <v>1.6666666666666667</v>
      </c>
      <c r="AJ26" s="13">
        <f t="shared" si="18"/>
        <v>2.1111111111111112</v>
      </c>
      <c r="AK26" s="13">
        <f t="shared" si="19"/>
        <v>4.333333333333333</v>
      </c>
      <c r="AL26" s="13">
        <f t="shared" si="20"/>
        <v>1</v>
      </c>
      <c r="AM26" s="13">
        <f t="shared" si="21"/>
        <v>2</v>
      </c>
      <c r="AN26" s="13">
        <f t="shared" si="22"/>
        <v>11.111111111111111</v>
      </c>
    </row>
    <row r="27" spans="1:40" x14ac:dyDescent="0.2">
      <c r="A27" s="1" t="s">
        <v>50</v>
      </c>
      <c r="B27" s="11" t="s">
        <v>29</v>
      </c>
      <c r="C27" s="13">
        <f t="shared" si="0"/>
        <v>0.42080799999999996</v>
      </c>
      <c r="D27" s="13">
        <f t="shared" si="1"/>
        <v>1</v>
      </c>
      <c r="E27" s="16">
        <v>1</v>
      </c>
      <c r="F27" s="16">
        <v>32.021900000000002</v>
      </c>
      <c r="G27" s="16">
        <v>1</v>
      </c>
      <c r="H27" s="13">
        <f t="shared" si="2"/>
        <v>15</v>
      </c>
      <c r="I27" s="13">
        <f t="shared" si="3"/>
        <v>0.15</v>
      </c>
      <c r="J27" s="13">
        <f t="shared" si="4"/>
        <v>0.15</v>
      </c>
      <c r="K27" s="16">
        <v>1</v>
      </c>
      <c r="L27" s="16">
        <v>101.41419999999999</v>
      </c>
      <c r="M27" s="16">
        <v>1</v>
      </c>
      <c r="N27" s="13">
        <f t="shared" si="5"/>
        <v>19</v>
      </c>
      <c r="O27" s="13">
        <f t="shared" si="6"/>
        <v>0.19</v>
      </c>
      <c r="P27" s="13">
        <f t="shared" si="7"/>
        <v>0.19</v>
      </c>
      <c r="Q27" s="16">
        <v>1</v>
      </c>
      <c r="R27" s="16">
        <v>20.718399999999999</v>
      </c>
      <c r="S27" s="16">
        <v>0.2072</v>
      </c>
      <c r="T27" s="13">
        <f t="shared" si="8"/>
        <v>39</v>
      </c>
      <c r="U27" s="13">
        <f t="shared" si="9"/>
        <v>8.0808000000000005E-2</v>
      </c>
      <c r="V27" s="13">
        <f t="shared" si="10"/>
        <v>8.0808000000000005E-2</v>
      </c>
      <c r="W27" s="16">
        <v>1</v>
      </c>
      <c r="X27" s="16">
        <v>1.5157</v>
      </c>
      <c r="Y27" s="16">
        <v>0</v>
      </c>
      <c r="Z27" s="13">
        <f t="shared" si="11"/>
        <v>9</v>
      </c>
      <c r="AA27" s="13">
        <f t="shared" si="12"/>
        <v>0</v>
      </c>
      <c r="AB27" s="13">
        <f t="shared" si="13"/>
        <v>0</v>
      </c>
      <c r="AC27" s="16">
        <v>1</v>
      </c>
      <c r="AD27" s="16">
        <v>4033270.22</v>
      </c>
      <c r="AE27" s="16">
        <v>0</v>
      </c>
      <c r="AF27" s="13">
        <f t="shared" si="14"/>
        <v>18</v>
      </c>
      <c r="AG27" s="13">
        <f t="shared" si="15"/>
        <v>0</v>
      </c>
      <c r="AH27" s="13">
        <f t="shared" si="16"/>
        <v>0</v>
      </c>
      <c r="AI27" s="13">
        <f t="shared" si="17"/>
        <v>1.6666666666666667</v>
      </c>
      <c r="AJ27" s="13">
        <f t="shared" si="18"/>
        <v>2.1111111111111112</v>
      </c>
      <c r="AK27" s="13">
        <f t="shared" si="19"/>
        <v>4.333333333333333</v>
      </c>
      <c r="AL27" s="13">
        <f t="shared" si="20"/>
        <v>1</v>
      </c>
      <c r="AM27" s="13">
        <f t="shared" si="21"/>
        <v>2</v>
      </c>
      <c r="AN27" s="13">
        <f t="shared" si="22"/>
        <v>11.111111111111111</v>
      </c>
    </row>
    <row r="28" spans="1:40" x14ac:dyDescent="0.2">
      <c r="A28" s="1" t="s">
        <v>51</v>
      </c>
      <c r="B28" s="11" t="s">
        <v>30</v>
      </c>
      <c r="C28" s="13">
        <f t="shared" si="0"/>
        <v>0.66322899999999996</v>
      </c>
      <c r="D28" s="13">
        <f t="shared" si="1"/>
        <v>1</v>
      </c>
      <c r="E28" s="16">
        <v>1</v>
      </c>
      <c r="F28" s="16">
        <v>28.957599999999999</v>
      </c>
      <c r="G28" s="16">
        <v>1</v>
      </c>
      <c r="H28" s="13">
        <f t="shared" si="2"/>
        <v>15</v>
      </c>
      <c r="I28" s="13">
        <f t="shared" si="3"/>
        <v>0.15</v>
      </c>
      <c r="J28" s="13">
        <f t="shared" si="4"/>
        <v>0.15</v>
      </c>
      <c r="K28" s="16">
        <v>1</v>
      </c>
      <c r="L28" s="16">
        <v>100.47069999999999</v>
      </c>
      <c r="M28" s="16">
        <v>1</v>
      </c>
      <c r="N28" s="13">
        <f t="shared" si="5"/>
        <v>19</v>
      </c>
      <c r="O28" s="13">
        <f t="shared" si="6"/>
        <v>0.19</v>
      </c>
      <c r="P28" s="13">
        <f t="shared" si="7"/>
        <v>0.19</v>
      </c>
      <c r="Q28" s="16">
        <v>1</v>
      </c>
      <c r="R28" s="16">
        <v>13.7212</v>
      </c>
      <c r="S28" s="16">
        <v>0.13719999999999999</v>
      </c>
      <c r="T28" s="13">
        <f t="shared" si="8"/>
        <v>39</v>
      </c>
      <c r="U28" s="13">
        <f t="shared" si="9"/>
        <v>5.3507999999999993E-2</v>
      </c>
      <c r="V28" s="13">
        <f t="shared" si="10"/>
        <v>5.3507999999999993E-2</v>
      </c>
      <c r="W28" s="16">
        <v>1</v>
      </c>
      <c r="X28" s="16">
        <v>0.31290000000000001</v>
      </c>
      <c r="Y28" s="16">
        <v>0.99690000000000001</v>
      </c>
      <c r="Z28" s="13">
        <f t="shared" si="11"/>
        <v>9</v>
      </c>
      <c r="AA28" s="13">
        <f t="shared" si="12"/>
        <v>8.9720999999999995E-2</v>
      </c>
      <c r="AB28" s="13">
        <f t="shared" si="13"/>
        <v>8.9720999999999995E-2</v>
      </c>
      <c r="AC28" s="16">
        <v>1</v>
      </c>
      <c r="AD28" s="16">
        <v>0</v>
      </c>
      <c r="AE28" s="16">
        <v>1</v>
      </c>
      <c r="AF28" s="13">
        <f t="shared" si="14"/>
        <v>18</v>
      </c>
      <c r="AG28" s="13">
        <f t="shared" si="15"/>
        <v>0.18</v>
      </c>
      <c r="AH28" s="13">
        <f t="shared" si="16"/>
        <v>0.18</v>
      </c>
      <c r="AI28" s="13">
        <f t="shared" si="17"/>
        <v>1.6666666666666667</v>
      </c>
      <c r="AJ28" s="13">
        <f t="shared" si="18"/>
        <v>2.1111111111111112</v>
      </c>
      <c r="AK28" s="13">
        <f t="shared" si="19"/>
        <v>4.333333333333333</v>
      </c>
      <c r="AL28" s="13">
        <f t="shared" si="20"/>
        <v>1</v>
      </c>
      <c r="AM28" s="13">
        <f t="shared" si="21"/>
        <v>2</v>
      </c>
      <c r="AN28" s="13">
        <f t="shared" si="22"/>
        <v>11.111111111111111</v>
      </c>
    </row>
    <row r="29" spans="1:40" ht="25.5" x14ac:dyDescent="0.2">
      <c r="A29" s="1" t="s">
        <v>52</v>
      </c>
      <c r="B29" s="11" t="s">
        <v>31</v>
      </c>
      <c r="C29" s="13">
        <f t="shared" si="0"/>
        <v>0.56559099999999995</v>
      </c>
      <c r="D29" s="13">
        <f t="shared" si="1"/>
        <v>1</v>
      </c>
      <c r="E29" s="16">
        <v>1</v>
      </c>
      <c r="F29" s="16">
        <v>32.962400000000002</v>
      </c>
      <c r="G29" s="16">
        <v>1</v>
      </c>
      <c r="H29" s="13">
        <f t="shared" si="2"/>
        <v>15</v>
      </c>
      <c r="I29" s="13">
        <f t="shared" si="3"/>
        <v>0.15</v>
      </c>
      <c r="J29" s="13">
        <f t="shared" si="4"/>
        <v>0.15</v>
      </c>
      <c r="K29" s="16">
        <v>1</v>
      </c>
      <c r="L29" s="16">
        <v>102.2475</v>
      </c>
      <c r="M29" s="16">
        <v>1</v>
      </c>
      <c r="N29" s="13">
        <f t="shared" si="5"/>
        <v>19</v>
      </c>
      <c r="O29" s="13">
        <f t="shared" si="6"/>
        <v>0.19</v>
      </c>
      <c r="P29" s="13">
        <f t="shared" si="7"/>
        <v>0.19</v>
      </c>
      <c r="Q29" s="16">
        <v>1</v>
      </c>
      <c r="R29" s="16">
        <v>11.687200000000001</v>
      </c>
      <c r="S29" s="16">
        <v>0.1169</v>
      </c>
      <c r="T29" s="13">
        <f t="shared" si="8"/>
        <v>39</v>
      </c>
      <c r="U29" s="13">
        <f t="shared" si="9"/>
        <v>4.5591E-2</v>
      </c>
      <c r="V29" s="13">
        <f t="shared" si="10"/>
        <v>4.5591E-2</v>
      </c>
      <c r="W29" s="16">
        <v>1</v>
      </c>
      <c r="X29" s="16">
        <v>2.5183</v>
      </c>
      <c r="Y29" s="16">
        <v>0</v>
      </c>
      <c r="Z29" s="13">
        <f t="shared" si="11"/>
        <v>9</v>
      </c>
      <c r="AA29" s="13">
        <f t="shared" si="12"/>
        <v>0</v>
      </c>
      <c r="AB29" s="13">
        <f t="shared" si="13"/>
        <v>0</v>
      </c>
      <c r="AC29" s="16">
        <v>1</v>
      </c>
      <c r="AD29" s="16">
        <v>0</v>
      </c>
      <c r="AE29" s="16">
        <v>1</v>
      </c>
      <c r="AF29" s="13">
        <f t="shared" si="14"/>
        <v>18</v>
      </c>
      <c r="AG29" s="13">
        <f t="shared" si="15"/>
        <v>0.18</v>
      </c>
      <c r="AH29" s="13">
        <f t="shared" si="16"/>
        <v>0.18</v>
      </c>
      <c r="AI29" s="13">
        <f t="shared" si="17"/>
        <v>1.6666666666666667</v>
      </c>
      <c r="AJ29" s="13">
        <f t="shared" si="18"/>
        <v>2.1111111111111112</v>
      </c>
      <c r="AK29" s="13">
        <f t="shared" si="19"/>
        <v>4.333333333333333</v>
      </c>
      <c r="AL29" s="13">
        <f t="shared" si="20"/>
        <v>1</v>
      </c>
      <c r="AM29" s="13">
        <f t="shared" si="21"/>
        <v>2</v>
      </c>
      <c r="AN29" s="13">
        <f t="shared" si="22"/>
        <v>11.111111111111111</v>
      </c>
    </row>
    <row r="30" spans="1:40" ht="25.5" x14ac:dyDescent="0.2">
      <c r="A30" s="1" t="s">
        <v>53</v>
      </c>
      <c r="B30" s="11" t="s">
        <v>32</v>
      </c>
      <c r="C30" s="13">
        <f t="shared" si="0"/>
        <v>0.6755199999999999</v>
      </c>
      <c r="D30" s="13">
        <f t="shared" si="1"/>
        <v>1</v>
      </c>
      <c r="E30" s="16">
        <v>1</v>
      </c>
      <c r="F30" s="16">
        <v>29.3551</v>
      </c>
      <c r="G30" s="16">
        <v>1</v>
      </c>
      <c r="H30" s="13">
        <f t="shared" si="2"/>
        <v>15</v>
      </c>
      <c r="I30" s="13">
        <f t="shared" si="3"/>
        <v>0.15</v>
      </c>
      <c r="J30" s="13">
        <f t="shared" si="4"/>
        <v>0.15</v>
      </c>
      <c r="K30" s="16">
        <v>1</v>
      </c>
      <c r="L30" s="16">
        <v>101.0235</v>
      </c>
      <c r="M30" s="16">
        <v>1</v>
      </c>
      <c r="N30" s="13">
        <f t="shared" si="5"/>
        <v>19</v>
      </c>
      <c r="O30" s="13">
        <f t="shared" si="6"/>
        <v>0.19</v>
      </c>
      <c r="P30" s="13">
        <f t="shared" si="7"/>
        <v>0.19</v>
      </c>
      <c r="Q30" s="16">
        <v>1</v>
      </c>
      <c r="R30" s="16">
        <v>17.043099999999999</v>
      </c>
      <c r="S30" s="16">
        <v>0.1704</v>
      </c>
      <c r="T30" s="13">
        <f t="shared" si="8"/>
        <v>39</v>
      </c>
      <c r="U30" s="13">
        <f t="shared" si="9"/>
        <v>6.6456000000000001E-2</v>
      </c>
      <c r="V30" s="13">
        <f t="shared" si="10"/>
        <v>6.6456000000000001E-2</v>
      </c>
      <c r="W30" s="16">
        <v>1</v>
      </c>
      <c r="X30" s="16">
        <v>1.0395000000000001</v>
      </c>
      <c r="Y30" s="16">
        <v>0.98960000000000004</v>
      </c>
      <c r="Z30" s="13">
        <f t="shared" si="11"/>
        <v>9</v>
      </c>
      <c r="AA30" s="13">
        <f t="shared" si="12"/>
        <v>8.906399999999999E-2</v>
      </c>
      <c r="AB30" s="13">
        <f t="shared" si="13"/>
        <v>8.906399999999999E-2</v>
      </c>
      <c r="AC30" s="16">
        <v>1</v>
      </c>
      <c r="AD30" s="16">
        <v>0</v>
      </c>
      <c r="AE30" s="16">
        <v>1</v>
      </c>
      <c r="AF30" s="13">
        <f t="shared" si="14"/>
        <v>18</v>
      </c>
      <c r="AG30" s="13">
        <f t="shared" si="15"/>
        <v>0.18</v>
      </c>
      <c r="AH30" s="13">
        <f t="shared" si="16"/>
        <v>0.18</v>
      </c>
      <c r="AI30" s="13">
        <f t="shared" si="17"/>
        <v>1.6666666666666667</v>
      </c>
      <c r="AJ30" s="13">
        <f t="shared" si="18"/>
        <v>2.1111111111111112</v>
      </c>
      <c r="AK30" s="13">
        <f t="shared" si="19"/>
        <v>4.333333333333333</v>
      </c>
      <c r="AL30" s="13">
        <f t="shared" si="20"/>
        <v>1</v>
      </c>
      <c r="AM30" s="13">
        <f t="shared" si="21"/>
        <v>2</v>
      </c>
      <c r="AN30" s="13">
        <f t="shared" si="22"/>
        <v>11.111111111111111</v>
      </c>
    </row>
    <row r="31" spans="1:40" x14ac:dyDescent="0.2">
      <c r="A31" s="1" t="s">
        <v>54</v>
      </c>
      <c r="B31" s="11" t="s">
        <v>33</v>
      </c>
      <c r="C31" s="13">
        <f t="shared" si="0"/>
        <v>0.52</v>
      </c>
      <c r="D31" s="13">
        <f t="shared" si="1"/>
        <v>1</v>
      </c>
      <c r="E31" s="16">
        <v>1</v>
      </c>
      <c r="F31" s="16">
        <v>32.941400000000002</v>
      </c>
      <c r="G31" s="16">
        <v>1</v>
      </c>
      <c r="H31" s="13">
        <f t="shared" si="2"/>
        <v>15</v>
      </c>
      <c r="I31" s="13">
        <f t="shared" si="3"/>
        <v>0.15</v>
      </c>
      <c r="J31" s="13">
        <f t="shared" si="4"/>
        <v>0.15</v>
      </c>
      <c r="K31" s="16">
        <v>1</v>
      </c>
      <c r="L31" s="16">
        <v>103.7569</v>
      </c>
      <c r="M31" s="16">
        <v>1</v>
      </c>
      <c r="N31" s="13">
        <f t="shared" si="5"/>
        <v>19</v>
      </c>
      <c r="O31" s="13">
        <f t="shared" si="6"/>
        <v>0.19</v>
      </c>
      <c r="P31" s="13">
        <f t="shared" si="7"/>
        <v>0.19</v>
      </c>
      <c r="Q31" s="16">
        <v>1</v>
      </c>
      <c r="R31" s="16">
        <v>0</v>
      </c>
      <c r="S31" s="16">
        <v>0</v>
      </c>
      <c r="T31" s="13">
        <f t="shared" si="8"/>
        <v>39</v>
      </c>
      <c r="U31" s="13">
        <f t="shared" si="9"/>
        <v>0</v>
      </c>
      <c r="V31" s="13">
        <f t="shared" si="10"/>
        <v>0</v>
      </c>
      <c r="W31" s="16">
        <v>1</v>
      </c>
      <c r="X31" s="16">
        <v>4.0016999999999996</v>
      </c>
      <c r="Y31" s="16">
        <v>0</v>
      </c>
      <c r="Z31" s="13">
        <f t="shared" si="11"/>
        <v>9</v>
      </c>
      <c r="AA31" s="13">
        <f t="shared" si="12"/>
        <v>0</v>
      </c>
      <c r="AB31" s="13">
        <f t="shared" si="13"/>
        <v>0</v>
      </c>
      <c r="AC31" s="16">
        <v>1</v>
      </c>
      <c r="AD31" s="16">
        <v>0</v>
      </c>
      <c r="AE31" s="16">
        <v>1</v>
      </c>
      <c r="AF31" s="13">
        <f t="shared" si="14"/>
        <v>18</v>
      </c>
      <c r="AG31" s="13">
        <f t="shared" si="15"/>
        <v>0.18</v>
      </c>
      <c r="AH31" s="13">
        <f t="shared" si="16"/>
        <v>0.18</v>
      </c>
      <c r="AI31" s="13">
        <f t="shared" si="17"/>
        <v>1.6666666666666667</v>
      </c>
      <c r="AJ31" s="13">
        <f t="shared" si="18"/>
        <v>2.1111111111111112</v>
      </c>
      <c r="AK31" s="13">
        <f t="shared" si="19"/>
        <v>4.333333333333333</v>
      </c>
      <c r="AL31" s="13">
        <f t="shared" si="20"/>
        <v>1</v>
      </c>
      <c r="AM31" s="13">
        <f t="shared" si="21"/>
        <v>2</v>
      </c>
      <c r="AN31" s="13">
        <f t="shared" si="22"/>
        <v>11.111111111111111</v>
      </c>
    </row>
    <row r="32" spans="1:40" x14ac:dyDescent="0.2">
      <c r="A32" s="1" t="s">
        <v>55</v>
      </c>
      <c r="B32" s="11" t="s">
        <v>34</v>
      </c>
      <c r="C32" s="13">
        <f t="shared" si="0"/>
        <v>0.52</v>
      </c>
      <c r="D32" s="13">
        <f t="shared" si="1"/>
        <v>1</v>
      </c>
      <c r="E32" s="16">
        <v>1</v>
      </c>
      <c r="F32" s="16">
        <v>30.930299999999999</v>
      </c>
      <c r="G32" s="16">
        <v>1</v>
      </c>
      <c r="H32" s="13">
        <f t="shared" si="2"/>
        <v>15</v>
      </c>
      <c r="I32" s="13">
        <f t="shared" si="3"/>
        <v>0.15</v>
      </c>
      <c r="J32" s="13">
        <f t="shared" si="4"/>
        <v>0.15</v>
      </c>
      <c r="K32" s="16">
        <v>1</v>
      </c>
      <c r="L32" s="16">
        <v>100.94159999999999</v>
      </c>
      <c r="M32" s="16">
        <v>1</v>
      </c>
      <c r="N32" s="13">
        <f t="shared" si="5"/>
        <v>19</v>
      </c>
      <c r="O32" s="13">
        <f t="shared" si="6"/>
        <v>0.19</v>
      </c>
      <c r="P32" s="13">
        <f t="shared" si="7"/>
        <v>0.19</v>
      </c>
      <c r="Q32" s="16">
        <v>1</v>
      </c>
      <c r="R32" s="16">
        <v>0</v>
      </c>
      <c r="S32" s="16">
        <v>0</v>
      </c>
      <c r="T32" s="13">
        <f t="shared" si="8"/>
        <v>39</v>
      </c>
      <c r="U32" s="13">
        <f t="shared" si="9"/>
        <v>0</v>
      </c>
      <c r="V32" s="13">
        <f t="shared" si="10"/>
        <v>0</v>
      </c>
      <c r="W32" s="16">
        <v>1</v>
      </c>
      <c r="X32" s="16">
        <v>3.1158000000000001</v>
      </c>
      <c r="Y32" s="16">
        <v>0</v>
      </c>
      <c r="Z32" s="13">
        <f t="shared" si="11"/>
        <v>9</v>
      </c>
      <c r="AA32" s="13">
        <f t="shared" si="12"/>
        <v>0</v>
      </c>
      <c r="AB32" s="13">
        <f t="shared" si="13"/>
        <v>0</v>
      </c>
      <c r="AC32" s="16">
        <v>1</v>
      </c>
      <c r="AD32" s="16">
        <v>0</v>
      </c>
      <c r="AE32" s="16">
        <v>1</v>
      </c>
      <c r="AF32" s="13">
        <f t="shared" si="14"/>
        <v>18</v>
      </c>
      <c r="AG32" s="13">
        <f t="shared" si="15"/>
        <v>0.18</v>
      </c>
      <c r="AH32" s="13">
        <f t="shared" si="16"/>
        <v>0.18</v>
      </c>
      <c r="AI32" s="13">
        <f t="shared" si="17"/>
        <v>1.6666666666666667</v>
      </c>
      <c r="AJ32" s="13">
        <f t="shared" si="18"/>
        <v>2.1111111111111112</v>
      </c>
      <c r="AK32" s="13">
        <f t="shared" si="19"/>
        <v>4.333333333333333</v>
      </c>
      <c r="AL32" s="13">
        <f t="shared" si="20"/>
        <v>1</v>
      </c>
      <c r="AM32" s="13">
        <f t="shared" si="21"/>
        <v>2</v>
      </c>
      <c r="AN32" s="13">
        <f t="shared" si="22"/>
        <v>11.111111111111111</v>
      </c>
    </row>
    <row r="33" spans="1:40" x14ac:dyDescent="0.2">
      <c r="A33" s="1" t="s">
        <v>56</v>
      </c>
      <c r="B33" s="11" t="s">
        <v>35</v>
      </c>
      <c r="C33" s="13">
        <f t="shared" si="0"/>
        <v>0.52</v>
      </c>
      <c r="D33" s="13">
        <f t="shared" si="1"/>
        <v>1</v>
      </c>
      <c r="E33" s="16">
        <v>1</v>
      </c>
      <c r="F33" s="16">
        <v>33.253300000000003</v>
      </c>
      <c r="G33" s="16">
        <v>1</v>
      </c>
      <c r="H33" s="13">
        <f t="shared" si="2"/>
        <v>15</v>
      </c>
      <c r="I33" s="13">
        <f t="shared" si="3"/>
        <v>0.15</v>
      </c>
      <c r="J33" s="13">
        <f t="shared" si="4"/>
        <v>0.15</v>
      </c>
      <c r="K33" s="16">
        <v>1</v>
      </c>
      <c r="L33" s="16">
        <v>101.5672</v>
      </c>
      <c r="M33" s="16">
        <v>1</v>
      </c>
      <c r="N33" s="13">
        <f t="shared" si="5"/>
        <v>19</v>
      </c>
      <c r="O33" s="13">
        <f t="shared" si="6"/>
        <v>0.19</v>
      </c>
      <c r="P33" s="13">
        <f t="shared" si="7"/>
        <v>0.19</v>
      </c>
      <c r="Q33" s="16">
        <v>1</v>
      </c>
      <c r="R33" s="16">
        <v>0</v>
      </c>
      <c r="S33" s="16">
        <v>0</v>
      </c>
      <c r="T33" s="13">
        <f t="shared" si="8"/>
        <v>39</v>
      </c>
      <c r="U33" s="13">
        <f t="shared" si="9"/>
        <v>0</v>
      </c>
      <c r="V33" s="13">
        <f t="shared" si="10"/>
        <v>0</v>
      </c>
      <c r="W33" s="16">
        <v>1</v>
      </c>
      <c r="X33" s="16">
        <v>2.5186000000000002</v>
      </c>
      <c r="Y33" s="16">
        <v>0</v>
      </c>
      <c r="Z33" s="13">
        <f t="shared" si="11"/>
        <v>9</v>
      </c>
      <c r="AA33" s="13">
        <f t="shared" si="12"/>
        <v>0</v>
      </c>
      <c r="AB33" s="13">
        <f t="shared" si="13"/>
        <v>0</v>
      </c>
      <c r="AC33" s="16">
        <v>1</v>
      </c>
      <c r="AD33" s="16">
        <v>0</v>
      </c>
      <c r="AE33" s="16">
        <v>1</v>
      </c>
      <c r="AF33" s="13">
        <f t="shared" si="14"/>
        <v>18</v>
      </c>
      <c r="AG33" s="13">
        <f t="shared" si="15"/>
        <v>0.18</v>
      </c>
      <c r="AH33" s="13">
        <f t="shared" si="16"/>
        <v>0.18</v>
      </c>
      <c r="AI33" s="13">
        <f t="shared" si="17"/>
        <v>1.6666666666666667</v>
      </c>
      <c r="AJ33" s="13">
        <f t="shared" si="18"/>
        <v>2.1111111111111112</v>
      </c>
      <c r="AK33" s="13">
        <f t="shared" si="19"/>
        <v>4.333333333333333</v>
      </c>
      <c r="AL33" s="13">
        <f t="shared" si="20"/>
        <v>1</v>
      </c>
      <c r="AM33" s="13">
        <f t="shared" si="21"/>
        <v>2</v>
      </c>
      <c r="AN33" s="13">
        <f t="shared" si="22"/>
        <v>11.111111111111111</v>
      </c>
    </row>
    <row r="34" spans="1:40" x14ac:dyDescent="0.2">
      <c r="A34" s="1" t="s">
        <v>57</v>
      </c>
      <c r="B34" s="11" t="s">
        <v>36</v>
      </c>
      <c r="C34" s="13">
        <f t="shared" si="0"/>
        <v>0.52</v>
      </c>
      <c r="D34" s="13">
        <f t="shared" si="1"/>
        <v>1</v>
      </c>
      <c r="E34" s="16">
        <v>1</v>
      </c>
      <c r="F34" s="16">
        <v>29.118400000000001</v>
      </c>
      <c r="G34" s="16">
        <v>1</v>
      </c>
      <c r="H34" s="13">
        <f t="shared" si="2"/>
        <v>15</v>
      </c>
      <c r="I34" s="13">
        <f t="shared" si="3"/>
        <v>0.15</v>
      </c>
      <c r="J34" s="13">
        <f t="shared" si="4"/>
        <v>0.15</v>
      </c>
      <c r="K34" s="16">
        <v>1</v>
      </c>
      <c r="L34" s="16">
        <v>101.86279999999999</v>
      </c>
      <c r="M34" s="16">
        <v>1</v>
      </c>
      <c r="N34" s="13">
        <f t="shared" si="5"/>
        <v>19</v>
      </c>
      <c r="O34" s="13">
        <f t="shared" si="6"/>
        <v>0.19</v>
      </c>
      <c r="P34" s="13">
        <f t="shared" si="7"/>
        <v>0.19</v>
      </c>
      <c r="Q34" s="16">
        <v>1</v>
      </c>
      <c r="R34" s="16">
        <v>0</v>
      </c>
      <c r="S34" s="16">
        <v>0</v>
      </c>
      <c r="T34" s="13">
        <f t="shared" si="8"/>
        <v>39</v>
      </c>
      <c r="U34" s="13">
        <f t="shared" si="9"/>
        <v>0</v>
      </c>
      <c r="V34" s="13">
        <f t="shared" si="10"/>
        <v>0</v>
      </c>
      <c r="W34" s="16">
        <v>1</v>
      </c>
      <c r="X34" s="16">
        <v>2.8885999999999998</v>
      </c>
      <c r="Y34" s="16">
        <v>0</v>
      </c>
      <c r="Z34" s="13">
        <f t="shared" si="11"/>
        <v>9</v>
      </c>
      <c r="AA34" s="13">
        <f t="shared" si="12"/>
        <v>0</v>
      </c>
      <c r="AB34" s="13">
        <f t="shared" si="13"/>
        <v>0</v>
      </c>
      <c r="AC34" s="16">
        <v>1</v>
      </c>
      <c r="AD34" s="16">
        <v>0</v>
      </c>
      <c r="AE34" s="16">
        <v>1</v>
      </c>
      <c r="AF34" s="13">
        <f t="shared" si="14"/>
        <v>18</v>
      </c>
      <c r="AG34" s="13">
        <f t="shared" si="15"/>
        <v>0.18</v>
      </c>
      <c r="AH34" s="13">
        <f t="shared" si="16"/>
        <v>0.18</v>
      </c>
      <c r="AI34" s="13">
        <f t="shared" si="17"/>
        <v>1.6666666666666667</v>
      </c>
      <c r="AJ34" s="13">
        <f t="shared" si="18"/>
        <v>2.1111111111111112</v>
      </c>
      <c r="AK34" s="13">
        <f t="shared" si="19"/>
        <v>4.333333333333333</v>
      </c>
      <c r="AL34" s="13">
        <f t="shared" si="20"/>
        <v>1</v>
      </c>
      <c r="AM34" s="13">
        <f t="shared" si="21"/>
        <v>2</v>
      </c>
      <c r="AN34" s="13">
        <f t="shared" si="22"/>
        <v>11.111111111111111</v>
      </c>
    </row>
    <row r="35" spans="1:40" ht="25.5" x14ac:dyDescent="0.2">
      <c r="A35" s="1" t="s">
        <v>58</v>
      </c>
      <c r="B35" s="11" t="s">
        <v>37</v>
      </c>
      <c r="C35" s="13">
        <f t="shared" si="0"/>
        <v>0.60885699999999998</v>
      </c>
      <c r="D35" s="13">
        <f t="shared" si="1"/>
        <v>1</v>
      </c>
      <c r="E35" s="16">
        <v>1</v>
      </c>
      <c r="F35" s="16">
        <v>27.843800000000002</v>
      </c>
      <c r="G35" s="16">
        <v>1</v>
      </c>
      <c r="H35" s="13">
        <f t="shared" si="2"/>
        <v>15</v>
      </c>
      <c r="I35" s="13">
        <f t="shared" si="3"/>
        <v>0.15</v>
      </c>
      <c r="J35" s="13">
        <f t="shared" si="4"/>
        <v>0.15</v>
      </c>
      <c r="K35" s="16">
        <v>1</v>
      </c>
      <c r="L35" s="16">
        <v>100.3156</v>
      </c>
      <c r="M35" s="16">
        <v>1</v>
      </c>
      <c r="N35" s="13">
        <f t="shared" si="5"/>
        <v>19</v>
      </c>
      <c r="O35" s="13">
        <f t="shared" si="6"/>
        <v>0.19</v>
      </c>
      <c r="P35" s="13">
        <f t="shared" si="7"/>
        <v>0.19</v>
      </c>
      <c r="Q35" s="16">
        <v>1</v>
      </c>
      <c r="R35" s="16">
        <v>0</v>
      </c>
      <c r="S35" s="16">
        <v>0</v>
      </c>
      <c r="T35" s="13">
        <f t="shared" si="8"/>
        <v>39</v>
      </c>
      <c r="U35" s="13">
        <f t="shared" si="9"/>
        <v>0</v>
      </c>
      <c r="V35" s="13">
        <f t="shared" si="10"/>
        <v>0</v>
      </c>
      <c r="W35" s="16">
        <v>1</v>
      </c>
      <c r="X35" s="16">
        <v>1.2706</v>
      </c>
      <c r="Y35" s="16">
        <v>0.98729999999999996</v>
      </c>
      <c r="Z35" s="13">
        <f t="shared" si="11"/>
        <v>9</v>
      </c>
      <c r="AA35" s="13">
        <f t="shared" si="12"/>
        <v>8.8857000000000005E-2</v>
      </c>
      <c r="AB35" s="13">
        <f t="shared" si="13"/>
        <v>8.8857000000000005E-2</v>
      </c>
      <c r="AC35" s="16">
        <v>1</v>
      </c>
      <c r="AD35" s="16">
        <v>0</v>
      </c>
      <c r="AE35" s="16">
        <v>1</v>
      </c>
      <c r="AF35" s="13">
        <f t="shared" si="14"/>
        <v>18</v>
      </c>
      <c r="AG35" s="13">
        <f t="shared" si="15"/>
        <v>0.18</v>
      </c>
      <c r="AH35" s="13">
        <f t="shared" si="16"/>
        <v>0.18</v>
      </c>
      <c r="AI35" s="13">
        <f t="shared" si="17"/>
        <v>1.6666666666666667</v>
      </c>
      <c r="AJ35" s="13">
        <f t="shared" si="18"/>
        <v>2.1111111111111112</v>
      </c>
      <c r="AK35" s="13">
        <f t="shared" si="19"/>
        <v>4.333333333333333</v>
      </c>
      <c r="AL35" s="13">
        <f t="shared" si="20"/>
        <v>1</v>
      </c>
      <c r="AM35" s="13">
        <f t="shared" si="21"/>
        <v>2</v>
      </c>
      <c r="AN35" s="13">
        <f t="shared" si="22"/>
        <v>11.111111111111111</v>
      </c>
    </row>
    <row r="36" spans="1:40" ht="25.5" x14ac:dyDescent="0.2">
      <c r="A36" s="1" t="s">
        <v>59</v>
      </c>
      <c r="B36" s="11" t="s">
        <v>38</v>
      </c>
      <c r="C36" s="13">
        <f t="shared" si="0"/>
        <v>0.63739900000000005</v>
      </c>
      <c r="D36" s="13">
        <f t="shared" si="1"/>
        <v>1</v>
      </c>
      <c r="E36" s="16">
        <v>1</v>
      </c>
      <c r="F36" s="16">
        <v>29.404499999999999</v>
      </c>
      <c r="G36" s="16">
        <v>1</v>
      </c>
      <c r="H36" s="13">
        <f t="shared" si="2"/>
        <v>15</v>
      </c>
      <c r="I36" s="13">
        <f t="shared" si="3"/>
        <v>0.15</v>
      </c>
      <c r="J36" s="13">
        <f t="shared" si="4"/>
        <v>0.15</v>
      </c>
      <c r="K36" s="16">
        <v>1</v>
      </c>
      <c r="L36" s="16">
        <v>101.7406</v>
      </c>
      <c r="M36" s="16">
        <v>1</v>
      </c>
      <c r="N36" s="13">
        <f t="shared" si="5"/>
        <v>19</v>
      </c>
      <c r="O36" s="13">
        <f t="shared" si="6"/>
        <v>0.19</v>
      </c>
      <c r="P36" s="13">
        <f t="shared" si="7"/>
        <v>0.19</v>
      </c>
      <c r="Q36" s="16">
        <v>1</v>
      </c>
      <c r="R36" s="16">
        <v>7.2142999999999997</v>
      </c>
      <c r="S36" s="16">
        <v>7.2099999999999997E-2</v>
      </c>
      <c r="T36" s="13">
        <f t="shared" si="8"/>
        <v>39</v>
      </c>
      <c r="U36" s="13">
        <f t="shared" si="9"/>
        <v>2.8119000000000002E-2</v>
      </c>
      <c r="V36" s="13">
        <f t="shared" si="10"/>
        <v>2.8119000000000002E-2</v>
      </c>
      <c r="W36" s="16">
        <v>1</v>
      </c>
      <c r="X36" s="16">
        <v>0.79990000000000006</v>
      </c>
      <c r="Y36" s="16">
        <v>0.99199999999999999</v>
      </c>
      <c r="Z36" s="13">
        <f t="shared" si="11"/>
        <v>9</v>
      </c>
      <c r="AA36" s="13">
        <f t="shared" si="12"/>
        <v>8.9280000000000012E-2</v>
      </c>
      <c r="AB36" s="13">
        <f t="shared" si="13"/>
        <v>8.9280000000000012E-2</v>
      </c>
      <c r="AC36" s="16">
        <v>1</v>
      </c>
      <c r="AD36" s="16">
        <v>0</v>
      </c>
      <c r="AE36" s="16">
        <v>1</v>
      </c>
      <c r="AF36" s="13">
        <f t="shared" si="14"/>
        <v>18</v>
      </c>
      <c r="AG36" s="13">
        <f t="shared" si="15"/>
        <v>0.18</v>
      </c>
      <c r="AH36" s="13">
        <f t="shared" si="16"/>
        <v>0.18</v>
      </c>
      <c r="AI36" s="13">
        <f t="shared" si="17"/>
        <v>1.6666666666666667</v>
      </c>
      <c r="AJ36" s="13">
        <f t="shared" si="18"/>
        <v>2.1111111111111112</v>
      </c>
      <c r="AK36" s="13">
        <f t="shared" si="19"/>
        <v>4.333333333333333</v>
      </c>
      <c r="AL36" s="13">
        <f t="shared" si="20"/>
        <v>1</v>
      </c>
      <c r="AM36" s="13">
        <f t="shared" si="21"/>
        <v>2</v>
      </c>
      <c r="AN36" s="13">
        <f t="shared" si="22"/>
        <v>11.111111111111111</v>
      </c>
    </row>
    <row r="37" spans="1:40" ht="25.5" x14ac:dyDescent="0.2">
      <c r="A37" s="1" t="s">
        <v>60</v>
      </c>
      <c r="B37" s="11" t="s">
        <v>39</v>
      </c>
      <c r="C37" s="13">
        <f t="shared" si="0"/>
        <v>0.52</v>
      </c>
      <c r="D37" s="13">
        <f t="shared" si="1"/>
        <v>1</v>
      </c>
      <c r="E37" s="16">
        <v>1</v>
      </c>
      <c r="F37" s="16">
        <v>26.743400000000001</v>
      </c>
      <c r="G37" s="16">
        <v>1</v>
      </c>
      <c r="H37" s="13">
        <f t="shared" si="2"/>
        <v>15</v>
      </c>
      <c r="I37" s="13">
        <f t="shared" si="3"/>
        <v>0.15</v>
      </c>
      <c r="J37" s="13">
        <f t="shared" si="4"/>
        <v>0.15</v>
      </c>
      <c r="K37" s="16">
        <v>1</v>
      </c>
      <c r="L37" s="16">
        <v>100.18600000000001</v>
      </c>
      <c r="M37" s="16">
        <v>1</v>
      </c>
      <c r="N37" s="13">
        <f t="shared" si="5"/>
        <v>19</v>
      </c>
      <c r="O37" s="13">
        <f t="shared" si="6"/>
        <v>0.19</v>
      </c>
      <c r="P37" s="13">
        <f t="shared" si="7"/>
        <v>0.19</v>
      </c>
      <c r="Q37" s="16">
        <v>1</v>
      </c>
      <c r="R37" s="16">
        <v>0</v>
      </c>
      <c r="S37" s="16">
        <v>0</v>
      </c>
      <c r="T37" s="13">
        <f t="shared" si="8"/>
        <v>39</v>
      </c>
      <c r="U37" s="13">
        <f t="shared" si="9"/>
        <v>0</v>
      </c>
      <c r="V37" s="13">
        <f t="shared" si="10"/>
        <v>0</v>
      </c>
      <c r="W37" s="16">
        <v>1</v>
      </c>
      <c r="X37" s="16">
        <v>7.6760999999999999</v>
      </c>
      <c r="Y37" s="16">
        <v>0</v>
      </c>
      <c r="Z37" s="13">
        <f t="shared" si="11"/>
        <v>9</v>
      </c>
      <c r="AA37" s="13">
        <f t="shared" si="12"/>
        <v>0</v>
      </c>
      <c r="AB37" s="13">
        <f t="shared" si="13"/>
        <v>0</v>
      </c>
      <c r="AC37" s="16">
        <v>1</v>
      </c>
      <c r="AD37" s="16">
        <v>0</v>
      </c>
      <c r="AE37" s="16">
        <v>1</v>
      </c>
      <c r="AF37" s="13">
        <f t="shared" si="14"/>
        <v>18</v>
      </c>
      <c r="AG37" s="13">
        <f t="shared" si="15"/>
        <v>0.18</v>
      </c>
      <c r="AH37" s="13">
        <f t="shared" si="16"/>
        <v>0.18</v>
      </c>
      <c r="AI37" s="13">
        <f t="shared" si="17"/>
        <v>1.6666666666666667</v>
      </c>
      <c r="AJ37" s="13">
        <f t="shared" si="18"/>
        <v>2.1111111111111112</v>
      </c>
      <c r="AK37" s="13">
        <f t="shared" si="19"/>
        <v>4.333333333333333</v>
      </c>
      <c r="AL37" s="13">
        <f t="shared" si="20"/>
        <v>1</v>
      </c>
      <c r="AM37" s="13">
        <f t="shared" si="21"/>
        <v>2</v>
      </c>
      <c r="AN37" s="13">
        <f t="shared" si="22"/>
        <v>11.111111111111111</v>
      </c>
    </row>
    <row r="38" spans="1:40" x14ac:dyDescent="0.2">
      <c r="A38" s="1" t="s">
        <v>61</v>
      </c>
      <c r="B38" s="11" t="s">
        <v>40</v>
      </c>
      <c r="C38" s="13">
        <f t="shared" si="0"/>
        <v>0.52</v>
      </c>
      <c r="D38" s="13">
        <f t="shared" si="1"/>
        <v>1</v>
      </c>
      <c r="E38" s="16">
        <v>1</v>
      </c>
      <c r="F38" s="16">
        <v>26.6266</v>
      </c>
      <c r="G38" s="16">
        <v>1</v>
      </c>
      <c r="H38" s="13">
        <f t="shared" si="2"/>
        <v>15</v>
      </c>
      <c r="I38" s="13">
        <f t="shared" si="3"/>
        <v>0.15</v>
      </c>
      <c r="J38" s="13">
        <f t="shared" si="4"/>
        <v>0.15</v>
      </c>
      <c r="K38" s="16">
        <v>1</v>
      </c>
      <c r="L38" s="16">
        <v>100.62130000000001</v>
      </c>
      <c r="M38" s="16">
        <v>1</v>
      </c>
      <c r="N38" s="13">
        <f t="shared" si="5"/>
        <v>19</v>
      </c>
      <c r="O38" s="13">
        <f t="shared" si="6"/>
        <v>0.19</v>
      </c>
      <c r="P38" s="13">
        <f t="shared" si="7"/>
        <v>0.19</v>
      </c>
      <c r="Q38" s="16">
        <v>1</v>
      </c>
      <c r="R38" s="16">
        <v>0</v>
      </c>
      <c r="S38" s="16">
        <v>0</v>
      </c>
      <c r="T38" s="13">
        <f t="shared" si="8"/>
        <v>39</v>
      </c>
      <c r="U38" s="13">
        <f t="shared" si="9"/>
        <v>0</v>
      </c>
      <c r="V38" s="13">
        <f t="shared" si="10"/>
        <v>0</v>
      </c>
      <c r="W38" s="16">
        <v>1</v>
      </c>
      <c r="X38" s="16">
        <v>4.0330000000000004</v>
      </c>
      <c r="Y38" s="16">
        <v>0</v>
      </c>
      <c r="Z38" s="13">
        <f t="shared" si="11"/>
        <v>9</v>
      </c>
      <c r="AA38" s="13">
        <f t="shared" si="12"/>
        <v>0</v>
      </c>
      <c r="AB38" s="13">
        <f t="shared" si="13"/>
        <v>0</v>
      </c>
      <c r="AC38" s="16">
        <v>1</v>
      </c>
      <c r="AD38" s="16">
        <v>0</v>
      </c>
      <c r="AE38" s="16">
        <v>1</v>
      </c>
      <c r="AF38" s="13">
        <f t="shared" si="14"/>
        <v>18</v>
      </c>
      <c r="AG38" s="13">
        <f t="shared" si="15"/>
        <v>0.18</v>
      </c>
      <c r="AH38" s="13">
        <f t="shared" si="16"/>
        <v>0.18</v>
      </c>
      <c r="AI38" s="13">
        <f t="shared" si="17"/>
        <v>1.6666666666666667</v>
      </c>
      <c r="AJ38" s="13">
        <f t="shared" si="18"/>
        <v>2.1111111111111112</v>
      </c>
      <c r="AK38" s="13">
        <f t="shared" si="19"/>
        <v>4.333333333333333</v>
      </c>
      <c r="AL38" s="13">
        <f t="shared" si="20"/>
        <v>1</v>
      </c>
      <c r="AM38" s="13">
        <f t="shared" si="21"/>
        <v>2</v>
      </c>
      <c r="AN38" s="13">
        <f t="shared" si="22"/>
        <v>11.111111111111111</v>
      </c>
    </row>
    <row r="52" ht="30" customHeight="1" x14ac:dyDescent="0.2"/>
  </sheetData>
  <sheetProtection algorithmName="SHA-512" hashValue="w8urQUio7yoEi2iV/VLjbzCK8uiCTS1fsVRX/d+RIFnAnsevMxWJrouh/ZMP3TJbb0EQLkCWwbl7DyG/Bb304g==" saltValue="inDQ6rMH2LfPfloEnnYT3A==" spinCount="100000" sheet="1" objects="1" scenarios="1" formatCells="0" formatColumns="0" formatRows="0" deleteColumns="0" deleteRows="0"/>
  <protectedRanges>
    <protectedRange sqref="C16:C38" name="krista_tr_47809_0_0"/>
    <protectedRange sqref="D16:D38" name="krista_tr_40531_0_0"/>
    <protectedRange sqref="H16:H38" name="krista_tf_40535_0_0"/>
    <protectedRange sqref="I16:I38" name="krista_tf_40536_0_0"/>
    <protectedRange sqref="J16:J38" name="krista_tr_40537_0_0"/>
    <protectedRange sqref="N16:N38" name="krista_tf_40541_0_0"/>
    <protectedRange sqref="O16:O38" name="krista_tf_40542_0_0"/>
    <protectedRange sqref="P16:P38" name="krista_tr_40543_0_0"/>
    <protectedRange sqref="T16:T38" name="krista_tf_40547_0_0"/>
    <protectedRange sqref="U16:U38" name="krista_tf_40548_0_0"/>
    <protectedRange sqref="V16:V38" name="krista_tr_40549_0_0"/>
    <protectedRange sqref="Z16:Z38" name="krista_tf_40553_0_0"/>
    <protectedRange sqref="AA16:AA38" name="krista_tf_40554_0_0"/>
    <protectedRange sqref="AB16:AB38" name="krista_tr_40555_0_0"/>
    <protectedRange sqref="AF16:AF38" name="krista_tf_40559_0_0"/>
    <protectedRange sqref="AG16:AG38" name="krista_tf_40560_0_0"/>
    <protectedRange sqref="AH16:AH38" name="krista_tr_40561_0_0"/>
    <protectedRange sqref="AI16:AI38" name="krista_tf_40580_0_0"/>
    <protectedRange sqref="AJ16:AJ38" name="krista_tf_40581_0_0"/>
    <protectedRange sqref="AK16:AK38" name="krista_tf_40582_0_0"/>
    <protectedRange sqref="AL16:AL38" name="krista_tf_40583_0_0"/>
    <protectedRange sqref="AM16:AM38" name="krista_tf_40584_0_0"/>
    <protectedRange sqref="AN16:AN38" name="krista_tf_40588_0_0"/>
  </protectedRanges>
  <mergeCells count="16">
    <mergeCell ref="B12:H12"/>
    <mergeCell ref="E14:J14"/>
    <mergeCell ref="A14:A15"/>
    <mergeCell ref="B14:B15"/>
    <mergeCell ref="C14:C15"/>
    <mergeCell ref="D14:D15"/>
    <mergeCell ref="A1:E1"/>
    <mergeCell ref="B8:H8"/>
    <mergeCell ref="B9:H9"/>
    <mergeCell ref="B10:H10"/>
    <mergeCell ref="B11:H11"/>
    <mergeCell ref="AI14:AN14"/>
    <mergeCell ref="Q14:V14"/>
    <mergeCell ref="W14:AB14"/>
    <mergeCell ref="AC14:AH14"/>
    <mergeCell ref="K14:P14"/>
  </mergeCells>
  <conditionalFormatting sqref="A8:A13">
    <cfRule type="expression" dxfId="4" priority="2" stopIfTrue="1">
      <formula>"(сумм(A8:F12)&lt;&gt;100"</formula>
    </cfRule>
  </conditionalFormatting>
  <pageMargins left="0.25" right="0.25" top="0.75" bottom="0.75" header="0.3" footer="0.3"/>
  <pageSetup paperSize="8" scale="93" fitToWidth="0" orientation="landscape" r:id="rId1"/>
  <headerFooter alignWithMargins="0"/>
  <colBreaks count="1" manualBreakCount="1">
    <brk id="27" max="50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krista_fm_columnsmarkup" r:id="rId8"/>
    <customPr name="krista_fm_consts" r:id="rId9"/>
    <customPr name="krista_fm_Events" r:id="rId10"/>
    <customPr name="krista_fm_metadataXML" r:id="rId11"/>
    <customPr name="krista_fm_rowsaxis" r:id="rId12"/>
    <customPr name="krista_fm_rowsmarkup" r:id="rId13"/>
    <customPr name="krista_SheetHistory" r:id="rId14"/>
    <customPr name="p14" r:id="rId15"/>
    <customPr name="p15" r:id="rId16"/>
    <customPr name="p19" r:id="rId17"/>
  </customProperties>
  <legacy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53"/>
  <sheetViews>
    <sheetView view="pageBreakPreview" topLeftCell="A10" zoomScale="85" zoomScaleNormal="75" zoomScaleSheetLayoutView="85" workbookViewId="0">
      <selection activeCell="K13" sqref="K13"/>
    </sheetView>
  </sheetViews>
  <sheetFormatPr defaultRowHeight="12.75" x14ac:dyDescent="0.2"/>
  <cols>
    <col min="1" max="1" width="6.28515625" style="55" customWidth="1"/>
    <col min="2" max="2" width="81.42578125" style="55" customWidth="1"/>
    <col min="3" max="3" width="10" style="55" customWidth="1"/>
    <col min="4" max="4" width="15.85546875" style="55" customWidth="1"/>
    <col min="5" max="5" width="13.5703125" style="55" customWidth="1"/>
    <col min="6" max="6" width="12.7109375" style="55" customWidth="1"/>
    <col min="7" max="7" width="11.5703125" style="55" customWidth="1"/>
    <col min="8" max="8" width="13" style="55" customWidth="1"/>
    <col min="9" max="9" width="17" style="55" hidden="1" customWidth="1"/>
    <col min="10" max="10" width="11" style="55" customWidth="1"/>
    <col min="11" max="11" width="13.42578125" style="55" customWidth="1"/>
    <col min="12" max="12" width="12.5703125" style="55" customWidth="1"/>
    <col min="13" max="13" width="11.7109375" style="55" customWidth="1"/>
    <col min="14" max="14" width="12" style="55" customWidth="1"/>
    <col min="15" max="15" width="12.28515625" style="55" hidden="1" customWidth="1"/>
    <col min="16" max="16" width="13.28515625" style="55" customWidth="1"/>
    <col min="17" max="17" width="11.7109375" style="55" customWidth="1"/>
    <col min="18" max="18" width="11.42578125" style="55" customWidth="1"/>
    <col min="19" max="19" width="13" style="55" customWidth="1"/>
    <col min="20" max="20" width="13.42578125" style="55" customWidth="1"/>
    <col min="21" max="21" width="13.85546875" style="55" hidden="1" customWidth="1"/>
    <col min="22" max="22" width="13.28515625" style="55" customWidth="1"/>
    <col min="23" max="23" width="13.140625" style="55" customWidth="1"/>
    <col min="24" max="24" width="12.140625" style="55" customWidth="1"/>
    <col min="25" max="26" width="11.85546875" style="55" customWidth="1"/>
    <col min="27" max="27" width="0.85546875" style="55" hidden="1" customWidth="1"/>
    <col min="28" max="28" width="12.28515625" style="55" bestFit="1" customWidth="1"/>
    <col min="29" max="29" width="10.7109375" style="55" customWidth="1"/>
    <col min="30" max="30" width="11.85546875" style="55" customWidth="1"/>
    <col min="31" max="31" width="13.140625" style="55" customWidth="1"/>
    <col min="32" max="32" width="13" style="55" customWidth="1"/>
    <col min="33" max="33" width="16.28515625" style="55" hidden="1" customWidth="1"/>
    <col min="34" max="34" width="11" style="55" customWidth="1"/>
    <col min="35" max="35" width="13" style="55" customWidth="1"/>
    <col min="36" max="36" width="12.5703125" style="73" customWidth="1"/>
    <col min="37" max="37" width="11.85546875" style="73" customWidth="1"/>
    <col min="38" max="38" width="12.28515625" style="73" customWidth="1"/>
    <col min="39" max="39" width="13" style="73" hidden="1" customWidth="1"/>
    <col min="40" max="40" width="12.85546875" style="73" customWidth="1"/>
    <col min="41" max="47" width="11.28515625" style="55" customWidth="1"/>
    <col min="48" max="48" width="60.85546875" style="55" customWidth="1"/>
    <col min="49" max="54" width="27.42578125" style="55" customWidth="1"/>
    <col min="55" max="57" width="31.28515625" style="55" customWidth="1"/>
    <col min="58" max="58" width="27.42578125" style="55" customWidth="1"/>
    <col min="59" max="61" width="34.28515625" style="55" customWidth="1"/>
    <col min="62" max="65" width="27.42578125" style="55" customWidth="1"/>
    <col min="66" max="66" width="39.42578125" style="55" customWidth="1"/>
    <col min="67" max="67" width="41.28515625" style="55" customWidth="1"/>
    <col min="68" max="79" width="27.42578125" style="55" customWidth="1"/>
    <col min="80" max="81" width="9.140625" style="55"/>
    <col min="82" max="82" width="10.28515625" style="55" bestFit="1" customWidth="1"/>
    <col min="83" max="84" width="9.140625" style="55"/>
    <col min="85" max="85" width="10.28515625" style="55" bestFit="1" customWidth="1"/>
    <col min="86" max="87" width="9.140625" style="55"/>
    <col min="88" max="88" width="10.28515625" style="55" bestFit="1" customWidth="1"/>
    <col min="89" max="90" width="9.140625" style="55"/>
    <col min="91" max="91" width="10.28515625" style="55" bestFit="1" customWidth="1"/>
    <col min="92" max="93" width="9.140625" style="55"/>
    <col min="94" max="94" width="10.28515625" style="55" bestFit="1" customWidth="1"/>
    <col min="95" max="96" width="9.140625" style="55"/>
    <col min="97" max="97" width="10.28515625" style="55" bestFit="1" customWidth="1"/>
    <col min="98" max="99" width="9.140625" style="55"/>
    <col min="100" max="100" width="10.28515625" style="55" bestFit="1" customWidth="1"/>
    <col min="101" max="102" width="9.140625" style="55"/>
    <col min="103" max="103" width="10.28515625" style="55" bestFit="1" customWidth="1"/>
    <col min="104" max="105" width="9.140625" style="55"/>
    <col min="106" max="106" width="10.28515625" style="55" bestFit="1" customWidth="1"/>
    <col min="107" max="108" width="9.140625" style="55"/>
    <col min="109" max="109" width="10.28515625" style="55" bestFit="1" customWidth="1"/>
    <col min="110" max="111" width="9.140625" style="55"/>
    <col min="112" max="112" width="10.28515625" style="55" bestFit="1" customWidth="1"/>
    <col min="113" max="114" width="9.140625" style="55"/>
    <col min="115" max="115" width="10.28515625" style="55" bestFit="1" customWidth="1"/>
    <col min="116" max="117" width="9.140625" style="55"/>
    <col min="118" max="118" width="10.28515625" style="55" bestFit="1" customWidth="1"/>
    <col min="119" max="120" width="9.140625" style="55"/>
    <col min="121" max="121" width="10.28515625" style="55" bestFit="1" customWidth="1"/>
    <col min="122" max="123" width="9.140625" style="55"/>
    <col min="124" max="124" width="10.28515625" style="55" bestFit="1" customWidth="1"/>
    <col min="125" max="126" width="9.140625" style="55"/>
    <col min="127" max="127" width="10.28515625" style="55" bestFit="1" customWidth="1"/>
    <col min="128" max="129" width="9.140625" style="55"/>
    <col min="130" max="130" width="10.28515625" style="55" bestFit="1" customWidth="1"/>
    <col min="131" max="132" width="9.140625" style="55"/>
    <col min="133" max="133" width="10.28515625" style="55" bestFit="1" customWidth="1"/>
    <col min="134" max="135" width="9.140625" style="55"/>
    <col min="136" max="136" width="10.28515625" style="55" bestFit="1" customWidth="1"/>
    <col min="137" max="138" width="9.140625" style="55"/>
    <col min="139" max="139" width="10.28515625" style="55" bestFit="1" customWidth="1"/>
    <col min="140" max="141" width="9.140625" style="55"/>
    <col min="142" max="142" width="10.28515625" style="55" bestFit="1" customWidth="1"/>
    <col min="143" max="144" width="9.140625" style="55"/>
    <col min="145" max="145" width="10.28515625" style="55" bestFit="1" customWidth="1"/>
    <col min="146" max="147" width="9.140625" style="55"/>
    <col min="148" max="148" width="10.28515625" style="55" bestFit="1" customWidth="1"/>
    <col min="149" max="150" width="9.140625" style="55"/>
    <col min="151" max="151" width="10.28515625" style="55" bestFit="1" customWidth="1"/>
    <col min="152" max="153" width="9.140625" style="55"/>
    <col min="154" max="154" width="10.28515625" style="55" bestFit="1" customWidth="1"/>
    <col min="155" max="156" width="9.140625" style="55"/>
    <col min="157" max="157" width="10.28515625" style="55" bestFit="1" customWidth="1"/>
    <col min="158" max="159" width="9.140625" style="55"/>
    <col min="160" max="160" width="10.28515625" style="55" bestFit="1" customWidth="1"/>
    <col min="161" max="162" width="9.140625" style="55"/>
    <col min="163" max="163" width="10.28515625" style="55" bestFit="1" customWidth="1"/>
    <col min="164" max="165" width="9.140625" style="55"/>
    <col min="166" max="166" width="10.28515625" style="55" bestFit="1" customWidth="1"/>
    <col min="167" max="168" width="9.140625" style="55"/>
    <col min="169" max="169" width="10.28515625" style="55" bestFit="1" customWidth="1"/>
    <col min="170" max="171" width="9.140625" style="55"/>
    <col min="172" max="172" width="10.28515625" style="55" bestFit="1" customWidth="1"/>
    <col min="173" max="174" width="9.140625" style="55"/>
    <col min="175" max="175" width="10.28515625" style="55" bestFit="1" customWidth="1"/>
    <col min="176" max="177" width="9.140625" style="55"/>
    <col min="178" max="178" width="10.28515625" style="55" bestFit="1" customWidth="1"/>
    <col min="179" max="180" width="9.140625" style="55"/>
    <col min="181" max="181" width="10.28515625" style="55" bestFit="1" customWidth="1"/>
    <col min="182" max="183" width="9.140625" style="55"/>
    <col min="184" max="184" width="10.28515625" style="55" bestFit="1" customWidth="1"/>
    <col min="185" max="186" width="9.140625" style="55"/>
    <col min="187" max="187" width="10.28515625" style="55" bestFit="1" customWidth="1"/>
    <col min="188" max="189" width="9.140625" style="55"/>
    <col min="190" max="190" width="10.28515625" style="55" bestFit="1" customWidth="1"/>
    <col min="191" max="192" width="9.140625" style="55"/>
    <col min="193" max="193" width="10.28515625" style="55" bestFit="1" customWidth="1"/>
    <col min="194" max="195" width="9.140625" style="55"/>
    <col min="196" max="196" width="10.28515625" style="55" bestFit="1" customWidth="1"/>
    <col min="197" max="198" width="9.140625" style="55"/>
    <col min="199" max="199" width="10.28515625" style="55" bestFit="1" customWidth="1"/>
    <col min="200" max="201" width="9.140625" style="55"/>
    <col min="202" max="202" width="10.28515625" style="55" bestFit="1" customWidth="1"/>
    <col min="203" max="204" width="9.140625" style="55"/>
    <col min="205" max="205" width="10.28515625" style="55" bestFit="1" customWidth="1"/>
    <col min="206" max="207" width="9.140625" style="55"/>
    <col min="208" max="208" width="10.28515625" style="55" bestFit="1" customWidth="1"/>
    <col min="209" max="210" width="9.140625" style="55"/>
    <col min="211" max="211" width="10.28515625" style="55" bestFit="1" customWidth="1"/>
    <col min="212" max="213" width="9.140625" style="55"/>
    <col min="214" max="214" width="10.28515625" style="55" bestFit="1" customWidth="1"/>
    <col min="215" max="216" width="9.140625" style="55"/>
    <col min="217" max="217" width="10.28515625" style="55" bestFit="1" customWidth="1"/>
    <col min="218" max="219" width="9.140625" style="55"/>
    <col min="220" max="220" width="10.28515625" style="55" bestFit="1" customWidth="1"/>
    <col min="221" max="256" width="9.140625" style="55"/>
    <col min="257" max="257" width="6.28515625" style="55" customWidth="1"/>
    <col min="258" max="258" width="81.42578125" style="55" customWidth="1"/>
    <col min="259" max="259" width="10" style="55" customWidth="1"/>
    <col min="260" max="260" width="15.85546875" style="55" customWidth="1"/>
    <col min="261" max="261" width="13.5703125" style="55" customWidth="1"/>
    <col min="262" max="262" width="12.7109375" style="55" customWidth="1"/>
    <col min="263" max="263" width="11.5703125" style="55" customWidth="1"/>
    <col min="264" max="264" width="13" style="55" customWidth="1"/>
    <col min="265" max="265" width="0" style="55" hidden="1" customWidth="1"/>
    <col min="266" max="266" width="11" style="55" customWidth="1"/>
    <col min="267" max="267" width="13.42578125" style="55" customWidth="1"/>
    <col min="268" max="268" width="12.5703125" style="55" customWidth="1"/>
    <col min="269" max="269" width="11.7109375" style="55" customWidth="1"/>
    <col min="270" max="270" width="12" style="55" customWidth="1"/>
    <col min="271" max="271" width="0" style="55" hidden="1" customWidth="1"/>
    <col min="272" max="272" width="13.28515625" style="55" customWidth="1"/>
    <col min="273" max="273" width="11.7109375" style="55" customWidth="1"/>
    <col min="274" max="274" width="11.42578125" style="55" customWidth="1"/>
    <col min="275" max="275" width="13" style="55" customWidth="1"/>
    <col min="276" max="276" width="13.42578125" style="55" customWidth="1"/>
    <col min="277" max="277" width="0" style="55" hidden="1" customWidth="1"/>
    <col min="278" max="278" width="13.28515625" style="55" customWidth="1"/>
    <col min="279" max="279" width="13.140625" style="55" customWidth="1"/>
    <col min="280" max="280" width="12.140625" style="55" customWidth="1"/>
    <col min="281" max="282" width="11.85546875" style="55" customWidth="1"/>
    <col min="283" max="283" width="0" style="55" hidden="1" customWidth="1"/>
    <col min="284" max="284" width="12.28515625" style="55" bestFit="1" customWidth="1"/>
    <col min="285" max="285" width="10.7109375" style="55" customWidth="1"/>
    <col min="286" max="286" width="11.85546875" style="55" customWidth="1"/>
    <col min="287" max="287" width="13.140625" style="55" customWidth="1"/>
    <col min="288" max="288" width="13" style="55" customWidth="1"/>
    <col min="289" max="289" width="0" style="55" hidden="1" customWidth="1"/>
    <col min="290" max="290" width="11" style="55" customWidth="1"/>
    <col min="291" max="291" width="13" style="55" customWidth="1"/>
    <col min="292" max="292" width="12.5703125" style="55" customWidth="1"/>
    <col min="293" max="293" width="11.85546875" style="55" customWidth="1"/>
    <col min="294" max="294" width="12.28515625" style="55" customWidth="1"/>
    <col min="295" max="295" width="0" style="55" hidden="1" customWidth="1"/>
    <col min="296" max="296" width="12.85546875" style="55" customWidth="1"/>
    <col min="297" max="303" width="0" style="55" hidden="1" customWidth="1"/>
    <col min="304" max="304" width="60.85546875" style="55" customWidth="1"/>
    <col min="305" max="310" width="27.42578125" style="55" customWidth="1"/>
    <col min="311" max="313" width="31.28515625" style="55" customWidth="1"/>
    <col min="314" max="314" width="27.42578125" style="55" customWidth="1"/>
    <col min="315" max="317" width="34.28515625" style="55" customWidth="1"/>
    <col min="318" max="321" width="27.42578125" style="55" customWidth="1"/>
    <col min="322" max="322" width="39.42578125" style="55" customWidth="1"/>
    <col min="323" max="323" width="41.28515625" style="55" customWidth="1"/>
    <col min="324" max="335" width="27.42578125" style="55" customWidth="1"/>
    <col min="336" max="337" width="9.140625" style="55"/>
    <col min="338" max="338" width="10.28515625" style="55" bestFit="1" customWidth="1"/>
    <col min="339" max="340" width="9.140625" style="55"/>
    <col min="341" max="341" width="10.28515625" style="55" bestFit="1" customWidth="1"/>
    <col min="342" max="343" width="9.140625" style="55"/>
    <col min="344" max="344" width="10.28515625" style="55" bestFit="1" customWidth="1"/>
    <col min="345" max="346" width="9.140625" style="55"/>
    <col min="347" max="347" width="10.28515625" style="55" bestFit="1" customWidth="1"/>
    <col min="348" max="349" width="9.140625" style="55"/>
    <col min="350" max="350" width="10.28515625" style="55" bestFit="1" customWidth="1"/>
    <col min="351" max="352" width="9.140625" style="55"/>
    <col min="353" max="353" width="10.28515625" style="55" bestFit="1" customWidth="1"/>
    <col min="354" max="355" width="9.140625" style="55"/>
    <col min="356" max="356" width="10.28515625" style="55" bestFit="1" customWidth="1"/>
    <col min="357" max="358" width="9.140625" style="55"/>
    <col min="359" max="359" width="10.28515625" style="55" bestFit="1" customWidth="1"/>
    <col min="360" max="361" width="9.140625" style="55"/>
    <col min="362" max="362" width="10.28515625" style="55" bestFit="1" customWidth="1"/>
    <col min="363" max="364" width="9.140625" style="55"/>
    <col min="365" max="365" width="10.28515625" style="55" bestFit="1" customWidth="1"/>
    <col min="366" max="367" width="9.140625" style="55"/>
    <col min="368" max="368" width="10.28515625" style="55" bestFit="1" customWidth="1"/>
    <col min="369" max="370" width="9.140625" style="55"/>
    <col min="371" max="371" width="10.28515625" style="55" bestFit="1" customWidth="1"/>
    <col min="372" max="373" width="9.140625" style="55"/>
    <col min="374" max="374" width="10.28515625" style="55" bestFit="1" customWidth="1"/>
    <col min="375" max="376" width="9.140625" style="55"/>
    <col min="377" max="377" width="10.28515625" style="55" bestFit="1" customWidth="1"/>
    <col min="378" max="379" width="9.140625" style="55"/>
    <col min="380" max="380" width="10.28515625" style="55" bestFit="1" customWidth="1"/>
    <col min="381" max="382" width="9.140625" style="55"/>
    <col min="383" max="383" width="10.28515625" style="55" bestFit="1" customWidth="1"/>
    <col min="384" max="385" width="9.140625" style="55"/>
    <col min="386" max="386" width="10.28515625" style="55" bestFit="1" customWidth="1"/>
    <col min="387" max="388" width="9.140625" style="55"/>
    <col min="389" max="389" width="10.28515625" style="55" bestFit="1" customWidth="1"/>
    <col min="390" max="391" width="9.140625" style="55"/>
    <col min="392" max="392" width="10.28515625" style="55" bestFit="1" customWidth="1"/>
    <col min="393" max="394" width="9.140625" style="55"/>
    <col min="395" max="395" width="10.28515625" style="55" bestFit="1" customWidth="1"/>
    <col min="396" max="397" width="9.140625" style="55"/>
    <col min="398" max="398" width="10.28515625" style="55" bestFit="1" customWidth="1"/>
    <col min="399" max="400" width="9.140625" style="55"/>
    <col min="401" max="401" width="10.28515625" style="55" bestFit="1" customWidth="1"/>
    <col min="402" max="403" width="9.140625" style="55"/>
    <col min="404" max="404" width="10.28515625" style="55" bestFit="1" customWidth="1"/>
    <col min="405" max="406" width="9.140625" style="55"/>
    <col min="407" max="407" width="10.28515625" style="55" bestFit="1" customWidth="1"/>
    <col min="408" max="409" width="9.140625" style="55"/>
    <col min="410" max="410" width="10.28515625" style="55" bestFit="1" customWidth="1"/>
    <col min="411" max="412" width="9.140625" style="55"/>
    <col min="413" max="413" width="10.28515625" style="55" bestFit="1" customWidth="1"/>
    <col min="414" max="415" width="9.140625" style="55"/>
    <col min="416" max="416" width="10.28515625" style="55" bestFit="1" customWidth="1"/>
    <col min="417" max="418" width="9.140625" style="55"/>
    <col min="419" max="419" width="10.28515625" style="55" bestFit="1" customWidth="1"/>
    <col min="420" max="421" width="9.140625" style="55"/>
    <col min="422" max="422" width="10.28515625" style="55" bestFit="1" customWidth="1"/>
    <col min="423" max="424" width="9.140625" style="55"/>
    <col min="425" max="425" width="10.28515625" style="55" bestFit="1" customWidth="1"/>
    <col min="426" max="427" width="9.140625" style="55"/>
    <col min="428" max="428" width="10.28515625" style="55" bestFit="1" customWidth="1"/>
    <col min="429" max="430" width="9.140625" style="55"/>
    <col min="431" max="431" width="10.28515625" style="55" bestFit="1" customWidth="1"/>
    <col min="432" max="433" width="9.140625" style="55"/>
    <col min="434" max="434" width="10.28515625" style="55" bestFit="1" customWidth="1"/>
    <col min="435" max="436" width="9.140625" style="55"/>
    <col min="437" max="437" width="10.28515625" style="55" bestFit="1" customWidth="1"/>
    <col min="438" max="439" width="9.140625" style="55"/>
    <col min="440" max="440" width="10.28515625" style="55" bestFit="1" customWidth="1"/>
    <col min="441" max="442" width="9.140625" style="55"/>
    <col min="443" max="443" width="10.28515625" style="55" bestFit="1" customWidth="1"/>
    <col min="444" max="445" width="9.140625" style="55"/>
    <col min="446" max="446" width="10.28515625" style="55" bestFit="1" customWidth="1"/>
    <col min="447" max="448" width="9.140625" style="55"/>
    <col min="449" max="449" width="10.28515625" style="55" bestFit="1" customWidth="1"/>
    <col min="450" max="451" width="9.140625" style="55"/>
    <col min="452" max="452" width="10.28515625" style="55" bestFit="1" customWidth="1"/>
    <col min="453" max="454" width="9.140625" style="55"/>
    <col min="455" max="455" width="10.28515625" style="55" bestFit="1" customWidth="1"/>
    <col min="456" max="457" width="9.140625" style="55"/>
    <col min="458" max="458" width="10.28515625" style="55" bestFit="1" customWidth="1"/>
    <col min="459" max="460" width="9.140625" style="55"/>
    <col min="461" max="461" width="10.28515625" style="55" bestFit="1" customWidth="1"/>
    <col min="462" max="463" width="9.140625" style="55"/>
    <col min="464" max="464" width="10.28515625" style="55" bestFit="1" customWidth="1"/>
    <col min="465" max="466" width="9.140625" style="55"/>
    <col min="467" max="467" width="10.28515625" style="55" bestFit="1" customWidth="1"/>
    <col min="468" max="469" width="9.140625" style="55"/>
    <col min="470" max="470" width="10.28515625" style="55" bestFit="1" customWidth="1"/>
    <col min="471" max="472" width="9.140625" style="55"/>
    <col min="473" max="473" width="10.28515625" style="55" bestFit="1" customWidth="1"/>
    <col min="474" max="475" width="9.140625" style="55"/>
    <col min="476" max="476" width="10.28515625" style="55" bestFit="1" customWidth="1"/>
    <col min="477" max="512" width="9.140625" style="55"/>
    <col min="513" max="513" width="6.28515625" style="55" customWidth="1"/>
    <col min="514" max="514" width="81.42578125" style="55" customWidth="1"/>
    <col min="515" max="515" width="10" style="55" customWidth="1"/>
    <col min="516" max="516" width="15.85546875" style="55" customWidth="1"/>
    <col min="517" max="517" width="13.5703125" style="55" customWidth="1"/>
    <col min="518" max="518" width="12.7109375" style="55" customWidth="1"/>
    <col min="519" max="519" width="11.5703125" style="55" customWidth="1"/>
    <col min="520" max="520" width="13" style="55" customWidth="1"/>
    <col min="521" max="521" width="0" style="55" hidden="1" customWidth="1"/>
    <col min="522" max="522" width="11" style="55" customWidth="1"/>
    <col min="523" max="523" width="13.42578125" style="55" customWidth="1"/>
    <col min="524" max="524" width="12.5703125" style="55" customWidth="1"/>
    <col min="525" max="525" width="11.7109375" style="55" customWidth="1"/>
    <col min="526" max="526" width="12" style="55" customWidth="1"/>
    <col min="527" max="527" width="0" style="55" hidden="1" customWidth="1"/>
    <col min="528" max="528" width="13.28515625" style="55" customWidth="1"/>
    <col min="529" max="529" width="11.7109375" style="55" customWidth="1"/>
    <col min="530" max="530" width="11.42578125" style="55" customWidth="1"/>
    <col min="531" max="531" width="13" style="55" customWidth="1"/>
    <col min="532" max="532" width="13.42578125" style="55" customWidth="1"/>
    <col min="533" max="533" width="0" style="55" hidden="1" customWidth="1"/>
    <col min="534" max="534" width="13.28515625" style="55" customWidth="1"/>
    <col min="535" max="535" width="13.140625" style="55" customWidth="1"/>
    <col min="536" max="536" width="12.140625" style="55" customWidth="1"/>
    <col min="537" max="538" width="11.85546875" style="55" customWidth="1"/>
    <col min="539" max="539" width="0" style="55" hidden="1" customWidth="1"/>
    <col min="540" max="540" width="12.28515625" style="55" bestFit="1" customWidth="1"/>
    <col min="541" max="541" width="10.7109375" style="55" customWidth="1"/>
    <col min="542" max="542" width="11.85546875" style="55" customWidth="1"/>
    <col min="543" max="543" width="13.140625" style="55" customWidth="1"/>
    <col min="544" max="544" width="13" style="55" customWidth="1"/>
    <col min="545" max="545" width="0" style="55" hidden="1" customWidth="1"/>
    <col min="546" max="546" width="11" style="55" customWidth="1"/>
    <col min="547" max="547" width="13" style="55" customWidth="1"/>
    <col min="548" max="548" width="12.5703125" style="55" customWidth="1"/>
    <col min="549" max="549" width="11.85546875" style="55" customWidth="1"/>
    <col min="550" max="550" width="12.28515625" style="55" customWidth="1"/>
    <col min="551" max="551" width="0" style="55" hidden="1" customWidth="1"/>
    <col min="552" max="552" width="12.85546875" style="55" customWidth="1"/>
    <col min="553" max="559" width="0" style="55" hidden="1" customWidth="1"/>
    <col min="560" max="560" width="60.85546875" style="55" customWidth="1"/>
    <col min="561" max="566" width="27.42578125" style="55" customWidth="1"/>
    <col min="567" max="569" width="31.28515625" style="55" customWidth="1"/>
    <col min="570" max="570" width="27.42578125" style="55" customWidth="1"/>
    <col min="571" max="573" width="34.28515625" style="55" customWidth="1"/>
    <col min="574" max="577" width="27.42578125" style="55" customWidth="1"/>
    <col min="578" max="578" width="39.42578125" style="55" customWidth="1"/>
    <col min="579" max="579" width="41.28515625" style="55" customWidth="1"/>
    <col min="580" max="591" width="27.42578125" style="55" customWidth="1"/>
    <col min="592" max="593" width="9.140625" style="55"/>
    <col min="594" max="594" width="10.28515625" style="55" bestFit="1" customWidth="1"/>
    <col min="595" max="596" width="9.140625" style="55"/>
    <col min="597" max="597" width="10.28515625" style="55" bestFit="1" customWidth="1"/>
    <col min="598" max="599" width="9.140625" style="55"/>
    <col min="600" max="600" width="10.28515625" style="55" bestFit="1" customWidth="1"/>
    <col min="601" max="602" width="9.140625" style="55"/>
    <col min="603" max="603" width="10.28515625" style="55" bestFit="1" customWidth="1"/>
    <col min="604" max="605" width="9.140625" style="55"/>
    <col min="606" max="606" width="10.28515625" style="55" bestFit="1" customWidth="1"/>
    <col min="607" max="608" width="9.140625" style="55"/>
    <col min="609" max="609" width="10.28515625" style="55" bestFit="1" customWidth="1"/>
    <col min="610" max="611" width="9.140625" style="55"/>
    <col min="612" max="612" width="10.28515625" style="55" bestFit="1" customWidth="1"/>
    <col min="613" max="614" width="9.140625" style="55"/>
    <col min="615" max="615" width="10.28515625" style="55" bestFit="1" customWidth="1"/>
    <col min="616" max="617" width="9.140625" style="55"/>
    <col min="618" max="618" width="10.28515625" style="55" bestFit="1" customWidth="1"/>
    <col min="619" max="620" width="9.140625" style="55"/>
    <col min="621" max="621" width="10.28515625" style="55" bestFit="1" customWidth="1"/>
    <col min="622" max="623" width="9.140625" style="55"/>
    <col min="624" max="624" width="10.28515625" style="55" bestFit="1" customWidth="1"/>
    <col min="625" max="626" width="9.140625" style="55"/>
    <col min="627" max="627" width="10.28515625" style="55" bestFit="1" customWidth="1"/>
    <col min="628" max="629" width="9.140625" style="55"/>
    <col min="630" max="630" width="10.28515625" style="55" bestFit="1" customWidth="1"/>
    <col min="631" max="632" width="9.140625" style="55"/>
    <col min="633" max="633" width="10.28515625" style="55" bestFit="1" customWidth="1"/>
    <col min="634" max="635" width="9.140625" style="55"/>
    <col min="636" max="636" width="10.28515625" style="55" bestFit="1" customWidth="1"/>
    <col min="637" max="638" width="9.140625" style="55"/>
    <col min="639" max="639" width="10.28515625" style="55" bestFit="1" customWidth="1"/>
    <col min="640" max="641" width="9.140625" style="55"/>
    <col min="642" max="642" width="10.28515625" style="55" bestFit="1" customWidth="1"/>
    <col min="643" max="644" width="9.140625" style="55"/>
    <col min="645" max="645" width="10.28515625" style="55" bestFit="1" customWidth="1"/>
    <col min="646" max="647" width="9.140625" style="55"/>
    <col min="648" max="648" width="10.28515625" style="55" bestFit="1" customWidth="1"/>
    <col min="649" max="650" width="9.140625" style="55"/>
    <col min="651" max="651" width="10.28515625" style="55" bestFit="1" customWidth="1"/>
    <col min="652" max="653" width="9.140625" style="55"/>
    <col min="654" max="654" width="10.28515625" style="55" bestFit="1" customWidth="1"/>
    <col min="655" max="656" width="9.140625" style="55"/>
    <col min="657" max="657" width="10.28515625" style="55" bestFit="1" customWidth="1"/>
    <col min="658" max="659" width="9.140625" style="55"/>
    <col min="660" max="660" width="10.28515625" style="55" bestFit="1" customWidth="1"/>
    <col min="661" max="662" width="9.140625" style="55"/>
    <col min="663" max="663" width="10.28515625" style="55" bestFit="1" customWidth="1"/>
    <col min="664" max="665" width="9.140625" style="55"/>
    <col min="666" max="666" width="10.28515625" style="55" bestFit="1" customWidth="1"/>
    <col min="667" max="668" width="9.140625" style="55"/>
    <col min="669" max="669" width="10.28515625" style="55" bestFit="1" customWidth="1"/>
    <col min="670" max="671" width="9.140625" style="55"/>
    <col min="672" max="672" width="10.28515625" style="55" bestFit="1" customWidth="1"/>
    <col min="673" max="674" width="9.140625" style="55"/>
    <col min="675" max="675" width="10.28515625" style="55" bestFit="1" customWidth="1"/>
    <col min="676" max="677" width="9.140625" style="55"/>
    <col min="678" max="678" width="10.28515625" style="55" bestFit="1" customWidth="1"/>
    <col min="679" max="680" width="9.140625" style="55"/>
    <col min="681" max="681" width="10.28515625" style="55" bestFit="1" customWidth="1"/>
    <col min="682" max="683" width="9.140625" style="55"/>
    <col min="684" max="684" width="10.28515625" style="55" bestFit="1" customWidth="1"/>
    <col min="685" max="686" width="9.140625" style="55"/>
    <col min="687" max="687" width="10.28515625" style="55" bestFit="1" customWidth="1"/>
    <col min="688" max="689" width="9.140625" style="55"/>
    <col min="690" max="690" width="10.28515625" style="55" bestFit="1" customWidth="1"/>
    <col min="691" max="692" width="9.140625" style="55"/>
    <col min="693" max="693" width="10.28515625" style="55" bestFit="1" customWidth="1"/>
    <col min="694" max="695" width="9.140625" style="55"/>
    <col min="696" max="696" width="10.28515625" style="55" bestFit="1" customWidth="1"/>
    <col min="697" max="698" width="9.140625" style="55"/>
    <col min="699" max="699" width="10.28515625" style="55" bestFit="1" customWidth="1"/>
    <col min="700" max="701" width="9.140625" style="55"/>
    <col min="702" max="702" width="10.28515625" style="55" bestFit="1" customWidth="1"/>
    <col min="703" max="704" width="9.140625" style="55"/>
    <col min="705" max="705" width="10.28515625" style="55" bestFit="1" customWidth="1"/>
    <col min="706" max="707" width="9.140625" style="55"/>
    <col min="708" max="708" width="10.28515625" style="55" bestFit="1" customWidth="1"/>
    <col min="709" max="710" width="9.140625" style="55"/>
    <col min="711" max="711" width="10.28515625" style="55" bestFit="1" customWidth="1"/>
    <col min="712" max="713" width="9.140625" style="55"/>
    <col min="714" max="714" width="10.28515625" style="55" bestFit="1" customWidth="1"/>
    <col min="715" max="716" width="9.140625" style="55"/>
    <col min="717" max="717" width="10.28515625" style="55" bestFit="1" customWidth="1"/>
    <col min="718" max="719" width="9.140625" style="55"/>
    <col min="720" max="720" width="10.28515625" style="55" bestFit="1" customWidth="1"/>
    <col min="721" max="722" width="9.140625" style="55"/>
    <col min="723" max="723" width="10.28515625" style="55" bestFit="1" customWidth="1"/>
    <col min="724" max="725" width="9.140625" style="55"/>
    <col min="726" max="726" width="10.28515625" style="55" bestFit="1" customWidth="1"/>
    <col min="727" max="728" width="9.140625" style="55"/>
    <col min="729" max="729" width="10.28515625" style="55" bestFit="1" customWidth="1"/>
    <col min="730" max="731" width="9.140625" style="55"/>
    <col min="732" max="732" width="10.28515625" style="55" bestFit="1" customWidth="1"/>
    <col min="733" max="768" width="9.140625" style="55"/>
    <col min="769" max="769" width="6.28515625" style="55" customWidth="1"/>
    <col min="770" max="770" width="81.42578125" style="55" customWidth="1"/>
    <col min="771" max="771" width="10" style="55" customWidth="1"/>
    <col min="772" max="772" width="15.85546875" style="55" customWidth="1"/>
    <col min="773" max="773" width="13.5703125" style="55" customWidth="1"/>
    <col min="774" max="774" width="12.7109375" style="55" customWidth="1"/>
    <col min="775" max="775" width="11.5703125" style="55" customWidth="1"/>
    <col min="776" max="776" width="13" style="55" customWidth="1"/>
    <col min="777" max="777" width="0" style="55" hidden="1" customWidth="1"/>
    <col min="778" max="778" width="11" style="55" customWidth="1"/>
    <col min="779" max="779" width="13.42578125" style="55" customWidth="1"/>
    <col min="780" max="780" width="12.5703125" style="55" customWidth="1"/>
    <col min="781" max="781" width="11.7109375" style="55" customWidth="1"/>
    <col min="782" max="782" width="12" style="55" customWidth="1"/>
    <col min="783" max="783" width="0" style="55" hidden="1" customWidth="1"/>
    <col min="784" max="784" width="13.28515625" style="55" customWidth="1"/>
    <col min="785" max="785" width="11.7109375" style="55" customWidth="1"/>
    <col min="786" max="786" width="11.42578125" style="55" customWidth="1"/>
    <col min="787" max="787" width="13" style="55" customWidth="1"/>
    <col min="788" max="788" width="13.42578125" style="55" customWidth="1"/>
    <col min="789" max="789" width="0" style="55" hidden="1" customWidth="1"/>
    <col min="790" max="790" width="13.28515625" style="55" customWidth="1"/>
    <col min="791" max="791" width="13.140625" style="55" customWidth="1"/>
    <col min="792" max="792" width="12.140625" style="55" customWidth="1"/>
    <col min="793" max="794" width="11.85546875" style="55" customWidth="1"/>
    <col min="795" max="795" width="0" style="55" hidden="1" customWidth="1"/>
    <col min="796" max="796" width="12.28515625" style="55" bestFit="1" customWidth="1"/>
    <col min="797" max="797" width="10.7109375" style="55" customWidth="1"/>
    <col min="798" max="798" width="11.85546875" style="55" customWidth="1"/>
    <col min="799" max="799" width="13.140625" style="55" customWidth="1"/>
    <col min="800" max="800" width="13" style="55" customWidth="1"/>
    <col min="801" max="801" width="0" style="55" hidden="1" customWidth="1"/>
    <col min="802" max="802" width="11" style="55" customWidth="1"/>
    <col min="803" max="803" width="13" style="55" customWidth="1"/>
    <col min="804" max="804" width="12.5703125" style="55" customWidth="1"/>
    <col min="805" max="805" width="11.85546875" style="55" customWidth="1"/>
    <col min="806" max="806" width="12.28515625" style="55" customWidth="1"/>
    <col min="807" max="807" width="0" style="55" hidden="1" customWidth="1"/>
    <col min="808" max="808" width="12.85546875" style="55" customWidth="1"/>
    <col min="809" max="815" width="0" style="55" hidden="1" customWidth="1"/>
    <col min="816" max="816" width="60.85546875" style="55" customWidth="1"/>
    <col min="817" max="822" width="27.42578125" style="55" customWidth="1"/>
    <col min="823" max="825" width="31.28515625" style="55" customWidth="1"/>
    <col min="826" max="826" width="27.42578125" style="55" customWidth="1"/>
    <col min="827" max="829" width="34.28515625" style="55" customWidth="1"/>
    <col min="830" max="833" width="27.42578125" style="55" customWidth="1"/>
    <col min="834" max="834" width="39.42578125" style="55" customWidth="1"/>
    <col min="835" max="835" width="41.28515625" style="55" customWidth="1"/>
    <col min="836" max="847" width="27.42578125" style="55" customWidth="1"/>
    <col min="848" max="849" width="9.140625" style="55"/>
    <col min="850" max="850" width="10.28515625" style="55" bestFit="1" customWidth="1"/>
    <col min="851" max="852" width="9.140625" style="55"/>
    <col min="853" max="853" width="10.28515625" style="55" bestFit="1" customWidth="1"/>
    <col min="854" max="855" width="9.140625" style="55"/>
    <col min="856" max="856" width="10.28515625" style="55" bestFit="1" customWidth="1"/>
    <col min="857" max="858" width="9.140625" style="55"/>
    <col min="859" max="859" width="10.28515625" style="55" bestFit="1" customWidth="1"/>
    <col min="860" max="861" width="9.140625" style="55"/>
    <col min="862" max="862" width="10.28515625" style="55" bestFit="1" customWidth="1"/>
    <col min="863" max="864" width="9.140625" style="55"/>
    <col min="865" max="865" width="10.28515625" style="55" bestFit="1" customWidth="1"/>
    <col min="866" max="867" width="9.140625" style="55"/>
    <col min="868" max="868" width="10.28515625" style="55" bestFit="1" customWidth="1"/>
    <col min="869" max="870" width="9.140625" style="55"/>
    <col min="871" max="871" width="10.28515625" style="55" bestFit="1" customWidth="1"/>
    <col min="872" max="873" width="9.140625" style="55"/>
    <col min="874" max="874" width="10.28515625" style="55" bestFit="1" customWidth="1"/>
    <col min="875" max="876" width="9.140625" style="55"/>
    <col min="877" max="877" width="10.28515625" style="55" bestFit="1" customWidth="1"/>
    <col min="878" max="879" width="9.140625" style="55"/>
    <col min="880" max="880" width="10.28515625" style="55" bestFit="1" customWidth="1"/>
    <col min="881" max="882" width="9.140625" style="55"/>
    <col min="883" max="883" width="10.28515625" style="55" bestFit="1" customWidth="1"/>
    <col min="884" max="885" width="9.140625" style="55"/>
    <col min="886" max="886" width="10.28515625" style="55" bestFit="1" customWidth="1"/>
    <col min="887" max="888" width="9.140625" style="55"/>
    <col min="889" max="889" width="10.28515625" style="55" bestFit="1" customWidth="1"/>
    <col min="890" max="891" width="9.140625" style="55"/>
    <col min="892" max="892" width="10.28515625" style="55" bestFit="1" customWidth="1"/>
    <col min="893" max="894" width="9.140625" style="55"/>
    <col min="895" max="895" width="10.28515625" style="55" bestFit="1" customWidth="1"/>
    <col min="896" max="897" width="9.140625" style="55"/>
    <col min="898" max="898" width="10.28515625" style="55" bestFit="1" customWidth="1"/>
    <col min="899" max="900" width="9.140625" style="55"/>
    <col min="901" max="901" width="10.28515625" style="55" bestFit="1" customWidth="1"/>
    <col min="902" max="903" width="9.140625" style="55"/>
    <col min="904" max="904" width="10.28515625" style="55" bestFit="1" customWidth="1"/>
    <col min="905" max="906" width="9.140625" style="55"/>
    <col min="907" max="907" width="10.28515625" style="55" bestFit="1" customWidth="1"/>
    <col min="908" max="909" width="9.140625" style="55"/>
    <col min="910" max="910" width="10.28515625" style="55" bestFit="1" customWidth="1"/>
    <col min="911" max="912" width="9.140625" style="55"/>
    <col min="913" max="913" width="10.28515625" style="55" bestFit="1" customWidth="1"/>
    <col min="914" max="915" width="9.140625" style="55"/>
    <col min="916" max="916" width="10.28515625" style="55" bestFit="1" customWidth="1"/>
    <col min="917" max="918" width="9.140625" style="55"/>
    <col min="919" max="919" width="10.28515625" style="55" bestFit="1" customWidth="1"/>
    <col min="920" max="921" width="9.140625" style="55"/>
    <col min="922" max="922" width="10.28515625" style="55" bestFit="1" customWidth="1"/>
    <col min="923" max="924" width="9.140625" style="55"/>
    <col min="925" max="925" width="10.28515625" style="55" bestFit="1" customWidth="1"/>
    <col min="926" max="927" width="9.140625" style="55"/>
    <col min="928" max="928" width="10.28515625" style="55" bestFit="1" customWidth="1"/>
    <col min="929" max="930" width="9.140625" style="55"/>
    <col min="931" max="931" width="10.28515625" style="55" bestFit="1" customWidth="1"/>
    <col min="932" max="933" width="9.140625" style="55"/>
    <col min="934" max="934" width="10.28515625" style="55" bestFit="1" customWidth="1"/>
    <col min="935" max="936" width="9.140625" style="55"/>
    <col min="937" max="937" width="10.28515625" style="55" bestFit="1" customWidth="1"/>
    <col min="938" max="939" width="9.140625" style="55"/>
    <col min="940" max="940" width="10.28515625" style="55" bestFit="1" customWidth="1"/>
    <col min="941" max="942" width="9.140625" style="55"/>
    <col min="943" max="943" width="10.28515625" style="55" bestFit="1" customWidth="1"/>
    <col min="944" max="945" width="9.140625" style="55"/>
    <col min="946" max="946" width="10.28515625" style="55" bestFit="1" customWidth="1"/>
    <col min="947" max="948" width="9.140625" style="55"/>
    <col min="949" max="949" width="10.28515625" style="55" bestFit="1" customWidth="1"/>
    <col min="950" max="951" width="9.140625" style="55"/>
    <col min="952" max="952" width="10.28515625" style="55" bestFit="1" customWidth="1"/>
    <col min="953" max="954" width="9.140625" style="55"/>
    <col min="955" max="955" width="10.28515625" style="55" bestFit="1" customWidth="1"/>
    <col min="956" max="957" width="9.140625" style="55"/>
    <col min="958" max="958" width="10.28515625" style="55" bestFit="1" customWidth="1"/>
    <col min="959" max="960" width="9.140625" style="55"/>
    <col min="961" max="961" width="10.28515625" style="55" bestFit="1" customWidth="1"/>
    <col min="962" max="963" width="9.140625" style="55"/>
    <col min="964" max="964" width="10.28515625" style="55" bestFit="1" customWidth="1"/>
    <col min="965" max="966" width="9.140625" style="55"/>
    <col min="967" max="967" width="10.28515625" style="55" bestFit="1" customWidth="1"/>
    <col min="968" max="969" width="9.140625" style="55"/>
    <col min="970" max="970" width="10.28515625" style="55" bestFit="1" customWidth="1"/>
    <col min="971" max="972" width="9.140625" style="55"/>
    <col min="973" max="973" width="10.28515625" style="55" bestFit="1" customWidth="1"/>
    <col min="974" max="975" width="9.140625" style="55"/>
    <col min="976" max="976" width="10.28515625" style="55" bestFit="1" customWidth="1"/>
    <col min="977" max="978" width="9.140625" style="55"/>
    <col min="979" max="979" width="10.28515625" style="55" bestFit="1" customWidth="1"/>
    <col min="980" max="981" width="9.140625" style="55"/>
    <col min="982" max="982" width="10.28515625" style="55" bestFit="1" customWidth="1"/>
    <col min="983" max="984" width="9.140625" style="55"/>
    <col min="985" max="985" width="10.28515625" style="55" bestFit="1" customWidth="1"/>
    <col min="986" max="987" width="9.140625" style="55"/>
    <col min="988" max="988" width="10.28515625" style="55" bestFit="1" customWidth="1"/>
    <col min="989" max="1024" width="9.140625" style="55"/>
    <col min="1025" max="1025" width="6.28515625" style="55" customWidth="1"/>
    <col min="1026" max="1026" width="81.42578125" style="55" customWidth="1"/>
    <col min="1027" max="1027" width="10" style="55" customWidth="1"/>
    <col min="1028" max="1028" width="15.85546875" style="55" customWidth="1"/>
    <col min="1029" max="1029" width="13.5703125" style="55" customWidth="1"/>
    <col min="1030" max="1030" width="12.7109375" style="55" customWidth="1"/>
    <col min="1031" max="1031" width="11.5703125" style="55" customWidth="1"/>
    <col min="1032" max="1032" width="13" style="55" customWidth="1"/>
    <col min="1033" max="1033" width="0" style="55" hidden="1" customWidth="1"/>
    <col min="1034" max="1034" width="11" style="55" customWidth="1"/>
    <col min="1035" max="1035" width="13.42578125" style="55" customWidth="1"/>
    <col min="1036" max="1036" width="12.5703125" style="55" customWidth="1"/>
    <col min="1037" max="1037" width="11.7109375" style="55" customWidth="1"/>
    <col min="1038" max="1038" width="12" style="55" customWidth="1"/>
    <col min="1039" max="1039" width="0" style="55" hidden="1" customWidth="1"/>
    <col min="1040" max="1040" width="13.28515625" style="55" customWidth="1"/>
    <col min="1041" max="1041" width="11.7109375" style="55" customWidth="1"/>
    <col min="1042" max="1042" width="11.42578125" style="55" customWidth="1"/>
    <col min="1043" max="1043" width="13" style="55" customWidth="1"/>
    <col min="1044" max="1044" width="13.42578125" style="55" customWidth="1"/>
    <col min="1045" max="1045" width="0" style="55" hidden="1" customWidth="1"/>
    <col min="1046" max="1046" width="13.28515625" style="55" customWidth="1"/>
    <col min="1047" max="1047" width="13.140625" style="55" customWidth="1"/>
    <col min="1048" max="1048" width="12.140625" style="55" customWidth="1"/>
    <col min="1049" max="1050" width="11.85546875" style="55" customWidth="1"/>
    <col min="1051" max="1051" width="0" style="55" hidden="1" customWidth="1"/>
    <col min="1052" max="1052" width="12.28515625" style="55" bestFit="1" customWidth="1"/>
    <col min="1053" max="1053" width="10.7109375" style="55" customWidth="1"/>
    <col min="1054" max="1054" width="11.85546875" style="55" customWidth="1"/>
    <col min="1055" max="1055" width="13.140625" style="55" customWidth="1"/>
    <col min="1056" max="1056" width="13" style="55" customWidth="1"/>
    <col min="1057" max="1057" width="0" style="55" hidden="1" customWidth="1"/>
    <col min="1058" max="1058" width="11" style="55" customWidth="1"/>
    <col min="1059" max="1059" width="13" style="55" customWidth="1"/>
    <col min="1060" max="1060" width="12.5703125" style="55" customWidth="1"/>
    <col min="1061" max="1061" width="11.85546875" style="55" customWidth="1"/>
    <col min="1062" max="1062" width="12.28515625" style="55" customWidth="1"/>
    <col min="1063" max="1063" width="0" style="55" hidden="1" customWidth="1"/>
    <col min="1064" max="1064" width="12.85546875" style="55" customWidth="1"/>
    <col min="1065" max="1071" width="0" style="55" hidden="1" customWidth="1"/>
    <col min="1072" max="1072" width="60.85546875" style="55" customWidth="1"/>
    <col min="1073" max="1078" width="27.42578125" style="55" customWidth="1"/>
    <col min="1079" max="1081" width="31.28515625" style="55" customWidth="1"/>
    <col min="1082" max="1082" width="27.42578125" style="55" customWidth="1"/>
    <col min="1083" max="1085" width="34.28515625" style="55" customWidth="1"/>
    <col min="1086" max="1089" width="27.42578125" style="55" customWidth="1"/>
    <col min="1090" max="1090" width="39.42578125" style="55" customWidth="1"/>
    <col min="1091" max="1091" width="41.28515625" style="55" customWidth="1"/>
    <col min="1092" max="1103" width="27.42578125" style="55" customWidth="1"/>
    <col min="1104" max="1105" width="9.140625" style="55"/>
    <col min="1106" max="1106" width="10.28515625" style="55" bestFit="1" customWidth="1"/>
    <col min="1107" max="1108" width="9.140625" style="55"/>
    <col min="1109" max="1109" width="10.28515625" style="55" bestFit="1" customWidth="1"/>
    <col min="1110" max="1111" width="9.140625" style="55"/>
    <col min="1112" max="1112" width="10.28515625" style="55" bestFit="1" customWidth="1"/>
    <col min="1113" max="1114" width="9.140625" style="55"/>
    <col min="1115" max="1115" width="10.28515625" style="55" bestFit="1" customWidth="1"/>
    <col min="1116" max="1117" width="9.140625" style="55"/>
    <col min="1118" max="1118" width="10.28515625" style="55" bestFit="1" customWidth="1"/>
    <col min="1119" max="1120" width="9.140625" style="55"/>
    <col min="1121" max="1121" width="10.28515625" style="55" bestFit="1" customWidth="1"/>
    <col min="1122" max="1123" width="9.140625" style="55"/>
    <col min="1124" max="1124" width="10.28515625" style="55" bestFit="1" customWidth="1"/>
    <col min="1125" max="1126" width="9.140625" style="55"/>
    <col min="1127" max="1127" width="10.28515625" style="55" bestFit="1" customWidth="1"/>
    <col min="1128" max="1129" width="9.140625" style="55"/>
    <col min="1130" max="1130" width="10.28515625" style="55" bestFit="1" customWidth="1"/>
    <col min="1131" max="1132" width="9.140625" style="55"/>
    <col min="1133" max="1133" width="10.28515625" style="55" bestFit="1" customWidth="1"/>
    <col min="1134" max="1135" width="9.140625" style="55"/>
    <col min="1136" max="1136" width="10.28515625" style="55" bestFit="1" customWidth="1"/>
    <col min="1137" max="1138" width="9.140625" style="55"/>
    <col min="1139" max="1139" width="10.28515625" style="55" bestFit="1" customWidth="1"/>
    <col min="1140" max="1141" width="9.140625" style="55"/>
    <col min="1142" max="1142" width="10.28515625" style="55" bestFit="1" customWidth="1"/>
    <col min="1143" max="1144" width="9.140625" style="55"/>
    <col min="1145" max="1145" width="10.28515625" style="55" bestFit="1" customWidth="1"/>
    <col min="1146" max="1147" width="9.140625" style="55"/>
    <col min="1148" max="1148" width="10.28515625" style="55" bestFit="1" customWidth="1"/>
    <col min="1149" max="1150" width="9.140625" style="55"/>
    <col min="1151" max="1151" width="10.28515625" style="55" bestFit="1" customWidth="1"/>
    <col min="1152" max="1153" width="9.140625" style="55"/>
    <col min="1154" max="1154" width="10.28515625" style="55" bestFit="1" customWidth="1"/>
    <col min="1155" max="1156" width="9.140625" style="55"/>
    <col min="1157" max="1157" width="10.28515625" style="55" bestFit="1" customWidth="1"/>
    <col min="1158" max="1159" width="9.140625" style="55"/>
    <col min="1160" max="1160" width="10.28515625" style="55" bestFit="1" customWidth="1"/>
    <col min="1161" max="1162" width="9.140625" style="55"/>
    <col min="1163" max="1163" width="10.28515625" style="55" bestFit="1" customWidth="1"/>
    <col min="1164" max="1165" width="9.140625" style="55"/>
    <col min="1166" max="1166" width="10.28515625" style="55" bestFit="1" customWidth="1"/>
    <col min="1167" max="1168" width="9.140625" style="55"/>
    <col min="1169" max="1169" width="10.28515625" style="55" bestFit="1" customWidth="1"/>
    <col min="1170" max="1171" width="9.140625" style="55"/>
    <col min="1172" max="1172" width="10.28515625" style="55" bestFit="1" customWidth="1"/>
    <col min="1173" max="1174" width="9.140625" style="55"/>
    <col min="1175" max="1175" width="10.28515625" style="55" bestFit="1" customWidth="1"/>
    <col min="1176" max="1177" width="9.140625" style="55"/>
    <col min="1178" max="1178" width="10.28515625" style="55" bestFit="1" customWidth="1"/>
    <col min="1179" max="1180" width="9.140625" style="55"/>
    <col min="1181" max="1181" width="10.28515625" style="55" bestFit="1" customWidth="1"/>
    <col min="1182" max="1183" width="9.140625" style="55"/>
    <col min="1184" max="1184" width="10.28515625" style="55" bestFit="1" customWidth="1"/>
    <col min="1185" max="1186" width="9.140625" style="55"/>
    <col min="1187" max="1187" width="10.28515625" style="55" bestFit="1" customWidth="1"/>
    <col min="1188" max="1189" width="9.140625" style="55"/>
    <col min="1190" max="1190" width="10.28515625" style="55" bestFit="1" customWidth="1"/>
    <col min="1191" max="1192" width="9.140625" style="55"/>
    <col min="1193" max="1193" width="10.28515625" style="55" bestFit="1" customWidth="1"/>
    <col min="1194" max="1195" width="9.140625" style="55"/>
    <col min="1196" max="1196" width="10.28515625" style="55" bestFit="1" customWidth="1"/>
    <col min="1197" max="1198" width="9.140625" style="55"/>
    <col min="1199" max="1199" width="10.28515625" style="55" bestFit="1" customWidth="1"/>
    <col min="1200" max="1201" width="9.140625" style="55"/>
    <col min="1202" max="1202" width="10.28515625" style="55" bestFit="1" customWidth="1"/>
    <col min="1203" max="1204" width="9.140625" style="55"/>
    <col min="1205" max="1205" width="10.28515625" style="55" bestFit="1" customWidth="1"/>
    <col min="1206" max="1207" width="9.140625" style="55"/>
    <col min="1208" max="1208" width="10.28515625" style="55" bestFit="1" customWidth="1"/>
    <col min="1209" max="1210" width="9.140625" style="55"/>
    <col min="1211" max="1211" width="10.28515625" style="55" bestFit="1" customWidth="1"/>
    <col min="1212" max="1213" width="9.140625" style="55"/>
    <col min="1214" max="1214" width="10.28515625" style="55" bestFit="1" customWidth="1"/>
    <col min="1215" max="1216" width="9.140625" style="55"/>
    <col min="1217" max="1217" width="10.28515625" style="55" bestFit="1" customWidth="1"/>
    <col min="1218" max="1219" width="9.140625" style="55"/>
    <col min="1220" max="1220" width="10.28515625" style="55" bestFit="1" customWidth="1"/>
    <col min="1221" max="1222" width="9.140625" style="55"/>
    <col min="1223" max="1223" width="10.28515625" style="55" bestFit="1" customWidth="1"/>
    <col min="1224" max="1225" width="9.140625" style="55"/>
    <col min="1226" max="1226" width="10.28515625" style="55" bestFit="1" customWidth="1"/>
    <col min="1227" max="1228" width="9.140625" style="55"/>
    <col min="1229" max="1229" width="10.28515625" style="55" bestFit="1" customWidth="1"/>
    <col min="1230" max="1231" width="9.140625" style="55"/>
    <col min="1232" max="1232" width="10.28515625" style="55" bestFit="1" customWidth="1"/>
    <col min="1233" max="1234" width="9.140625" style="55"/>
    <col min="1235" max="1235" width="10.28515625" style="55" bestFit="1" customWidth="1"/>
    <col min="1236" max="1237" width="9.140625" style="55"/>
    <col min="1238" max="1238" width="10.28515625" style="55" bestFit="1" customWidth="1"/>
    <col min="1239" max="1240" width="9.140625" style="55"/>
    <col min="1241" max="1241" width="10.28515625" style="55" bestFit="1" customWidth="1"/>
    <col min="1242" max="1243" width="9.140625" style="55"/>
    <col min="1244" max="1244" width="10.28515625" style="55" bestFit="1" customWidth="1"/>
    <col min="1245" max="1280" width="9.140625" style="55"/>
    <col min="1281" max="1281" width="6.28515625" style="55" customWidth="1"/>
    <col min="1282" max="1282" width="81.42578125" style="55" customWidth="1"/>
    <col min="1283" max="1283" width="10" style="55" customWidth="1"/>
    <col min="1284" max="1284" width="15.85546875" style="55" customWidth="1"/>
    <col min="1285" max="1285" width="13.5703125" style="55" customWidth="1"/>
    <col min="1286" max="1286" width="12.7109375" style="55" customWidth="1"/>
    <col min="1287" max="1287" width="11.5703125" style="55" customWidth="1"/>
    <col min="1288" max="1288" width="13" style="55" customWidth="1"/>
    <col min="1289" max="1289" width="0" style="55" hidden="1" customWidth="1"/>
    <col min="1290" max="1290" width="11" style="55" customWidth="1"/>
    <col min="1291" max="1291" width="13.42578125" style="55" customWidth="1"/>
    <col min="1292" max="1292" width="12.5703125" style="55" customWidth="1"/>
    <col min="1293" max="1293" width="11.7109375" style="55" customWidth="1"/>
    <col min="1294" max="1294" width="12" style="55" customWidth="1"/>
    <col min="1295" max="1295" width="0" style="55" hidden="1" customWidth="1"/>
    <col min="1296" max="1296" width="13.28515625" style="55" customWidth="1"/>
    <col min="1297" max="1297" width="11.7109375" style="55" customWidth="1"/>
    <col min="1298" max="1298" width="11.42578125" style="55" customWidth="1"/>
    <col min="1299" max="1299" width="13" style="55" customWidth="1"/>
    <col min="1300" max="1300" width="13.42578125" style="55" customWidth="1"/>
    <col min="1301" max="1301" width="0" style="55" hidden="1" customWidth="1"/>
    <col min="1302" max="1302" width="13.28515625" style="55" customWidth="1"/>
    <col min="1303" max="1303" width="13.140625" style="55" customWidth="1"/>
    <col min="1304" max="1304" width="12.140625" style="55" customWidth="1"/>
    <col min="1305" max="1306" width="11.85546875" style="55" customWidth="1"/>
    <col min="1307" max="1307" width="0" style="55" hidden="1" customWidth="1"/>
    <col min="1308" max="1308" width="12.28515625" style="55" bestFit="1" customWidth="1"/>
    <col min="1309" max="1309" width="10.7109375" style="55" customWidth="1"/>
    <col min="1310" max="1310" width="11.85546875" style="55" customWidth="1"/>
    <col min="1311" max="1311" width="13.140625" style="55" customWidth="1"/>
    <col min="1312" max="1312" width="13" style="55" customWidth="1"/>
    <col min="1313" max="1313" width="0" style="55" hidden="1" customWidth="1"/>
    <col min="1314" max="1314" width="11" style="55" customWidth="1"/>
    <col min="1315" max="1315" width="13" style="55" customWidth="1"/>
    <col min="1316" max="1316" width="12.5703125" style="55" customWidth="1"/>
    <col min="1317" max="1317" width="11.85546875" style="55" customWidth="1"/>
    <col min="1318" max="1318" width="12.28515625" style="55" customWidth="1"/>
    <col min="1319" max="1319" width="0" style="55" hidden="1" customWidth="1"/>
    <col min="1320" max="1320" width="12.85546875" style="55" customWidth="1"/>
    <col min="1321" max="1327" width="0" style="55" hidden="1" customWidth="1"/>
    <col min="1328" max="1328" width="60.85546875" style="55" customWidth="1"/>
    <col min="1329" max="1334" width="27.42578125" style="55" customWidth="1"/>
    <col min="1335" max="1337" width="31.28515625" style="55" customWidth="1"/>
    <col min="1338" max="1338" width="27.42578125" style="55" customWidth="1"/>
    <col min="1339" max="1341" width="34.28515625" style="55" customWidth="1"/>
    <col min="1342" max="1345" width="27.42578125" style="55" customWidth="1"/>
    <col min="1346" max="1346" width="39.42578125" style="55" customWidth="1"/>
    <col min="1347" max="1347" width="41.28515625" style="55" customWidth="1"/>
    <col min="1348" max="1359" width="27.42578125" style="55" customWidth="1"/>
    <col min="1360" max="1361" width="9.140625" style="55"/>
    <col min="1362" max="1362" width="10.28515625" style="55" bestFit="1" customWidth="1"/>
    <col min="1363" max="1364" width="9.140625" style="55"/>
    <col min="1365" max="1365" width="10.28515625" style="55" bestFit="1" customWidth="1"/>
    <col min="1366" max="1367" width="9.140625" style="55"/>
    <col min="1368" max="1368" width="10.28515625" style="55" bestFit="1" customWidth="1"/>
    <col min="1369" max="1370" width="9.140625" style="55"/>
    <col min="1371" max="1371" width="10.28515625" style="55" bestFit="1" customWidth="1"/>
    <col min="1372" max="1373" width="9.140625" style="55"/>
    <col min="1374" max="1374" width="10.28515625" style="55" bestFit="1" customWidth="1"/>
    <col min="1375" max="1376" width="9.140625" style="55"/>
    <col min="1377" max="1377" width="10.28515625" style="55" bestFit="1" customWidth="1"/>
    <col min="1378" max="1379" width="9.140625" style="55"/>
    <col min="1380" max="1380" width="10.28515625" style="55" bestFit="1" customWidth="1"/>
    <col min="1381" max="1382" width="9.140625" style="55"/>
    <col min="1383" max="1383" width="10.28515625" style="55" bestFit="1" customWidth="1"/>
    <col min="1384" max="1385" width="9.140625" style="55"/>
    <col min="1386" max="1386" width="10.28515625" style="55" bestFit="1" customWidth="1"/>
    <col min="1387" max="1388" width="9.140625" style="55"/>
    <col min="1389" max="1389" width="10.28515625" style="55" bestFit="1" customWidth="1"/>
    <col min="1390" max="1391" width="9.140625" style="55"/>
    <col min="1392" max="1392" width="10.28515625" style="55" bestFit="1" customWidth="1"/>
    <col min="1393" max="1394" width="9.140625" style="55"/>
    <col min="1395" max="1395" width="10.28515625" style="55" bestFit="1" customWidth="1"/>
    <col min="1396" max="1397" width="9.140625" style="55"/>
    <col min="1398" max="1398" width="10.28515625" style="55" bestFit="1" customWidth="1"/>
    <col min="1399" max="1400" width="9.140625" style="55"/>
    <col min="1401" max="1401" width="10.28515625" style="55" bestFit="1" customWidth="1"/>
    <col min="1402" max="1403" width="9.140625" style="55"/>
    <col min="1404" max="1404" width="10.28515625" style="55" bestFit="1" customWidth="1"/>
    <col min="1405" max="1406" width="9.140625" style="55"/>
    <col min="1407" max="1407" width="10.28515625" style="55" bestFit="1" customWidth="1"/>
    <col min="1408" max="1409" width="9.140625" style="55"/>
    <col min="1410" max="1410" width="10.28515625" style="55" bestFit="1" customWidth="1"/>
    <col min="1411" max="1412" width="9.140625" style="55"/>
    <col min="1413" max="1413" width="10.28515625" style="55" bestFit="1" customWidth="1"/>
    <col min="1414" max="1415" width="9.140625" style="55"/>
    <col min="1416" max="1416" width="10.28515625" style="55" bestFit="1" customWidth="1"/>
    <col min="1417" max="1418" width="9.140625" style="55"/>
    <col min="1419" max="1419" width="10.28515625" style="55" bestFit="1" customWidth="1"/>
    <col min="1420" max="1421" width="9.140625" style="55"/>
    <col min="1422" max="1422" width="10.28515625" style="55" bestFit="1" customWidth="1"/>
    <col min="1423" max="1424" width="9.140625" style="55"/>
    <col min="1425" max="1425" width="10.28515625" style="55" bestFit="1" customWidth="1"/>
    <col min="1426" max="1427" width="9.140625" style="55"/>
    <col min="1428" max="1428" width="10.28515625" style="55" bestFit="1" customWidth="1"/>
    <col min="1429" max="1430" width="9.140625" style="55"/>
    <col min="1431" max="1431" width="10.28515625" style="55" bestFit="1" customWidth="1"/>
    <col min="1432" max="1433" width="9.140625" style="55"/>
    <col min="1434" max="1434" width="10.28515625" style="55" bestFit="1" customWidth="1"/>
    <col min="1435" max="1436" width="9.140625" style="55"/>
    <col min="1437" max="1437" width="10.28515625" style="55" bestFit="1" customWidth="1"/>
    <col min="1438" max="1439" width="9.140625" style="55"/>
    <col min="1440" max="1440" width="10.28515625" style="55" bestFit="1" customWidth="1"/>
    <col min="1441" max="1442" width="9.140625" style="55"/>
    <col min="1443" max="1443" width="10.28515625" style="55" bestFit="1" customWidth="1"/>
    <col min="1444" max="1445" width="9.140625" style="55"/>
    <col min="1446" max="1446" width="10.28515625" style="55" bestFit="1" customWidth="1"/>
    <col min="1447" max="1448" width="9.140625" style="55"/>
    <col min="1449" max="1449" width="10.28515625" style="55" bestFit="1" customWidth="1"/>
    <col min="1450" max="1451" width="9.140625" style="55"/>
    <col min="1452" max="1452" width="10.28515625" style="55" bestFit="1" customWidth="1"/>
    <col min="1453" max="1454" width="9.140625" style="55"/>
    <col min="1455" max="1455" width="10.28515625" style="55" bestFit="1" customWidth="1"/>
    <col min="1456" max="1457" width="9.140625" style="55"/>
    <col min="1458" max="1458" width="10.28515625" style="55" bestFit="1" customWidth="1"/>
    <col min="1459" max="1460" width="9.140625" style="55"/>
    <col min="1461" max="1461" width="10.28515625" style="55" bestFit="1" customWidth="1"/>
    <col min="1462" max="1463" width="9.140625" style="55"/>
    <col min="1464" max="1464" width="10.28515625" style="55" bestFit="1" customWidth="1"/>
    <col min="1465" max="1466" width="9.140625" style="55"/>
    <col min="1467" max="1467" width="10.28515625" style="55" bestFit="1" customWidth="1"/>
    <col min="1468" max="1469" width="9.140625" style="55"/>
    <col min="1470" max="1470" width="10.28515625" style="55" bestFit="1" customWidth="1"/>
    <col min="1471" max="1472" width="9.140625" style="55"/>
    <col min="1473" max="1473" width="10.28515625" style="55" bestFit="1" customWidth="1"/>
    <col min="1474" max="1475" width="9.140625" style="55"/>
    <col min="1476" max="1476" width="10.28515625" style="55" bestFit="1" customWidth="1"/>
    <col min="1477" max="1478" width="9.140625" style="55"/>
    <col min="1479" max="1479" width="10.28515625" style="55" bestFit="1" customWidth="1"/>
    <col min="1480" max="1481" width="9.140625" style="55"/>
    <col min="1482" max="1482" width="10.28515625" style="55" bestFit="1" customWidth="1"/>
    <col min="1483" max="1484" width="9.140625" style="55"/>
    <col min="1485" max="1485" width="10.28515625" style="55" bestFit="1" customWidth="1"/>
    <col min="1486" max="1487" width="9.140625" style="55"/>
    <col min="1488" max="1488" width="10.28515625" style="55" bestFit="1" customWidth="1"/>
    <col min="1489" max="1490" width="9.140625" style="55"/>
    <col min="1491" max="1491" width="10.28515625" style="55" bestFit="1" customWidth="1"/>
    <col min="1492" max="1493" width="9.140625" style="55"/>
    <col min="1494" max="1494" width="10.28515625" style="55" bestFit="1" customWidth="1"/>
    <col min="1495" max="1496" width="9.140625" style="55"/>
    <col min="1497" max="1497" width="10.28515625" style="55" bestFit="1" customWidth="1"/>
    <col min="1498" max="1499" width="9.140625" style="55"/>
    <col min="1500" max="1500" width="10.28515625" style="55" bestFit="1" customWidth="1"/>
    <col min="1501" max="1536" width="9.140625" style="55"/>
    <col min="1537" max="1537" width="6.28515625" style="55" customWidth="1"/>
    <col min="1538" max="1538" width="81.42578125" style="55" customWidth="1"/>
    <col min="1539" max="1539" width="10" style="55" customWidth="1"/>
    <col min="1540" max="1540" width="15.85546875" style="55" customWidth="1"/>
    <col min="1541" max="1541" width="13.5703125" style="55" customWidth="1"/>
    <col min="1542" max="1542" width="12.7109375" style="55" customWidth="1"/>
    <col min="1543" max="1543" width="11.5703125" style="55" customWidth="1"/>
    <col min="1544" max="1544" width="13" style="55" customWidth="1"/>
    <col min="1545" max="1545" width="0" style="55" hidden="1" customWidth="1"/>
    <col min="1546" max="1546" width="11" style="55" customWidth="1"/>
    <col min="1547" max="1547" width="13.42578125" style="55" customWidth="1"/>
    <col min="1548" max="1548" width="12.5703125" style="55" customWidth="1"/>
    <col min="1549" max="1549" width="11.7109375" style="55" customWidth="1"/>
    <col min="1550" max="1550" width="12" style="55" customWidth="1"/>
    <col min="1551" max="1551" width="0" style="55" hidden="1" customWidth="1"/>
    <col min="1552" max="1552" width="13.28515625" style="55" customWidth="1"/>
    <col min="1553" max="1553" width="11.7109375" style="55" customWidth="1"/>
    <col min="1554" max="1554" width="11.42578125" style="55" customWidth="1"/>
    <col min="1555" max="1555" width="13" style="55" customWidth="1"/>
    <col min="1556" max="1556" width="13.42578125" style="55" customWidth="1"/>
    <col min="1557" max="1557" width="0" style="55" hidden="1" customWidth="1"/>
    <col min="1558" max="1558" width="13.28515625" style="55" customWidth="1"/>
    <col min="1559" max="1559" width="13.140625" style="55" customWidth="1"/>
    <col min="1560" max="1560" width="12.140625" style="55" customWidth="1"/>
    <col min="1561" max="1562" width="11.85546875" style="55" customWidth="1"/>
    <col min="1563" max="1563" width="0" style="55" hidden="1" customWidth="1"/>
    <col min="1564" max="1564" width="12.28515625" style="55" bestFit="1" customWidth="1"/>
    <col min="1565" max="1565" width="10.7109375" style="55" customWidth="1"/>
    <col min="1566" max="1566" width="11.85546875" style="55" customWidth="1"/>
    <col min="1567" max="1567" width="13.140625" style="55" customWidth="1"/>
    <col min="1568" max="1568" width="13" style="55" customWidth="1"/>
    <col min="1569" max="1569" width="0" style="55" hidden="1" customWidth="1"/>
    <col min="1570" max="1570" width="11" style="55" customWidth="1"/>
    <col min="1571" max="1571" width="13" style="55" customWidth="1"/>
    <col min="1572" max="1572" width="12.5703125" style="55" customWidth="1"/>
    <col min="1573" max="1573" width="11.85546875" style="55" customWidth="1"/>
    <col min="1574" max="1574" width="12.28515625" style="55" customWidth="1"/>
    <col min="1575" max="1575" width="0" style="55" hidden="1" customWidth="1"/>
    <col min="1576" max="1576" width="12.85546875" style="55" customWidth="1"/>
    <col min="1577" max="1583" width="0" style="55" hidden="1" customWidth="1"/>
    <col min="1584" max="1584" width="60.85546875" style="55" customWidth="1"/>
    <col min="1585" max="1590" width="27.42578125" style="55" customWidth="1"/>
    <col min="1591" max="1593" width="31.28515625" style="55" customWidth="1"/>
    <col min="1594" max="1594" width="27.42578125" style="55" customWidth="1"/>
    <col min="1595" max="1597" width="34.28515625" style="55" customWidth="1"/>
    <col min="1598" max="1601" width="27.42578125" style="55" customWidth="1"/>
    <col min="1602" max="1602" width="39.42578125" style="55" customWidth="1"/>
    <col min="1603" max="1603" width="41.28515625" style="55" customWidth="1"/>
    <col min="1604" max="1615" width="27.42578125" style="55" customWidth="1"/>
    <col min="1616" max="1617" width="9.140625" style="55"/>
    <col min="1618" max="1618" width="10.28515625" style="55" bestFit="1" customWidth="1"/>
    <col min="1619" max="1620" width="9.140625" style="55"/>
    <col min="1621" max="1621" width="10.28515625" style="55" bestFit="1" customWidth="1"/>
    <col min="1622" max="1623" width="9.140625" style="55"/>
    <col min="1624" max="1624" width="10.28515625" style="55" bestFit="1" customWidth="1"/>
    <col min="1625" max="1626" width="9.140625" style="55"/>
    <col min="1627" max="1627" width="10.28515625" style="55" bestFit="1" customWidth="1"/>
    <col min="1628" max="1629" width="9.140625" style="55"/>
    <col min="1630" max="1630" width="10.28515625" style="55" bestFit="1" customWidth="1"/>
    <col min="1631" max="1632" width="9.140625" style="55"/>
    <col min="1633" max="1633" width="10.28515625" style="55" bestFit="1" customWidth="1"/>
    <col min="1634" max="1635" width="9.140625" style="55"/>
    <col min="1636" max="1636" width="10.28515625" style="55" bestFit="1" customWidth="1"/>
    <col min="1637" max="1638" width="9.140625" style="55"/>
    <col min="1639" max="1639" width="10.28515625" style="55" bestFit="1" customWidth="1"/>
    <col min="1640" max="1641" width="9.140625" style="55"/>
    <col min="1642" max="1642" width="10.28515625" style="55" bestFit="1" customWidth="1"/>
    <col min="1643" max="1644" width="9.140625" style="55"/>
    <col min="1645" max="1645" width="10.28515625" style="55" bestFit="1" customWidth="1"/>
    <col min="1646" max="1647" width="9.140625" style="55"/>
    <col min="1648" max="1648" width="10.28515625" style="55" bestFit="1" customWidth="1"/>
    <col min="1649" max="1650" width="9.140625" style="55"/>
    <col min="1651" max="1651" width="10.28515625" style="55" bestFit="1" customWidth="1"/>
    <col min="1652" max="1653" width="9.140625" style="55"/>
    <col min="1654" max="1654" width="10.28515625" style="55" bestFit="1" customWidth="1"/>
    <col min="1655" max="1656" width="9.140625" style="55"/>
    <col min="1657" max="1657" width="10.28515625" style="55" bestFit="1" customWidth="1"/>
    <col min="1658" max="1659" width="9.140625" style="55"/>
    <col min="1660" max="1660" width="10.28515625" style="55" bestFit="1" customWidth="1"/>
    <col min="1661" max="1662" width="9.140625" style="55"/>
    <col min="1663" max="1663" width="10.28515625" style="55" bestFit="1" customWidth="1"/>
    <col min="1664" max="1665" width="9.140625" style="55"/>
    <col min="1666" max="1666" width="10.28515625" style="55" bestFit="1" customWidth="1"/>
    <col min="1667" max="1668" width="9.140625" style="55"/>
    <col min="1669" max="1669" width="10.28515625" style="55" bestFit="1" customWidth="1"/>
    <col min="1670" max="1671" width="9.140625" style="55"/>
    <col min="1672" max="1672" width="10.28515625" style="55" bestFit="1" customWidth="1"/>
    <col min="1673" max="1674" width="9.140625" style="55"/>
    <col min="1675" max="1675" width="10.28515625" style="55" bestFit="1" customWidth="1"/>
    <col min="1676" max="1677" width="9.140625" style="55"/>
    <col min="1678" max="1678" width="10.28515625" style="55" bestFit="1" customWidth="1"/>
    <col min="1679" max="1680" width="9.140625" style="55"/>
    <col min="1681" max="1681" width="10.28515625" style="55" bestFit="1" customWidth="1"/>
    <col min="1682" max="1683" width="9.140625" style="55"/>
    <col min="1684" max="1684" width="10.28515625" style="55" bestFit="1" customWidth="1"/>
    <col min="1685" max="1686" width="9.140625" style="55"/>
    <col min="1687" max="1687" width="10.28515625" style="55" bestFit="1" customWidth="1"/>
    <col min="1688" max="1689" width="9.140625" style="55"/>
    <col min="1690" max="1690" width="10.28515625" style="55" bestFit="1" customWidth="1"/>
    <col min="1691" max="1692" width="9.140625" style="55"/>
    <col min="1693" max="1693" width="10.28515625" style="55" bestFit="1" customWidth="1"/>
    <col min="1694" max="1695" width="9.140625" style="55"/>
    <col min="1696" max="1696" width="10.28515625" style="55" bestFit="1" customWidth="1"/>
    <col min="1697" max="1698" width="9.140625" style="55"/>
    <col min="1699" max="1699" width="10.28515625" style="55" bestFit="1" customWidth="1"/>
    <col min="1700" max="1701" width="9.140625" style="55"/>
    <col min="1702" max="1702" width="10.28515625" style="55" bestFit="1" customWidth="1"/>
    <col min="1703" max="1704" width="9.140625" style="55"/>
    <col min="1705" max="1705" width="10.28515625" style="55" bestFit="1" customWidth="1"/>
    <col min="1706" max="1707" width="9.140625" style="55"/>
    <col min="1708" max="1708" width="10.28515625" style="55" bestFit="1" customWidth="1"/>
    <col min="1709" max="1710" width="9.140625" style="55"/>
    <col min="1711" max="1711" width="10.28515625" style="55" bestFit="1" customWidth="1"/>
    <col min="1712" max="1713" width="9.140625" style="55"/>
    <col min="1714" max="1714" width="10.28515625" style="55" bestFit="1" customWidth="1"/>
    <col min="1715" max="1716" width="9.140625" style="55"/>
    <col min="1717" max="1717" width="10.28515625" style="55" bestFit="1" customWidth="1"/>
    <col min="1718" max="1719" width="9.140625" style="55"/>
    <col min="1720" max="1720" width="10.28515625" style="55" bestFit="1" customWidth="1"/>
    <col min="1721" max="1722" width="9.140625" style="55"/>
    <col min="1723" max="1723" width="10.28515625" style="55" bestFit="1" customWidth="1"/>
    <col min="1724" max="1725" width="9.140625" style="55"/>
    <col min="1726" max="1726" width="10.28515625" style="55" bestFit="1" customWidth="1"/>
    <col min="1727" max="1728" width="9.140625" style="55"/>
    <col min="1729" max="1729" width="10.28515625" style="55" bestFit="1" customWidth="1"/>
    <col min="1730" max="1731" width="9.140625" style="55"/>
    <col min="1732" max="1732" width="10.28515625" style="55" bestFit="1" customWidth="1"/>
    <col min="1733" max="1734" width="9.140625" style="55"/>
    <col min="1735" max="1735" width="10.28515625" style="55" bestFit="1" customWidth="1"/>
    <col min="1736" max="1737" width="9.140625" style="55"/>
    <col min="1738" max="1738" width="10.28515625" style="55" bestFit="1" customWidth="1"/>
    <col min="1739" max="1740" width="9.140625" style="55"/>
    <col min="1741" max="1741" width="10.28515625" style="55" bestFit="1" customWidth="1"/>
    <col min="1742" max="1743" width="9.140625" style="55"/>
    <col min="1744" max="1744" width="10.28515625" style="55" bestFit="1" customWidth="1"/>
    <col min="1745" max="1746" width="9.140625" style="55"/>
    <col min="1747" max="1747" width="10.28515625" style="55" bestFit="1" customWidth="1"/>
    <col min="1748" max="1749" width="9.140625" style="55"/>
    <col min="1750" max="1750" width="10.28515625" style="55" bestFit="1" customWidth="1"/>
    <col min="1751" max="1752" width="9.140625" style="55"/>
    <col min="1753" max="1753" width="10.28515625" style="55" bestFit="1" customWidth="1"/>
    <col min="1754" max="1755" width="9.140625" style="55"/>
    <col min="1756" max="1756" width="10.28515625" style="55" bestFit="1" customWidth="1"/>
    <col min="1757" max="1792" width="9.140625" style="55"/>
    <col min="1793" max="1793" width="6.28515625" style="55" customWidth="1"/>
    <col min="1794" max="1794" width="81.42578125" style="55" customWidth="1"/>
    <col min="1795" max="1795" width="10" style="55" customWidth="1"/>
    <col min="1796" max="1796" width="15.85546875" style="55" customWidth="1"/>
    <col min="1797" max="1797" width="13.5703125" style="55" customWidth="1"/>
    <col min="1798" max="1798" width="12.7109375" style="55" customWidth="1"/>
    <col min="1799" max="1799" width="11.5703125" style="55" customWidth="1"/>
    <col min="1800" max="1800" width="13" style="55" customWidth="1"/>
    <col min="1801" max="1801" width="0" style="55" hidden="1" customWidth="1"/>
    <col min="1802" max="1802" width="11" style="55" customWidth="1"/>
    <col min="1803" max="1803" width="13.42578125" style="55" customWidth="1"/>
    <col min="1804" max="1804" width="12.5703125" style="55" customWidth="1"/>
    <col min="1805" max="1805" width="11.7109375" style="55" customWidth="1"/>
    <col min="1806" max="1806" width="12" style="55" customWidth="1"/>
    <col min="1807" max="1807" width="0" style="55" hidden="1" customWidth="1"/>
    <col min="1808" max="1808" width="13.28515625" style="55" customWidth="1"/>
    <col min="1809" max="1809" width="11.7109375" style="55" customWidth="1"/>
    <col min="1810" max="1810" width="11.42578125" style="55" customWidth="1"/>
    <col min="1811" max="1811" width="13" style="55" customWidth="1"/>
    <col min="1812" max="1812" width="13.42578125" style="55" customWidth="1"/>
    <col min="1813" max="1813" width="0" style="55" hidden="1" customWidth="1"/>
    <col min="1814" max="1814" width="13.28515625" style="55" customWidth="1"/>
    <col min="1815" max="1815" width="13.140625" style="55" customWidth="1"/>
    <col min="1816" max="1816" width="12.140625" style="55" customWidth="1"/>
    <col min="1817" max="1818" width="11.85546875" style="55" customWidth="1"/>
    <col min="1819" max="1819" width="0" style="55" hidden="1" customWidth="1"/>
    <col min="1820" max="1820" width="12.28515625" style="55" bestFit="1" customWidth="1"/>
    <col min="1821" max="1821" width="10.7109375" style="55" customWidth="1"/>
    <col min="1822" max="1822" width="11.85546875" style="55" customWidth="1"/>
    <col min="1823" max="1823" width="13.140625" style="55" customWidth="1"/>
    <col min="1824" max="1824" width="13" style="55" customWidth="1"/>
    <col min="1825" max="1825" width="0" style="55" hidden="1" customWidth="1"/>
    <col min="1826" max="1826" width="11" style="55" customWidth="1"/>
    <col min="1827" max="1827" width="13" style="55" customWidth="1"/>
    <col min="1828" max="1828" width="12.5703125" style="55" customWidth="1"/>
    <col min="1829" max="1829" width="11.85546875" style="55" customWidth="1"/>
    <col min="1830" max="1830" width="12.28515625" style="55" customWidth="1"/>
    <col min="1831" max="1831" width="0" style="55" hidden="1" customWidth="1"/>
    <col min="1832" max="1832" width="12.85546875" style="55" customWidth="1"/>
    <col min="1833" max="1839" width="0" style="55" hidden="1" customWidth="1"/>
    <col min="1840" max="1840" width="60.85546875" style="55" customWidth="1"/>
    <col min="1841" max="1846" width="27.42578125" style="55" customWidth="1"/>
    <col min="1847" max="1849" width="31.28515625" style="55" customWidth="1"/>
    <col min="1850" max="1850" width="27.42578125" style="55" customWidth="1"/>
    <col min="1851" max="1853" width="34.28515625" style="55" customWidth="1"/>
    <col min="1854" max="1857" width="27.42578125" style="55" customWidth="1"/>
    <col min="1858" max="1858" width="39.42578125" style="55" customWidth="1"/>
    <col min="1859" max="1859" width="41.28515625" style="55" customWidth="1"/>
    <col min="1860" max="1871" width="27.42578125" style="55" customWidth="1"/>
    <col min="1872" max="1873" width="9.140625" style="55"/>
    <col min="1874" max="1874" width="10.28515625" style="55" bestFit="1" customWidth="1"/>
    <col min="1875" max="1876" width="9.140625" style="55"/>
    <col min="1877" max="1877" width="10.28515625" style="55" bestFit="1" customWidth="1"/>
    <col min="1878" max="1879" width="9.140625" style="55"/>
    <col min="1880" max="1880" width="10.28515625" style="55" bestFit="1" customWidth="1"/>
    <col min="1881" max="1882" width="9.140625" style="55"/>
    <col min="1883" max="1883" width="10.28515625" style="55" bestFit="1" customWidth="1"/>
    <col min="1884" max="1885" width="9.140625" style="55"/>
    <col min="1886" max="1886" width="10.28515625" style="55" bestFit="1" customWidth="1"/>
    <col min="1887" max="1888" width="9.140625" style="55"/>
    <col min="1889" max="1889" width="10.28515625" style="55" bestFit="1" customWidth="1"/>
    <col min="1890" max="1891" width="9.140625" style="55"/>
    <col min="1892" max="1892" width="10.28515625" style="55" bestFit="1" customWidth="1"/>
    <col min="1893" max="1894" width="9.140625" style="55"/>
    <col min="1895" max="1895" width="10.28515625" style="55" bestFit="1" customWidth="1"/>
    <col min="1896" max="1897" width="9.140625" style="55"/>
    <col min="1898" max="1898" width="10.28515625" style="55" bestFit="1" customWidth="1"/>
    <col min="1899" max="1900" width="9.140625" style="55"/>
    <col min="1901" max="1901" width="10.28515625" style="55" bestFit="1" customWidth="1"/>
    <col min="1902" max="1903" width="9.140625" style="55"/>
    <col min="1904" max="1904" width="10.28515625" style="55" bestFit="1" customWidth="1"/>
    <col min="1905" max="1906" width="9.140625" style="55"/>
    <col min="1907" max="1907" width="10.28515625" style="55" bestFit="1" customWidth="1"/>
    <col min="1908" max="1909" width="9.140625" style="55"/>
    <col min="1910" max="1910" width="10.28515625" style="55" bestFit="1" customWidth="1"/>
    <col min="1911" max="1912" width="9.140625" style="55"/>
    <col min="1913" max="1913" width="10.28515625" style="55" bestFit="1" customWidth="1"/>
    <col min="1914" max="1915" width="9.140625" style="55"/>
    <col min="1916" max="1916" width="10.28515625" style="55" bestFit="1" customWidth="1"/>
    <col min="1917" max="1918" width="9.140625" style="55"/>
    <col min="1919" max="1919" width="10.28515625" style="55" bestFit="1" customWidth="1"/>
    <col min="1920" max="1921" width="9.140625" style="55"/>
    <col min="1922" max="1922" width="10.28515625" style="55" bestFit="1" customWidth="1"/>
    <col min="1923" max="1924" width="9.140625" style="55"/>
    <col min="1925" max="1925" width="10.28515625" style="55" bestFit="1" customWidth="1"/>
    <col min="1926" max="1927" width="9.140625" style="55"/>
    <col min="1928" max="1928" width="10.28515625" style="55" bestFit="1" customWidth="1"/>
    <col min="1929" max="1930" width="9.140625" style="55"/>
    <col min="1931" max="1931" width="10.28515625" style="55" bestFit="1" customWidth="1"/>
    <col min="1932" max="1933" width="9.140625" style="55"/>
    <col min="1934" max="1934" width="10.28515625" style="55" bestFit="1" customWidth="1"/>
    <col min="1935" max="1936" width="9.140625" style="55"/>
    <col min="1937" max="1937" width="10.28515625" style="55" bestFit="1" customWidth="1"/>
    <col min="1938" max="1939" width="9.140625" style="55"/>
    <col min="1940" max="1940" width="10.28515625" style="55" bestFit="1" customWidth="1"/>
    <col min="1941" max="1942" width="9.140625" style="55"/>
    <col min="1943" max="1943" width="10.28515625" style="55" bestFit="1" customWidth="1"/>
    <col min="1944" max="1945" width="9.140625" style="55"/>
    <col min="1946" max="1946" width="10.28515625" style="55" bestFit="1" customWidth="1"/>
    <col min="1947" max="1948" width="9.140625" style="55"/>
    <col min="1949" max="1949" width="10.28515625" style="55" bestFit="1" customWidth="1"/>
    <col min="1950" max="1951" width="9.140625" style="55"/>
    <col min="1952" max="1952" width="10.28515625" style="55" bestFit="1" customWidth="1"/>
    <col min="1953" max="1954" width="9.140625" style="55"/>
    <col min="1955" max="1955" width="10.28515625" style="55" bestFit="1" customWidth="1"/>
    <col min="1956" max="1957" width="9.140625" style="55"/>
    <col min="1958" max="1958" width="10.28515625" style="55" bestFit="1" customWidth="1"/>
    <col min="1959" max="1960" width="9.140625" style="55"/>
    <col min="1961" max="1961" width="10.28515625" style="55" bestFit="1" customWidth="1"/>
    <col min="1962" max="1963" width="9.140625" style="55"/>
    <col min="1964" max="1964" width="10.28515625" style="55" bestFit="1" customWidth="1"/>
    <col min="1965" max="1966" width="9.140625" style="55"/>
    <col min="1967" max="1967" width="10.28515625" style="55" bestFit="1" customWidth="1"/>
    <col min="1968" max="1969" width="9.140625" style="55"/>
    <col min="1970" max="1970" width="10.28515625" style="55" bestFit="1" customWidth="1"/>
    <col min="1971" max="1972" width="9.140625" style="55"/>
    <col min="1973" max="1973" width="10.28515625" style="55" bestFit="1" customWidth="1"/>
    <col min="1974" max="1975" width="9.140625" style="55"/>
    <col min="1976" max="1976" width="10.28515625" style="55" bestFit="1" customWidth="1"/>
    <col min="1977" max="1978" width="9.140625" style="55"/>
    <col min="1979" max="1979" width="10.28515625" style="55" bestFit="1" customWidth="1"/>
    <col min="1980" max="1981" width="9.140625" style="55"/>
    <col min="1982" max="1982" width="10.28515625" style="55" bestFit="1" customWidth="1"/>
    <col min="1983" max="1984" width="9.140625" style="55"/>
    <col min="1985" max="1985" width="10.28515625" style="55" bestFit="1" customWidth="1"/>
    <col min="1986" max="1987" width="9.140625" style="55"/>
    <col min="1988" max="1988" width="10.28515625" style="55" bestFit="1" customWidth="1"/>
    <col min="1989" max="1990" width="9.140625" style="55"/>
    <col min="1991" max="1991" width="10.28515625" style="55" bestFit="1" customWidth="1"/>
    <col min="1992" max="1993" width="9.140625" style="55"/>
    <col min="1994" max="1994" width="10.28515625" style="55" bestFit="1" customWidth="1"/>
    <col min="1995" max="1996" width="9.140625" style="55"/>
    <col min="1997" max="1997" width="10.28515625" style="55" bestFit="1" customWidth="1"/>
    <col min="1998" max="1999" width="9.140625" style="55"/>
    <col min="2000" max="2000" width="10.28515625" style="55" bestFit="1" customWidth="1"/>
    <col min="2001" max="2002" width="9.140625" style="55"/>
    <col min="2003" max="2003" width="10.28515625" style="55" bestFit="1" customWidth="1"/>
    <col min="2004" max="2005" width="9.140625" style="55"/>
    <col min="2006" max="2006" width="10.28515625" style="55" bestFit="1" customWidth="1"/>
    <col min="2007" max="2008" width="9.140625" style="55"/>
    <col min="2009" max="2009" width="10.28515625" style="55" bestFit="1" customWidth="1"/>
    <col min="2010" max="2011" width="9.140625" style="55"/>
    <col min="2012" max="2012" width="10.28515625" style="55" bestFit="1" customWidth="1"/>
    <col min="2013" max="2048" width="9.140625" style="55"/>
    <col min="2049" max="2049" width="6.28515625" style="55" customWidth="1"/>
    <col min="2050" max="2050" width="81.42578125" style="55" customWidth="1"/>
    <col min="2051" max="2051" width="10" style="55" customWidth="1"/>
    <col min="2052" max="2052" width="15.85546875" style="55" customWidth="1"/>
    <col min="2053" max="2053" width="13.5703125" style="55" customWidth="1"/>
    <col min="2054" max="2054" width="12.7109375" style="55" customWidth="1"/>
    <col min="2055" max="2055" width="11.5703125" style="55" customWidth="1"/>
    <col min="2056" max="2056" width="13" style="55" customWidth="1"/>
    <col min="2057" max="2057" width="0" style="55" hidden="1" customWidth="1"/>
    <col min="2058" max="2058" width="11" style="55" customWidth="1"/>
    <col min="2059" max="2059" width="13.42578125" style="55" customWidth="1"/>
    <col min="2060" max="2060" width="12.5703125" style="55" customWidth="1"/>
    <col min="2061" max="2061" width="11.7109375" style="55" customWidth="1"/>
    <col min="2062" max="2062" width="12" style="55" customWidth="1"/>
    <col min="2063" max="2063" width="0" style="55" hidden="1" customWidth="1"/>
    <col min="2064" max="2064" width="13.28515625" style="55" customWidth="1"/>
    <col min="2065" max="2065" width="11.7109375" style="55" customWidth="1"/>
    <col min="2066" max="2066" width="11.42578125" style="55" customWidth="1"/>
    <col min="2067" max="2067" width="13" style="55" customWidth="1"/>
    <col min="2068" max="2068" width="13.42578125" style="55" customWidth="1"/>
    <col min="2069" max="2069" width="0" style="55" hidden="1" customWidth="1"/>
    <col min="2070" max="2070" width="13.28515625" style="55" customWidth="1"/>
    <col min="2071" max="2071" width="13.140625" style="55" customWidth="1"/>
    <col min="2072" max="2072" width="12.140625" style="55" customWidth="1"/>
    <col min="2073" max="2074" width="11.85546875" style="55" customWidth="1"/>
    <col min="2075" max="2075" width="0" style="55" hidden="1" customWidth="1"/>
    <col min="2076" max="2076" width="12.28515625" style="55" bestFit="1" customWidth="1"/>
    <col min="2077" max="2077" width="10.7109375" style="55" customWidth="1"/>
    <col min="2078" max="2078" width="11.85546875" style="55" customWidth="1"/>
    <col min="2079" max="2079" width="13.140625" style="55" customWidth="1"/>
    <col min="2080" max="2080" width="13" style="55" customWidth="1"/>
    <col min="2081" max="2081" width="0" style="55" hidden="1" customWidth="1"/>
    <col min="2082" max="2082" width="11" style="55" customWidth="1"/>
    <col min="2083" max="2083" width="13" style="55" customWidth="1"/>
    <col min="2084" max="2084" width="12.5703125" style="55" customWidth="1"/>
    <col min="2085" max="2085" width="11.85546875" style="55" customWidth="1"/>
    <col min="2086" max="2086" width="12.28515625" style="55" customWidth="1"/>
    <col min="2087" max="2087" width="0" style="55" hidden="1" customWidth="1"/>
    <col min="2088" max="2088" width="12.85546875" style="55" customWidth="1"/>
    <col min="2089" max="2095" width="0" style="55" hidden="1" customWidth="1"/>
    <col min="2096" max="2096" width="60.85546875" style="55" customWidth="1"/>
    <col min="2097" max="2102" width="27.42578125" style="55" customWidth="1"/>
    <col min="2103" max="2105" width="31.28515625" style="55" customWidth="1"/>
    <col min="2106" max="2106" width="27.42578125" style="55" customWidth="1"/>
    <col min="2107" max="2109" width="34.28515625" style="55" customWidth="1"/>
    <col min="2110" max="2113" width="27.42578125" style="55" customWidth="1"/>
    <col min="2114" max="2114" width="39.42578125" style="55" customWidth="1"/>
    <col min="2115" max="2115" width="41.28515625" style="55" customWidth="1"/>
    <col min="2116" max="2127" width="27.42578125" style="55" customWidth="1"/>
    <col min="2128" max="2129" width="9.140625" style="55"/>
    <col min="2130" max="2130" width="10.28515625" style="55" bestFit="1" customWidth="1"/>
    <col min="2131" max="2132" width="9.140625" style="55"/>
    <col min="2133" max="2133" width="10.28515625" style="55" bestFit="1" customWidth="1"/>
    <col min="2134" max="2135" width="9.140625" style="55"/>
    <col min="2136" max="2136" width="10.28515625" style="55" bestFit="1" customWidth="1"/>
    <col min="2137" max="2138" width="9.140625" style="55"/>
    <col min="2139" max="2139" width="10.28515625" style="55" bestFit="1" customWidth="1"/>
    <col min="2140" max="2141" width="9.140625" style="55"/>
    <col min="2142" max="2142" width="10.28515625" style="55" bestFit="1" customWidth="1"/>
    <col min="2143" max="2144" width="9.140625" style="55"/>
    <col min="2145" max="2145" width="10.28515625" style="55" bestFit="1" customWidth="1"/>
    <col min="2146" max="2147" width="9.140625" style="55"/>
    <col min="2148" max="2148" width="10.28515625" style="55" bestFit="1" customWidth="1"/>
    <col min="2149" max="2150" width="9.140625" style="55"/>
    <col min="2151" max="2151" width="10.28515625" style="55" bestFit="1" customWidth="1"/>
    <col min="2152" max="2153" width="9.140625" style="55"/>
    <col min="2154" max="2154" width="10.28515625" style="55" bestFit="1" customWidth="1"/>
    <col min="2155" max="2156" width="9.140625" style="55"/>
    <col min="2157" max="2157" width="10.28515625" style="55" bestFit="1" customWidth="1"/>
    <col min="2158" max="2159" width="9.140625" style="55"/>
    <col min="2160" max="2160" width="10.28515625" style="55" bestFit="1" customWidth="1"/>
    <col min="2161" max="2162" width="9.140625" style="55"/>
    <col min="2163" max="2163" width="10.28515625" style="55" bestFit="1" customWidth="1"/>
    <col min="2164" max="2165" width="9.140625" style="55"/>
    <col min="2166" max="2166" width="10.28515625" style="55" bestFit="1" customWidth="1"/>
    <col min="2167" max="2168" width="9.140625" style="55"/>
    <col min="2169" max="2169" width="10.28515625" style="55" bestFit="1" customWidth="1"/>
    <col min="2170" max="2171" width="9.140625" style="55"/>
    <col min="2172" max="2172" width="10.28515625" style="55" bestFit="1" customWidth="1"/>
    <col min="2173" max="2174" width="9.140625" style="55"/>
    <col min="2175" max="2175" width="10.28515625" style="55" bestFit="1" customWidth="1"/>
    <col min="2176" max="2177" width="9.140625" style="55"/>
    <col min="2178" max="2178" width="10.28515625" style="55" bestFit="1" customWidth="1"/>
    <col min="2179" max="2180" width="9.140625" style="55"/>
    <col min="2181" max="2181" width="10.28515625" style="55" bestFit="1" customWidth="1"/>
    <col min="2182" max="2183" width="9.140625" style="55"/>
    <col min="2184" max="2184" width="10.28515625" style="55" bestFit="1" customWidth="1"/>
    <col min="2185" max="2186" width="9.140625" style="55"/>
    <col min="2187" max="2187" width="10.28515625" style="55" bestFit="1" customWidth="1"/>
    <col min="2188" max="2189" width="9.140625" style="55"/>
    <col min="2190" max="2190" width="10.28515625" style="55" bestFit="1" customWidth="1"/>
    <col min="2191" max="2192" width="9.140625" style="55"/>
    <col min="2193" max="2193" width="10.28515625" style="55" bestFit="1" customWidth="1"/>
    <col min="2194" max="2195" width="9.140625" style="55"/>
    <col min="2196" max="2196" width="10.28515625" style="55" bestFit="1" customWidth="1"/>
    <col min="2197" max="2198" width="9.140625" style="55"/>
    <col min="2199" max="2199" width="10.28515625" style="55" bestFit="1" customWidth="1"/>
    <col min="2200" max="2201" width="9.140625" style="55"/>
    <col min="2202" max="2202" width="10.28515625" style="55" bestFit="1" customWidth="1"/>
    <col min="2203" max="2204" width="9.140625" style="55"/>
    <col min="2205" max="2205" width="10.28515625" style="55" bestFit="1" customWidth="1"/>
    <col min="2206" max="2207" width="9.140625" style="55"/>
    <col min="2208" max="2208" width="10.28515625" style="55" bestFit="1" customWidth="1"/>
    <col min="2209" max="2210" width="9.140625" style="55"/>
    <col min="2211" max="2211" width="10.28515625" style="55" bestFit="1" customWidth="1"/>
    <col min="2212" max="2213" width="9.140625" style="55"/>
    <col min="2214" max="2214" width="10.28515625" style="55" bestFit="1" customWidth="1"/>
    <col min="2215" max="2216" width="9.140625" style="55"/>
    <col min="2217" max="2217" width="10.28515625" style="55" bestFit="1" customWidth="1"/>
    <col min="2218" max="2219" width="9.140625" style="55"/>
    <col min="2220" max="2220" width="10.28515625" style="55" bestFit="1" customWidth="1"/>
    <col min="2221" max="2222" width="9.140625" style="55"/>
    <col min="2223" max="2223" width="10.28515625" style="55" bestFit="1" customWidth="1"/>
    <col min="2224" max="2225" width="9.140625" style="55"/>
    <col min="2226" max="2226" width="10.28515625" style="55" bestFit="1" customWidth="1"/>
    <col min="2227" max="2228" width="9.140625" style="55"/>
    <col min="2229" max="2229" width="10.28515625" style="55" bestFit="1" customWidth="1"/>
    <col min="2230" max="2231" width="9.140625" style="55"/>
    <col min="2232" max="2232" width="10.28515625" style="55" bestFit="1" customWidth="1"/>
    <col min="2233" max="2234" width="9.140625" style="55"/>
    <col min="2235" max="2235" width="10.28515625" style="55" bestFit="1" customWidth="1"/>
    <col min="2236" max="2237" width="9.140625" style="55"/>
    <col min="2238" max="2238" width="10.28515625" style="55" bestFit="1" customWidth="1"/>
    <col min="2239" max="2240" width="9.140625" style="55"/>
    <col min="2241" max="2241" width="10.28515625" style="55" bestFit="1" customWidth="1"/>
    <col min="2242" max="2243" width="9.140625" style="55"/>
    <col min="2244" max="2244" width="10.28515625" style="55" bestFit="1" customWidth="1"/>
    <col min="2245" max="2246" width="9.140625" style="55"/>
    <col min="2247" max="2247" width="10.28515625" style="55" bestFit="1" customWidth="1"/>
    <col min="2248" max="2249" width="9.140625" style="55"/>
    <col min="2250" max="2250" width="10.28515625" style="55" bestFit="1" customWidth="1"/>
    <col min="2251" max="2252" width="9.140625" style="55"/>
    <col min="2253" max="2253" width="10.28515625" style="55" bestFit="1" customWidth="1"/>
    <col min="2254" max="2255" width="9.140625" style="55"/>
    <col min="2256" max="2256" width="10.28515625" style="55" bestFit="1" customWidth="1"/>
    <col min="2257" max="2258" width="9.140625" style="55"/>
    <col min="2259" max="2259" width="10.28515625" style="55" bestFit="1" customWidth="1"/>
    <col min="2260" max="2261" width="9.140625" style="55"/>
    <col min="2262" max="2262" width="10.28515625" style="55" bestFit="1" customWidth="1"/>
    <col min="2263" max="2264" width="9.140625" style="55"/>
    <col min="2265" max="2265" width="10.28515625" style="55" bestFit="1" customWidth="1"/>
    <col min="2266" max="2267" width="9.140625" style="55"/>
    <col min="2268" max="2268" width="10.28515625" style="55" bestFit="1" customWidth="1"/>
    <col min="2269" max="2304" width="9.140625" style="55"/>
    <col min="2305" max="2305" width="6.28515625" style="55" customWidth="1"/>
    <col min="2306" max="2306" width="81.42578125" style="55" customWidth="1"/>
    <col min="2307" max="2307" width="10" style="55" customWidth="1"/>
    <col min="2308" max="2308" width="15.85546875" style="55" customWidth="1"/>
    <col min="2309" max="2309" width="13.5703125" style="55" customWidth="1"/>
    <col min="2310" max="2310" width="12.7109375" style="55" customWidth="1"/>
    <col min="2311" max="2311" width="11.5703125" style="55" customWidth="1"/>
    <col min="2312" max="2312" width="13" style="55" customWidth="1"/>
    <col min="2313" max="2313" width="0" style="55" hidden="1" customWidth="1"/>
    <col min="2314" max="2314" width="11" style="55" customWidth="1"/>
    <col min="2315" max="2315" width="13.42578125" style="55" customWidth="1"/>
    <col min="2316" max="2316" width="12.5703125" style="55" customWidth="1"/>
    <col min="2317" max="2317" width="11.7109375" style="55" customWidth="1"/>
    <col min="2318" max="2318" width="12" style="55" customWidth="1"/>
    <col min="2319" max="2319" width="0" style="55" hidden="1" customWidth="1"/>
    <col min="2320" max="2320" width="13.28515625" style="55" customWidth="1"/>
    <col min="2321" max="2321" width="11.7109375" style="55" customWidth="1"/>
    <col min="2322" max="2322" width="11.42578125" style="55" customWidth="1"/>
    <col min="2323" max="2323" width="13" style="55" customWidth="1"/>
    <col min="2324" max="2324" width="13.42578125" style="55" customWidth="1"/>
    <col min="2325" max="2325" width="0" style="55" hidden="1" customWidth="1"/>
    <col min="2326" max="2326" width="13.28515625" style="55" customWidth="1"/>
    <col min="2327" max="2327" width="13.140625" style="55" customWidth="1"/>
    <col min="2328" max="2328" width="12.140625" style="55" customWidth="1"/>
    <col min="2329" max="2330" width="11.85546875" style="55" customWidth="1"/>
    <col min="2331" max="2331" width="0" style="55" hidden="1" customWidth="1"/>
    <col min="2332" max="2332" width="12.28515625" style="55" bestFit="1" customWidth="1"/>
    <col min="2333" max="2333" width="10.7109375" style="55" customWidth="1"/>
    <col min="2334" max="2334" width="11.85546875" style="55" customWidth="1"/>
    <col min="2335" max="2335" width="13.140625" style="55" customWidth="1"/>
    <col min="2336" max="2336" width="13" style="55" customWidth="1"/>
    <col min="2337" max="2337" width="0" style="55" hidden="1" customWidth="1"/>
    <col min="2338" max="2338" width="11" style="55" customWidth="1"/>
    <col min="2339" max="2339" width="13" style="55" customWidth="1"/>
    <col min="2340" max="2340" width="12.5703125" style="55" customWidth="1"/>
    <col min="2341" max="2341" width="11.85546875" style="55" customWidth="1"/>
    <col min="2342" max="2342" width="12.28515625" style="55" customWidth="1"/>
    <col min="2343" max="2343" width="0" style="55" hidden="1" customWidth="1"/>
    <col min="2344" max="2344" width="12.85546875" style="55" customWidth="1"/>
    <col min="2345" max="2351" width="0" style="55" hidden="1" customWidth="1"/>
    <col min="2352" max="2352" width="60.85546875" style="55" customWidth="1"/>
    <col min="2353" max="2358" width="27.42578125" style="55" customWidth="1"/>
    <col min="2359" max="2361" width="31.28515625" style="55" customWidth="1"/>
    <col min="2362" max="2362" width="27.42578125" style="55" customWidth="1"/>
    <col min="2363" max="2365" width="34.28515625" style="55" customWidth="1"/>
    <col min="2366" max="2369" width="27.42578125" style="55" customWidth="1"/>
    <col min="2370" max="2370" width="39.42578125" style="55" customWidth="1"/>
    <col min="2371" max="2371" width="41.28515625" style="55" customWidth="1"/>
    <col min="2372" max="2383" width="27.42578125" style="55" customWidth="1"/>
    <col min="2384" max="2385" width="9.140625" style="55"/>
    <col min="2386" max="2386" width="10.28515625" style="55" bestFit="1" customWidth="1"/>
    <col min="2387" max="2388" width="9.140625" style="55"/>
    <col min="2389" max="2389" width="10.28515625" style="55" bestFit="1" customWidth="1"/>
    <col min="2390" max="2391" width="9.140625" style="55"/>
    <col min="2392" max="2392" width="10.28515625" style="55" bestFit="1" customWidth="1"/>
    <col min="2393" max="2394" width="9.140625" style="55"/>
    <col min="2395" max="2395" width="10.28515625" style="55" bestFit="1" customWidth="1"/>
    <col min="2396" max="2397" width="9.140625" style="55"/>
    <col min="2398" max="2398" width="10.28515625" style="55" bestFit="1" customWidth="1"/>
    <col min="2399" max="2400" width="9.140625" style="55"/>
    <col min="2401" max="2401" width="10.28515625" style="55" bestFit="1" customWidth="1"/>
    <col min="2402" max="2403" width="9.140625" style="55"/>
    <col min="2404" max="2404" width="10.28515625" style="55" bestFit="1" customWidth="1"/>
    <col min="2405" max="2406" width="9.140625" style="55"/>
    <col min="2407" max="2407" width="10.28515625" style="55" bestFit="1" customWidth="1"/>
    <col min="2408" max="2409" width="9.140625" style="55"/>
    <col min="2410" max="2410" width="10.28515625" style="55" bestFit="1" customWidth="1"/>
    <col min="2411" max="2412" width="9.140625" style="55"/>
    <col min="2413" max="2413" width="10.28515625" style="55" bestFit="1" customWidth="1"/>
    <col min="2414" max="2415" width="9.140625" style="55"/>
    <col min="2416" max="2416" width="10.28515625" style="55" bestFit="1" customWidth="1"/>
    <col min="2417" max="2418" width="9.140625" style="55"/>
    <col min="2419" max="2419" width="10.28515625" style="55" bestFit="1" customWidth="1"/>
    <col min="2420" max="2421" width="9.140625" style="55"/>
    <col min="2422" max="2422" width="10.28515625" style="55" bestFit="1" customWidth="1"/>
    <col min="2423" max="2424" width="9.140625" style="55"/>
    <col min="2425" max="2425" width="10.28515625" style="55" bestFit="1" customWidth="1"/>
    <col min="2426" max="2427" width="9.140625" style="55"/>
    <col min="2428" max="2428" width="10.28515625" style="55" bestFit="1" customWidth="1"/>
    <col min="2429" max="2430" width="9.140625" style="55"/>
    <col min="2431" max="2431" width="10.28515625" style="55" bestFit="1" customWidth="1"/>
    <col min="2432" max="2433" width="9.140625" style="55"/>
    <col min="2434" max="2434" width="10.28515625" style="55" bestFit="1" customWidth="1"/>
    <col min="2435" max="2436" width="9.140625" style="55"/>
    <col min="2437" max="2437" width="10.28515625" style="55" bestFit="1" customWidth="1"/>
    <col min="2438" max="2439" width="9.140625" style="55"/>
    <col min="2440" max="2440" width="10.28515625" style="55" bestFit="1" customWidth="1"/>
    <col min="2441" max="2442" width="9.140625" style="55"/>
    <col min="2443" max="2443" width="10.28515625" style="55" bestFit="1" customWidth="1"/>
    <col min="2444" max="2445" width="9.140625" style="55"/>
    <col min="2446" max="2446" width="10.28515625" style="55" bestFit="1" customWidth="1"/>
    <col min="2447" max="2448" width="9.140625" style="55"/>
    <col min="2449" max="2449" width="10.28515625" style="55" bestFit="1" customWidth="1"/>
    <col min="2450" max="2451" width="9.140625" style="55"/>
    <col min="2452" max="2452" width="10.28515625" style="55" bestFit="1" customWidth="1"/>
    <col min="2453" max="2454" width="9.140625" style="55"/>
    <col min="2455" max="2455" width="10.28515625" style="55" bestFit="1" customWidth="1"/>
    <col min="2456" max="2457" width="9.140625" style="55"/>
    <col min="2458" max="2458" width="10.28515625" style="55" bestFit="1" customWidth="1"/>
    <col min="2459" max="2460" width="9.140625" style="55"/>
    <col min="2461" max="2461" width="10.28515625" style="55" bestFit="1" customWidth="1"/>
    <col min="2462" max="2463" width="9.140625" style="55"/>
    <col min="2464" max="2464" width="10.28515625" style="55" bestFit="1" customWidth="1"/>
    <col min="2465" max="2466" width="9.140625" style="55"/>
    <col min="2467" max="2467" width="10.28515625" style="55" bestFit="1" customWidth="1"/>
    <col min="2468" max="2469" width="9.140625" style="55"/>
    <col min="2470" max="2470" width="10.28515625" style="55" bestFit="1" customWidth="1"/>
    <col min="2471" max="2472" width="9.140625" style="55"/>
    <col min="2473" max="2473" width="10.28515625" style="55" bestFit="1" customWidth="1"/>
    <col min="2474" max="2475" width="9.140625" style="55"/>
    <col min="2476" max="2476" width="10.28515625" style="55" bestFit="1" customWidth="1"/>
    <col min="2477" max="2478" width="9.140625" style="55"/>
    <col min="2479" max="2479" width="10.28515625" style="55" bestFit="1" customWidth="1"/>
    <col min="2480" max="2481" width="9.140625" style="55"/>
    <col min="2482" max="2482" width="10.28515625" style="55" bestFit="1" customWidth="1"/>
    <col min="2483" max="2484" width="9.140625" style="55"/>
    <col min="2485" max="2485" width="10.28515625" style="55" bestFit="1" customWidth="1"/>
    <col min="2486" max="2487" width="9.140625" style="55"/>
    <col min="2488" max="2488" width="10.28515625" style="55" bestFit="1" customWidth="1"/>
    <col min="2489" max="2490" width="9.140625" style="55"/>
    <col min="2491" max="2491" width="10.28515625" style="55" bestFit="1" customWidth="1"/>
    <col min="2492" max="2493" width="9.140625" style="55"/>
    <col min="2494" max="2494" width="10.28515625" style="55" bestFit="1" customWidth="1"/>
    <col min="2495" max="2496" width="9.140625" style="55"/>
    <col min="2497" max="2497" width="10.28515625" style="55" bestFit="1" customWidth="1"/>
    <col min="2498" max="2499" width="9.140625" style="55"/>
    <col min="2500" max="2500" width="10.28515625" style="55" bestFit="1" customWidth="1"/>
    <col min="2501" max="2502" width="9.140625" style="55"/>
    <col min="2503" max="2503" width="10.28515625" style="55" bestFit="1" customWidth="1"/>
    <col min="2504" max="2505" width="9.140625" style="55"/>
    <col min="2506" max="2506" width="10.28515625" style="55" bestFit="1" customWidth="1"/>
    <col min="2507" max="2508" width="9.140625" style="55"/>
    <col min="2509" max="2509" width="10.28515625" style="55" bestFit="1" customWidth="1"/>
    <col min="2510" max="2511" width="9.140625" style="55"/>
    <col min="2512" max="2512" width="10.28515625" style="55" bestFit="1" customWidth="1"/>
    <col min="2513" max="2514" width="9.140625" style="55"/>
    <col min="2515" max="2515" width="10.28515625" style="55" bestFit="1" customWidth="1"/>
    <col min="2516" max="2517" width="9.140625" style="55"/>
    <col min="2518" max="2518" width="10.28515625" style="55" bestFit="1" customWidth="1"/>
    <col min="2519" max="2520" width="9.140625" style="55"/>
    <col min="2521" max="2521" width="10.28515625" style="55" bestFit="1" customWidth="1"/>
    <col min="2522" max="2523" width="9.140625" style="55"/>
    <col min="2524" max="2524" width="10.28515625" style="55" bestFit="1" customWidth="1"/>
    <col min="2525" max="2560" width="9.140625" style="55"/>
    <col min="2561" max="2561" width="6.28515625" style="55" customWidth="1"/>
    <col min="2562" max="2562" width="81.42578125" style="55" customWidth="1"/>
    <col min="2563" max="2563" width="10" style="55" customWidth="1"/>
    <col min="2564" max="2564" width="15.85546875" style="55" customWidth="1"/>
    <col min="2565" max="2565" width="13.5703125" style="55" customWidth="1"/>
    <col min="2566" max="2566" width="12.7109375" style="55" customWidth="1"/>
    <col min="2567" max="2567" width="11.5703125" style="55" customWidth="1"/>
    <col min="2568" max="2568" width="13" style="55" customWidth="1"/>
    <col min="2569" max="2569" width="0" style="55" hidden="1" customWidth="1"/>
    <col min="2570" max="2570" width="11" style="55" customWidth="1"/>
    <col min="2571" max="2571" width="13.42578125" style="55" customWidth="1"/>
    <col min="2572" max="2572" width="12.5703125" style="55" customWidth="1"/>
    <col min="2573" max="2573" width="11.7109375" style="55" customWidth="1"/>
    <col min="2574" max="2574" width="12" style="55" customWidth="1"/>
    <col min="2575" max="2575" width="0" style="55" hidden="1" customWidth="1"/>
    <col min="2576" max="2576" width="13.28515625" style="55" customWidth="1"/>
    <col min="2577" max="2577" width="11.7109375" style="55" customWidth="1"/>
    <col min="2578" max="2578" width="11.42578125" style="55" customWidth="1"/>
    <col min="2579" max="2579" width="13" style="55" customWidth="1"/>
    <col min="2580" max="2580" width="13.42578125" style="55" customWidth="1"/>
    <col min="2581" max="2581" width="0" style="55" hidden="1" customWidth="1"/>
    <col min="2582" max="2582" width="13.28515625" style="55" customWidth="1"/>
    <col min="2583" max="2583" width="13.140625" style="55" customWidth="1"/>
    <col min="2584" max="2584" width="12.140625" style="55" customWidth="1"/>
    <col min="2585" max="2586" width="11.85546875" style="55" customWidth="1"/>
    <col min="2587" max="2587" width="0" style="55" hidden="1" customWidth="1"/>
    <col min="2588" max="2588" width="12.28515625" style="55" bestFit="1" customWidth="1"/>
    <col min="2589" max="2589" width="10.7109375" style="55" customWidth="1"/>
    <col min="2590" max="2590" width="11.85546875" style="55" customWidth="1"/>
    <col min="2591" max="2591" width="13.140625" style="55" customWidth="1"/>
    <col min="2592" max="2592" width="13" style="55" customWidth="1"/>
    <col min="2593" max="2593" width="0" style="55" hidden="1" customWidth="1"/>
    <col min="2594" max="2594" width="11" style="55" customWidth="1"/>
    <col min="2595" max="2595" width="13" style="55" customWidth="1"/>
    <col min="2596" max="2596" width="12.5703125" style="55" customWidth="1"/>
    <col min="2597" max="2597" width="11.85546875" style="55" customWidth="1"/>
    <col min="2598" max="2598" width="12.28515625" style="55" customWidth="1"/>
    <col min="2599" max="2599" width="0" style="55" hidden="1" customWidth="1"/>
    <col min="2600" max="2600" width="12.85546875" style="55" customWidth="1"/>
    <col min="2601" max="2607" width="0" style="55" hidden="1" customWidth="1"/>
    <col min="2608" max="2608" width="60.85546875" style="55" customWidth="1"/>
    <col min="2609" max="2614" width="27.42578125" style="55" customWidth="1"/>
    <col min="2615" max="2617" width="31.28515625" style="55" customWidth="1"/>
    <col min="2618" max="2618" width="27.42578125" style="55" customWidth="1"/>
    <col min="2619" max="2621" width="34.28515625" style="55" customWidth="1"/>
    <col min="2622" max="2625" width="27.42578125" style="55" customWidth="1"/>
    <col min="2626" max="2626" width="39.42578125" style="55" customWidth="1"/>
    <col min="2627" max="2627" width="41.28515625" style="55" customWidth="1"/>
    <col min="2628" max="2639" width="27.42578125" style="55" customWidth="1"/>
    <col min="2640" max="2641" width="9.140625" style="55"/>
    <col min="2642" max="2642" width="10.28515625" style="55" bestFit="1" customWidth="1"/>
    <col min="2643" max="2644" width="9.140625" style="55"/>
    <col min="2645" max="2645" width="10.28515625" style="55" bestFit="1" customWidth="1"/>
    <col min="2646" max="2647" width="9.140625" style="55"/>
    <col min="2648" max="2648" width="10.28515625" style="55" bestFit="1" customWidth="1"/>
    <col min="2649" max="2650" width="9.140625" style="55"/>
    <col min="2651" max="2651" width="10.28515625" style="55" bestFit="1" customWidth="1"/>
    <col min="2652" max="2653" width="9.140625" style="55"/>
    <col min="2654" max="2654" width="10.28515625" style="55" bestFit="1" customWidth="1"/>
    <col min="2655" max="2656" width="9.140625" style="55"/>
    <col min="2657" max="2657" width="10.28515625" style="55" bestFit="1" customWidth="1"/>
    <col min="2658" max="2659" width="9.140625" style="55"/>
    <col min="2660" max="2660" width="10.28515625" style="55" bestFit="1" customWidth="1"/>
    <col min="2661" max="2662" width="9.140625" style="55"/>
    <col min="2663" max="2663" width="10.28515625" style="55" bestFit="1" customWidth="1"/>
    <col min="2664" max="2665" width="9.140625" style="55"/>
    <col min="2666" max="2666" width="10.28515625" style="55" bestFit="1" customWidth="1"/>
    <col min="2667" max="2668" width="9.140625" style="55"/>
    <col min="2669" max="2669" width="10.28515625" style="55" bestFit="1" customWidth="1"/>
    <col min="2670" max="2671" width="9.140625" style="55"/>
    <col min="2672" max="2672" width="10.28515625" style="55" bestFit="1" customWidth="1"/>
    <col min="2673" max="2674" width="9.140625" style="55"/>
    <col min="2675" max="2675" width="10.28515625" style="55" bestFit="1" customWidth="1"/>
    <col min="2676" max="2677" width="9.140625" style="55"/>
    <col min="2678" max="2678" width="10.28515625" style="55" bestFit="1" customWidth="1"/>
    <col min="2679" max="2680" width="9.140625" style="55"/>
    <col min="2681" max="2681" width="10.28515625" style="55" bestFit="1" customWidth="1"/>
    <col min="2682" max="2683" width="9.140625" style="55"/>
    <col min="2684" max="2684" width="10.28515625" style="55" bestFit="1" customWidth="1"/>
    <col min="2685" max="2686" width="9.140625" style="55"/>
    <col min="2687" max="2687" width="10.28515625" style="55" bestFit="1" customWidth="1"/>
    <col min="2688" max="2689" width="9.140625" style="55"/>
    <col min="2690" max="2690" width="10.28515625" style="55" bestFit="1" customWidth="1"/>
    <col min="2691" max="2692" width="9.140625" style="55"/>
    <col min="2693" max="2693" width="10.28515625" style="55" bestFit="1" customWidth="1"/>
    <col min="2694" max="2695" width="9.140625" style="55"/>
    <col min="2696" max="2696" width="10.28515625" style="55" bestFit="1" customWidth="1"/>
    <col min="2697" max="2698" width="9.140625" style="55"/>
    <col min="2699" max="2699" width="10.28515625" style="55" bestFit="1" customWidth="1"/>
    <col min="2700" max="2701" width="9.140625" style="55"/>
    <col min="2702" max="2702" width="10.28515625" style="55" bestFit="1" customWidth="1"/>
    <col min="2703" max="2704" width="9.140625" style="55"/>
    <col min="2705" max="2705" width="10.28515625" style="55" bestFit="1" customWidth="1"/>
    <col min="2706" max="2707" width="9.140625" style="55"/>
    <col min="2708" max="2708" width="10.28515625" style="55" bestFit="1" customWidth="1"/>
    <col min="2709" max="2710" width="9.140625" style="55"/>
    <col min="2711" max="2711" width="10.28515625" style="55" bestFit="1" customWidth="1"/>
    <col min="2712" max="2713" width="9.140625" style="55"/>
    <col min="2714" max="2714" width="10.28515625" style="55" bestFit="1" customWidth="1"/>
    <col min="2715" max="2716" width="9.140625" style="55"/>
    <col min="2717" max="2717" width="10.28515625" style="55" bestFit="1" customWidth="1"/>
    <col min="2718" max="2719" width="9.140625" style="55"/>
    <col min="2720" max="2720" width="10.28515625" style="55" bestFit="1" customWidth="1"/>
    <col min="2721" max="2722" width="9.140625" style="55"/>
    <col min="2723" max="2723" width="10.28515625" style="55" bestFit="1" customWidth="1"/>
    <col min="2724" max="2725" width="9.140625" style="55"/>
    <col min="2726" max="2726" width="10.28515625" style="55" bestFit="1" customWidth="1"/>
    <col min="2727" max="2728" width="9.140625" style="55"/>
    <col min="2729" max="2729" width="10.28515625" style="55" bestFit="1" customWidth="1"/>
    <col min="2730" max="2731" width="9.140625" style="55"/>
    <col min="2732" max="2732" width="10.28515625" style="55" bestFit="1" customWidth="1"/>
    <col min="2733" max="2734" width="9.140625" style="55"/>
    <col min="2735" max="2735" width="10.28515625" style="55" bestFit="1" customWidth="1"/>
    <col min="2736" max="2737" width="9.140625" style="55"/>
    <col min="2738" max="2738" width="10.28515625" style="55" bestFit="1" customWidth="1"/>
    <col min="2739" max="2740" width="9.140625" style="55"/>
    <col min="2741" max="2741" width="10.28515625" style="55" bestFit="1" customWidth="1"/>
    <col min="2742" max="2743" width="9.140625" style="55"/>
    <col min="2744" max="2744" width="10.28515625" style="55" bestFit="1" customWidth="1"/>
    <col min="2745" max="2746" width="9.140625" style="55"/>
    <col min="2747" max="2747" width="10.28515625" style="55" bestFit="1" customWidth="1"/>
    <col min="2748" max="2749" width="9.140625" style="55"/>
    <col min="2750" max="2750" width="10.28515625" style="55" bestFit="1" customWidth="1"/>
    <col min="2751" max="2752" width="9.140625" style="55"/>
    <col min="2753" max="2753" width="10.28515625" style="55" bestFit="1" customWidth="1"/>
    <col min="2754" max="2755" width="9.140625" style="55"/>
    <col min="2756" max="2756" width="10.28515625" style="55" bestFit="1" customWidth="1"/>
    <col min="2757" max="2758" width="9.140625" style="55"/>
    <col min="2759" max="2759" width="10.28515625" style="55" bestFit="1" customWidth="1"/>
    <col min="2760" max="2761" width="9.140625" style="55"/>
    <col min="2762" max="2762" width="10.28515625" style="55" bestFit="1" customWidth="1"/>
    <col min="2763" max="2764" width="9.140625" style="55"/>
    <col min="2765" max="2765" width="10.28515625" style="55" bestFit="1" customWidth="1"/>
    <col min="2766" max="2767" width="9.140625" style="55"/>
    <col min="2768" max="2768" width="10.28515625" style="55" bestFit="1" customWidth="1"/>
    <col min="2769" max="2770" width="9.140625" style="55"/>
    <col min="2771" max="2771" width="10.28515625" style="55" bestFit="1" customWidth="1"/>
    <col min="2772" max="2773" width="9.140625" style="55"/>
    <col min="2774" max="2774" width="10.28515625" style="55" bestFit="1" customWidth="1"/>
    <col min="2775" max="2776" width="9.140625" style="55"/>
    <col min="2777" max="2777" width="10.28515625" style="55" bestFit="1" customWidth="1"/>
    <col min="2778" max="2779" width="9.140625" style="55"/>
    <col min="2780" max="2780" width="10.28515625" style="55" bestFit="1" customWidth="1"/>
    <col min="2781" max="2816" width="9.140625" style="55"/>
    <col min="2817" max="2817" width="6.28515625" style="55" customWidth="1"/>
    <col min="2818" max="2818" width="81.42578125" style="55" customWidth="1"/>
    <col min="2819" max="2819" width="10" style="55" customWidth="1"/>
    <col min="2820" max="2820" width="15.85546875" style="55" customWidth="1"/>
    <col min="2821" max="2821" width="13.5703125" style="55" customWidth="1"/>
    <col min="2822" max="2822" width="12.7109375" style="55" customWidth="1"/>
    <col min="2823" max="2823" width="11.5703125" style="55" customWidth="1"/>
    <col min="2824" max="2824" width="13" style="55" customWidth="1"/>
    <col min="2825" max="2825" width="0" style="55" hidden="1" customWidth="1"/>
    <col min="2826" max="2826" width="11" style="55" customWidth="1"/>
    <col min="2827" max="2827" width="13.42578125" style="55" customWidth="1"/>
    <col min="2828" max="2828" width="12.5703125" style="55" customWidth="1"/>
    <col min="2829" max="2829" width="11.7109375" style="55" customWidth="1"/>
    <col min="2830" max="2830" width="12" style="55" customWidth="1"/>
    <col min="2831" max="2831" width="0" style="55" hidden="1" customWidth="1"/>
    <col min="2832" max="2832" width="13.28515625" style="55" customWidth="1"/>
    <col min="2833" max="2833" width="11.7109375" style="55" customWidth="1"/>
    <col min="2834" max="2834" width="11.42578125" style="55" customWidth="1"/>
    <col min="2835" max="2835" width="13" style="55" customWidth="1"/>
    <col min="2836" max="2836" width="13.42578125" style="55" customWidth="1"/>
    <col min="2837" max="2837" width="0" style="55" hidden="1" customWidth="1"/>
    <col min="2838" max="2838" width="13.28515625" style="55" customWidth="1"/>
    <col min="2839" max="2839" width="13.140625" style="55" customWidth="1"/>
    <col min="2840" max="2840" width="12.140625" style="55" customWidth="1"/>
    <col min="2841" max="2842" width="11.85546875" style="55" customWidth="1"/>
    <col min="2843" max="2843" width="0" style="55" hidden="1" customWidth="1"/>
    <col min="2844" max="2844" width="12.28515625" style="55" bestFit="1" customWidth="1"/>
    <col min="2845" max="2845" width="10.7109375" style="55" customWidth="1"/>
    <col min="2846" max="2846" width="11.85546875" style="55" customWidth="1"/>
    <col min="2847" max="2847" width="13.140625" style="55" customWidth="1"/>
    <col min="2848" max="2848" width="13" style="55" customWidth="1"/>
    <col min="2849" max="2849" width="0" style="55" hidden="1" customWidth="1"/>
    <col min="2850" max="2850" width="11" style="55" customWidth="1"/>
    <col min="2851" max="2851" width="13" style="55" customWidth="1"/>
    <col min="2852" max="2852" width="12.5703125" style="55" customWidth="1"/>
    <col min="2853" max="2853" width="11.85546875" style="55" customWidth="1"/>
    <col min="2854" max="2854" width="12.28515625" style="55" customWidth="1"/>
    <col min="2855" max="2855" width="0" style="55" hidden="1" customWidth="1"/>
    <col min="2856" max="2856" width="12.85546875" style="55" customWidth="1"/>
    <col min="2857" max="2863" width="0" style="55" hidden="1" customWidth="1"/>
    <col min="2864" max="2864" width="60.85546875" style="55" customWidth="1"/>
    <col min="2865" max="2870" width="27.42578125" style="55" customWidth="1"/>
    <col min="2871" max="2873" width="31.28515625" style="55" customWidth="1"/>
    <col min="2874" max="2874" width="27.42578125" style="55" customWidth="1"/>
    <col min="2875" max="2877" width="34.28515625" style="55" customWidth="1"/>
    <col min="2878" max="2881" width="27.42578125" style="55" customWidth="1"/>
    <col min="2882" max="2882" width="39.42578125" style="55" customWidth="1"/>
    <col min="2883" max="2883" width="41.28515625" style="55" customWidth="1"/>
    <col min="2884" max="2895" width="27.42578125" style="55" customWidth="1"/>
    <col min="2896" max="2897" width="9.140625" style="55"/>
    <col min="2898" max="2898" width="10.28515625" style="55" bestFit="1" customWidth="1"/>
    <col min="2899" max="2900" width="9.140625" style="55"/>
    <col min="2901" max="2901" width="10.28515625" style="55" bestFit="1" customWidth="1"/>
    <col min="2902" max="2903" width="9.140625" style="55"/>
    <col min="2904" max="2904" width="10.28515625" style="55" bestFit="1" customWidth="1"/>
    <col min="2905" max="2906" width="9.140625" style="55"/>
    <col min="2907" max="2907" width="10.28515625" style="55" bestFit="1" customWidth="1"/>
    <col min="2908" max="2909" width="9.140625" style="55"/>
    <col min="2910" max="2910" width="10.28515625" style="55" bestFit="1" customWidth="1"/>
    <col min="2911" max="2912" width="9.140625" style="55"/>
    <col min="2913" max="2913" width="10.28515625" style="55" bestFit="1" customWidth="1"/>
    <col min="2914" max="2915" width="9.140625" style="55"/>
    <col min="2916" max="2916" width="10.28515625" style="55" bestFit="1" customWidth="1"/>
    <col min="2917" max="2918" width="9.140625" style="55"/>
    <col min="2919" max="2919" width="10.28515625" style="55" bestFit="1" customWidth="1"/>
    <col min="2920" max="2921" width="9.140625" style="55"/>
    <col min="2922" max="2922" width="10.28515625" style="55" bestFit="1" customWidth="1"/>
    <col min="2923" max="2924" width="9.140625" style="55"/>
    <col min="2925" max="2925" width="10.28515625" style="55" bestFit="1" customWidth="1"/>
    <col min="2926" max="2927" width="9.140625" style="55"/>
    <col min="2928" max="2928" width="10.28515625" style="55" bestFit="1" customWidth="1"/>
    <col min="2929" max="2930" width="9.140625" style="55"/>
    <col min="2931" max="2931" width="10.28515625" style="55" bestFit="1" customWidth="1"/>
    <col min="2932" max="2933" width="9.140625" style="55"/>
    <col min="2934" max="2934" width="10.28515625" style="55" bestFit="1" customWidth="1"/>
    <col min="2935" max="2936" width="9.140625" style="55"/>
    <col min="2937" max="2937" width="10.28515625" style="55" bestFit="1" customWidth="1"/>
    <col min="2938" max="2939" width="9.140625" style="55"/>
    <col min="2940" max="2940" width="10.28515625" style="55" bestFit="1" customWidth="1"/>
    <col min="2941" max="2942" width="9.140625" style="55"/>
    <col min="2943" max="2943" width="10.28515625" style="55" bestFit="1" customWidth="1"/>
    <col min="2944" max="2945" width="9.140625" style="55"/>
    <col min="2946" max="2946" width="10.28515625" style="55" bestFit="1" customWidth="1"/>
    <col min="2947" max="2948" width="9.140625" style="55"/>
    <col min="2949" max="2949" width="10.28515625" style="55" bestFit="1" customWidth="1"/>
    <col min="2950" max="2951" width="9.140625" style="55"/>
    <col min="2952" max="2952" width="10.28515625" style="55" bestFit="1" customWidth="1"/>
    <col min="2953" max="2954" width="9.140625" style="55"/>
    <col min="2955" max="2955" width="10.28515625" style="55" bestFit="1" customWidth="1"/>
    <col min="2956" max="2957" width="9.140625" style="55"/>
    <col min="2958" max="2958" width="10.28515625" style="55" bestFit="1" customWidth="1"/>
    <col min="2959" max="2960" width="9.140625" style="55"/>
    <col min="2961" max="2961" width="10.28515625" style="55" bestFit="1" customWidth="1"/>
    <col min="2962" max="2963" width="9.140625" style="55"/>
    <col min="2964" max="2964" width="10.28515625" style="55" bestFit="1" customWidth="1"/>
    <col min="2965" max="2966" width="9.140625" style="55"/>
    <col min="2967" max="2967" width="10.28515625" style="55" bestFit="1" customWidth="1"/>
    <col min="2968" max="2969" width="9.140625" style="55"/>
    <col min="2970" max="2970" width="10.28515625" style="55" bestFit="1" customWidth="1"/>
    <col min="2971" max="2972" width="9.140625" style="55"/>
    <col min="2973" max="2973" width="10.28515625" style="55" bestFit="1" customWidth="1"/>
    <col min="2974" max="2975" width="9.140625" style="55"/>
    <col min="2976" max="2976" width="10.28515625" style="55" bestFit="1" customWidth="1"/>
    <col min="2977" max="2978" width="9.140625" style="55"/>
    <col min="2979" max="2979" width="10.28515625" style="55" bestFit="1" customWidth="1"/>
    <col min="2980" max="2981" width="9.140625" style="55"/>
    <col min="2982" max="2982" width="10.28515625" style="55" bestFit="1" customWidth="1"/>
    <col min="2983" max="2984" width="9.140625" style="55"/>
    <col min="2985" max="2985" width="10.28515625" style="55" bestFit="1" customWidth="1"/>
    <col min="2986" max="2987" width="9.140625" style="55"/>
    <col min="2988" max="2988" width="10.28515625" style="55" bestFit="1" customWidth="1"/>
    <col min="2989" max="2990" width="9.140625" style="55"/>
    <col min="2991" max="2991" width="10.28515625" style="55" bestFit="1" customWidth="1"/>
    <col min="2992" max="2993" width="9.140625" style="55"/>
    <col min="2994" max="2994" width="10.28515625" style="55" bestFit="1" customWidth="1"/>
    <col min="2995" max="2996" width="9.140625" style="55"/>
    <col min="2997" max="2997" width="10.28515625" style="55" bestFit="1" customWidth="1"/>
    <col min="2998" max="2999" width="9.140625" style="55"/>
    <col min="3000" max="3000" width="10.28515625" style="55" bestFit="1" customWidth="1"/>
    <col min="3001" max="3002" width="9.140625" style="55"/>
    <col min="3003" max="3003" width="10.28515625" style="55" bestFit="1" customWidth="1"/>
    <col min="3004" max="3005" width="9.140625" style="55"/>
    <col min="3006" max="3006" width="10.28515625" style="55" bestFit="1" customWidth="1"/>
    <col min="3007" max="3008" width="9.140625" style="55"/>
    <col min="3009" max="3009" width="10.28515625" style="55" bestFit="1" customWidth="1"/>
    <col min="3010" max="3011" width="9.140625" style="55"/>
    <col min="3012" max="3012" width="10.28515625" style="55" bestFit="1" customWidth="1"/>
    <col min="3013" max="3014" width="9.140625" style="55"/>
    <col min="3015" max="3015" width="10.28515625" style="55" bestFit="1" customWidth="1"/>
    <col min="3016" max="3017" width="9.140625" style="55"/>
    <col min="3018" max="3018" width="10.28515625" style="55" bestFit="1" customWidth="1"/>
    <col min="3019" max="3020" width="9.140625" style="55"/>
    <col min="3021" max="3021" width="10.28515625" style="55" bestFit="1" customWidth="1"/>
    <col min="3022" max="3023" width="9.140625" style="55"/>
    <col min="3024" max="3024" width="10.28515625" style="55" bestFit="1" customWidth="1"/>
    <col min="3025" max="3026" width="9.140625" style="55"/>
    <col min="3027" max="3027" width="10.28515625" style="55" bestFit="1" customWidth="1"/>
    <col min="3028" max="3029" width="9.140625" style="55"/>
    <col min="3030" max="3030" width="10.28515625" style="55" bestFit="1" customWidth="1"/>
    <col min="3031" max="3032" width="9.140625" style="55"/>
    <col min="3033" max="3033" width="10.28515625" style="55" bestFit="1" customWidth="1"/>
    <col min="3034" max="3035" width="9.140625" style="55"/>
    <col min="3036" max="3036" width="10.28515625" style="55" bestFit="1" customWidth="1"/>
    <col min="3037" max="3072" width="9.140625" style="55"/>
    <col min="3073" max="3073" width="6.28515625" style="55" customWidth="1"/>
    <col min="3074" max="3074" width="81.42578125" style="55" customWidth="1"/>
    <col min="3075" max="3075" width="10" style="55" customWidth="1"/>
    <col min="3076" max="3076" width="15.85546875" style="55" customWidth="1"/>
    <col min="3077" max="3077" width="13.5703125" style="55" customWidth="1"/>
    <col min="3078" max="3078" width="12.7109375" style="55" customWidth="1"/>
    <col min="3079" max="3079" width="11.5703125" style="55" customWidth="1"/>
    <col min="3080" max="3080" width="13" style="55" customWidth="1"/>
    <col min="3081" max="3081" width="0" style="55" hidden="1" customWidth="1"/>
    <col min="3082" max="3082" width="11" style="55" customWidth="1"/>
    <col min="3083" max="3083" width="13.42578125" style="55" customWidth="1"/>
    <col min="3084" max="3084" width="12.5703125" style="55" customWidth="1"/>
    <col min="3085" max="3085" width="11.7109375" style="55" customWidth="1"/>
    <col min="3086" max="3086" width="12" style="55" customWidth="1"/>
    <col min="3087" max="3087" width="0" style="55" hidden="1" customWidth="1"/>
    <col min="3088" max="3088" width="13.28515625" style="55" customWidth="1"/>
    <col min="3089" max="3089" width="11.7109375" style="55" customWidth="1"/>
    <col min="3090" max="3090" width="11.42578125" style="55" customWidth="1"/>
    <col min="3091" max="3091" width="13" style="55" customWidth="1"/>
    <col min="3092" max="3092" width="13.42578125" style="55" customWidth="1"/>
    <col min="3093" max="3093" width="0" style="55" hidden="1" customWidth="1"/>
    <col min="3094" max="3094" width="13.28515625" style="55" customWidth="1"/>
    <col min="3095" max="3095" width="13.140625" style="55" customWidth="1"/>
    <col min="3096" max="3096" width="12.140625" style="55" customWidth="1"/>
    <col min="3097" max="3098" width="11.85546875" style="55" customWidth="1"/>
    <col min="3099" max="3099" width="0" style="55" hidden="1" customWidth="1"/>
    <col min="3100" max="3100" width="12.28515625" style="55" bestFit="1" customWidth="1"/>
    <col min="3101" max="3101" width="10.7109375" style="55" customWidth="1"/>
    <col min="3102" max="3102" width="11.85546875" style="55" customWidth="1"/>
    <col min="3103" max="3103" width="13.140625" style="55" customWidth="1"/>
    <col min="3104" max="3104" width="13" style="55" customWidth="1"/>
    <col min="3105" max="3105" width="0" style="55" hidden="1" customWidth="1"/>
    <col min="3106" max="3106" width="11" style="55" customWidth="1"/>
    <col min="3107" max="3107" width="13" style="55" customWidth="1"/>
    <col min="3108" max="3108" width="12.5703125" style="55" customWidth="1"/>
    <col min="3109" max="3109" width="11.85546875" style="55" customWidth="1"/>
    <col min="3110" max="3110" width="12.28515625" style="55" customWidth="1"/>
    <col min="3111" max="3111" width="0" style="55" hidden="1" customWidth="1"/>
    <col min="3112" max="3112" width="12.85546875" style="55" customWidth="1"/>
    <col min="3113" max="3119" width="0" style="55" hidden="1" customWidth="1"/>
    <col min="3120" max="3120" width="60.85546875" style="55" customWidth="1"/>
    <col min="3121" max="3126" width="27.42578125" style="55" customWidth="1"/>
    <col min="3127" max="3129" width="31.28515625" style="55" customWidth="1"/>
    <col min="3130" max="3130" width="27.42578125" style="55" customWidth="1"/>
    <col min="3131" max="3133" width="34.28515625" style="55" customWidth="1"/>
    <col min="3134" max="3137" width="27.42578125" style="55" customWidth="1"/>
    <col min="3138" max="3138" width="39.42578125" style="55" customWidth="1"/>
    <col min="3139" max="3139" width="41.28515625" style="55" customWidth="1"/>
    <col min="3140" max="3151" width="27.42578125" style="55" customWidth="1"/>
    <col min="3152" max="3153" width="9.140625" style="55"/>
    <col min="3154" max="3154" width="10.28515625" style="55" bestFit="1" customWidth="1"/>
    <col min="3155" max="3156" width="9.140625" style="55"/>
    <col min="3157" max="3157" width="10.28515625" style="55" bestFit="1" customWidth="1"/>
    <col min="3158" max="3159" width="9.140625" style="55"/>
    <col min="3160" max="3160" width="10.28515625" style="55" bestFit="1" customWidth="1"/>
    <col min="3161" max="3162" width="9.140625" style="55"/>
    <col min="3163" max="3163" width="10.28515625" style="55" bestFit="1" customWidth="1"/>
    <col min="3164" max="3165" width="9.140625" style="55"/>
    <col min="3166" max="3166" width="10.28515625" style="55" bestFit="1" customWidth="1"/>
    <col min="3167" max="3168" width="9.140625" style="55"/>
    <col min="3169" max="3169" width="10.28515625" style="55" bestFit="1" customWidth="1"/>
    <col min="3170" max="3171" width="9.140625" style="55"/>
    <col min="3172" max="3172" width="10.28515625" style="55" bestFit="1" customWidth="1"/>
    <col min="3173" max="3174" width="9.140625" style="55"/>
    <col min="3175" max="3175" width="10.28515625" style="55" bestFit="1" customWidth="1"/>
    <col min="3176" max="3177" width="9.140625" style="55"/>
    <col min="3178" max="3178" width="10.28515625" style="55" bestFit="1" customWidth="1"/>
    <col min="3179" max="3180" width="9.140625" style="55"/>
    <col min="3181" max="3181" width="10.28515625" style="55" bestFit="1" customWidth="1"/>
    <col min="3182" max="3183" width="9.140625" style="55"/>
    <col min="3184" max="3184" width="10.28515625" style="55" bestFit="1" customWidth="1"/>
    <col min="3185" max="3186" width="9.140625" style="55"/>
    <col min="3187" max="3187" width="10.28515625" style="55" bestFit="1" customWidth="1"/>
    <col min="3188" max="3189" width="9.140625" style="55"/>
    <col min="3190" max="3190" width="10.28515625" style="55" bestFit="1" customWidth="1"/>
    <col min="3191" max="3192" width="9.140625" style="55"/>
    <col min="3193" max="3193" width="10.28515625" style="55" bestFit="1" customWidth="1"/>
    <col min="3194" max="3195" width="9.140625" style="55"/>
    <col min="3196" max="3196" width="10.28515625" style="55" bestFit="1" customWidth="1"/>
    <col min="3197" max="3198" width="9.140625" style="55"/>
    <col min="3199" max="3199" width="10.28515625" style="55" bestFit="1" customWidth="1"/>
    <col min="3200" max="3201" width="9.140625" style="55"/>
    <col min="3202" max="3202" width="10.28515625" style="55" bestFit="1" customWidth="1"/>
    <col min="3203" max="3204" width="9.140625" style="55"/>
    <col min="3205" max="3205" width="10.28515625" style="55" bestFit="1" customWidth="1"/>
    <col min="3206" max="3207" width="9.140625" style="55"/>
    <col min="3208" max="3208" width="10.28515625" style="55" bestFit="1" customWidth="1"/>
    <col min="3209" max="3210" width="9.140625" style="55"/>
    <col min="3211" max="3211" width="10.28515625" style="55" bestFit="1" customWidth="1"/>
    <col min="3212" max="3213" width="9.140625" style="55"/>
    <col min="3214" max="3214" width="10.28515625" style="55" bestFit="1" customWidth="1"/>
    <col min="3215" max="3216" width="9.140625" style="55"/>
    <col min="3217" max="3217" width="10.28515625" style="55" bestFit="1" customWidth="1"/>
    <col min="3218" max="3219" width="9.140625" style="55"/>
    <col min="3220" max="3220" width="10.28515625" style="55" bestFit="1" customWidth="1"/>
    <col min="3221" max="3222" width="9.140625" style="55"/>
    <col min="3223" max="3223" width="10.28515625" style="55" bestFit="1" customWidth="1"/>
    <col min="3224" max="3225" width="9.140625" style="55"/>
    <col min="3226" max="3226" width="10.28515625" style="55" bestFit="1" customWidth="1"/>
    <col min="3227" max="3228" width="9.140625" style="55"/>
    <col min="3229" max="3229" width="10.28515625" style="55" bestFit="1" customWidth="1"/>
    <col min="3230" max="3231" width="9.140625" style="55"/>
    <col min="3232" max="3232" width="10.28515625" style="55" bestFit="1" customWidth="1"/>
    <col min="3233" max="3234" width="9.140625" style="55"/>
    <col min="3235" max="3235" width="10.28515625" style="55" bestFit="1" customWidth="1"/>
    <col min="3236" max="3237" width="9.140625" style="55"/>
    <col min="3238" max="3238" width="10.28515625" style="55" bestFit="1" customWidth="1"/>
    <col min="3239" max="3240" width="9.140625" style="55"/>
    <col min="3241" max="3241" width="10.28515625" style="55" bestFit="1" customWidth="1"/>
    <col min="3242" max="3243" width="9.140625" style="55"/>
    <col min="3244" max="3244" width="10.28515625" style="55" bestFit="1" customWidth="1"/>
    <col min="3245" max="3246" width="9.140625" style="55"/>
    <col min="3247" max="3247" width="10.28515625" style="55" bestFit="1" customWidth="1"/>
    <col min="3248" max="3249" width="9.140625" style="55"/>
    <col min="3250" max="3250" width="10.28515625" style="55" bestFit="1" customWidth="1"/>
    <col min="3251" max="3252" width="9.140625" style="55"/>
    <col min="3253" max="3253" width="10.28515625" style="55" bestFit="1" customWidth="1"/>
    <col min="3254" max="3255" width="9.140625" style="55"/>
    <col min="3256" max="3256" width="10.28515625" style="55" bestFit="1" customWidth="1"/>
    <col min="3257" max="3258" width="9.140625" style="55"/>
    <col min="3259" max="3259" width="10.28515625" style="55" bestFit="1" customWidth="1"/>
    <col min="3260" max="3261" width="9.140625" style="55"/>
    <col min="3262" max="3262" width="10.28515625" style="55" bestFit="1" customWidth="1"/>
    <col min="3263" max="3264" width="9.140625" style="55"/>
    <col min="3265" max="3265" width="10.28515625" style="55" bestFit="1" customWidth="1"/>
    <col min="3266" max="3267" width="9.140625" style="55"/>
    <col min="3268" max="3268" width="10.28515625" style="55" bestFit="1" customWidth="1"/>
    <col min="3269" max="3270" width="9.140625" style="55"/>
    <col min="3271" max="3271" width="10.28515625" style="55" bestFit="1" customWidth="1"/>
    <col min="3272" max="3273" width="9.140625" style="55"/>
    <col min="3274" max="3274" width="10.28515625" style="55" bestFit="1" customWidth="1"/>
    <col min="3275" max="3276" width="9.140625" style="55"/>
    <col min="3277" max="3277" width="10.28515625" style="55" bestFit="1" customWidth="1"/>
    <col min="3278" max="3279" width="9.140625" style="55"/>
    <col min="3280" max="3280" width="10.28515625" style="55" bestFit="1" customWidth="1"/>
    <col min="3281" max="3282" width="9.140625" style="55"/>
    <col min="3283" max="3283" width="10.28515625" style="55" bestFit="1" customWidth="1"/>
    <col min="3284" max="3285" width="9.140625" style="55"/>
    <col min="3286" max="3286" width="10.28515625" style="55" bestFit="1" customWidth="1"/>
    <col min="3287" max="3288" width="9.140625" style="55"/>
    <col min="3289" max="3289" width="10.28515625" style="55" bestFit="1" customWidth="1"/>
    <col min="3290" max="3291" width="9.140625" style="55"/>
    <col min="3292" max="3292" width="10.28515625" style="55" bestFit="1" customWidth="1"/>
    <col min="3293" max="3328" width="9.140625" style="55"/>
    <col min="3329" max="3329" width="6.28515625" style="55" customWidth="1"/>
    <col min="3330" max="3330" width="81.42578125" style="55" customWidth="1"/>
    <col min="3331" max="3331" width="10" style="55" customWidth="1"/>
    <col min="3332" max="3332" width="15.85546875" style="55" customWidth="1"/>
    <col min="3333" max="3333" width="13.5703125" style="55" customWidth="1"/>
    <col min="3334" max="3334" width="12.7109375" style="55" customWidth="1"/>
    <col min="3335" max="3335" width="11.5703125" style="55" customWidth="1"/>
    <col min="3336" max="3336" width="13" style="55" customWidth="1"/>
    <col min="3337" max="3337" width="0" style="55" hidden="1" customWidth="1"/>
    <col min="3338" max="3338" width="11" style="55" customWidth="1"/>
    <col min="3339" max="3339" width="13.42578125" style="55" customWidth="1"/>
    <col min="3340" max="3340" width="12.5703125" style="55" customWidth="1"/>
    <col min="3341" max="3341" width="11.7109375" style="55" customWidth="1"/>
    <col min="3342" max="3342" width="12" style="55" customWidth="1"/>
    <col min="3343" max="3343" width="0" style="55" hidden="1" customWidth="1"/>
    <col min="3344" max="3344" width="13.28515625" style="55" customWidth="1"/>
    <col min="3345" max="3345" width="11.7109375" style="55" customWidth="1"/>
    <col min="3346" max="3346" width="11.42578125" style="55" customWidth="1"/>
    <col min="3347" max="3347" width="13" style="55" customWidth="1"/>
    <col min="3348" max="3348" width="13.42578125" style="55" customWidth="1"/>
    <col min="3349" max="3349" width="0" style="55" hidden="1" customWidth="1"/>
    <col min="3350" max="3350" width="13.28515625" style="55" customWidth="1"/>
    <col min="3351" max="3351" width="13.140625" style="55" customWidth="1"/>
    <col min="3352" max="3352" width="12.140625" style="55" customWidth="1"/>
    <col min="3353" max="3354" width="11.85546875" style="55" customWidth="1"/>
    <col min="3355" max="3355" width="0" style="55" hidden="1" customWidth="1"/>
    <col min="3356" max="3356" width="12.28515625" style="55" bestFit="1" customWidth="1"/>
    <col min="3357" max="3357" width="10.7109375" style="55" customWidth="1"/>
    <col min="3358" max="3358" width="11.85546875" style="55" customWidth="1"/>
    <col min="3359" max="3359" width="13.140625" style="55" customWidth="1"/>
    <col min="3360" max="3360" width="13" style="55" customWidth="1"/>
    <col min="3361" max="3361" width="0" style="55" hidden="1" customWidth="1"/>
    <col min="3362" max="3362" width="11" style="55" customWidth="1"/>
    <col min="3363" max="3363" width="13" style="55" customWidth="1"/>
    <col min="3364" max="3364" width="12.5703125" style="55" customWidth="1"/>
    <col min="3365" max="3365" width="11.85546875" style="55" customWidth="1"/>
    <col min="3366" max="3366" width="12.28515625" style="55" customWidth="1"/>
    <col min="3367" max="3367" width="0" style="55" hidden="1" customWidth="1"/>
    <col min="3368" max="3368" width="12.85546875" style="55" customWidth="1"/>
    <col min="3369" max="3375" width="0" style="55" hidden="1" customWidth="1"/>
    <col min="3376" max="3376" width="60.85546875" style="55" customWidth="1"/>
    <col min="3377" max="3382" width="27.42578125" style="55" customWidth="1"/>
    <col min="3383" max="3385" width="31.28515625" style="55" customWidth="1"/>
    <col min="3386" max="3386" width="27.42578125" style="55" customWidth="1"/>
    <col min="3387" max="3389" width="34.28515625" style="55" customWidth="1"/>
    <col min="3390" max="3393" width="27.42578125" style="55" customWidth="1"/>
    <col min="3394" max="3394" width="39.42578125" style="55" customWidth="1"/>
    <col min="3395" max="3395" width="41.28515625" style="55" customWidth="1"/>
    <col min="3396" max="3407" width="27.42578125" style="55" customWidth="1"/>
    <col min="3408" max="3409" width="9.140625" style="55"/>
    <col min="3410" max="3410" width="10.28515625" style="55" bestFit="1" customWidth="1"/>
    <col min="3411" max="3412" width="9.140625" style="55"/>
    <col min="3413" max="3413" width="10.28515625" style="55" bestFit="1" customWidth="1"/>
    <col min="3414" max="3415" width="9.140625" style="55"/>
    <col min="3416" max="3416" width="10.28515625" style="55" bestFit="1" customWidth="1"/>
    <col min="3417" max="3418" width="9.140625" style="55"/>
    <col min="3419" max="3419" width="10.28515625" style="55" bestFit="1" customWidth="1"/>
    <col min="3420" max="3421" width="9.140625" style="55"/>
    <col min="3422" max="3422" width="10.28515625" style="55" bestFit="1" customWidth="1"/>
    <col min="3423" max="3424" width="9.140625" style="55"/>
    <col min="3425" max="3425" width="10.28515625" style="55" bestFit="1" customWidth="1"/>
    <col min="3426" max="3427" width="9.140625" style="55"/>
    <col min="3428" max="3428" width="10.28515625" style="55" bestFit="1" customWidth="1"/>
    <col min="3429" max="3430" width="9.140625" style="55"/>
    <col min="3431" max="3431" width="10.28515625" style="55" bestFit="1" customWidth="1"/>
    <col min="3432" max="3433" width="9.140625" style="55"/>
    <col min="3434" max="3434" width="10.28515625" style="55" bestFit="1" customWidth="1"/>
    <col min="3435" max="3436" width="9.140625" style="55"/>
    <col min="3437" max="3437" width="10.28515625" style="55" bestFit="1" customWidth="1"/>
    <col min="3438" max="3439" width="9.140625" style="55"/>
    <col min="3440" max="3440" width="10.28515625" style="55" bestFit="1" customWidth="1"/>
    <col min="3441" max="3442" width="9.140625" style="55"/>
    <col min="3443" max="3443" width="10.28515625" style="55" bestFit="1" customWidth="1"/>
    <col min="3444" max="3445" width="9.140625" style="55"/>
    <col min="3446" max="3446" width="10.28515625" style="55" bestFit="1" customWidth="1"/>
    <col min="3447" max="3448" width="9.140625" style="55"/>
    <col min="3449" max="3449" width="10.28515625" style="55" bestFit="1" customWidth="1"/>
    <col min="3450" max="3451" width="9.140625" style="55"/>
    <col min="3452" max="3452" width="10.28515625" style="55" bestFit="1" customWidth="1"/>
    <col min="3453" max="3454" width="9.140625" style="55"/>
    <col min="3455" max="3455" width="10.28515625" style="55" bestFit="1" customWidth="1"/>
    <col min="3456" max="3457" width="9.140625" style="55"/>
    <col min="3458" max="3458" width="10.28515625" style="55" bestFit="1" customWidth="1"/>
    <col min="3459" max="3460" width="9.140625" style="55"/>
    <col min="3461" max="3461" width="10.28515625" style="55" bestFit="1" customWidth="1"/>
    <col min="3462" max="3463" width="9.140625" style="55"/>
    <col min="3464" max="3464" width="10.28515625" style="55" bestFit="1" customWidth="1"/>
    <col min="3465" max="3466" width="9.140625" style="55"/>
    <col min="3467" max="3467" width="10.28515625" style="55" bestFit="1" customWidth="1"/>
    <col min="3468" max="3469" width="9.140625" style="55"/>
    <col min="3470" max="3470" width="10.28515625" style="55" bestFit="1" customWidth="1"/>
    <col min="3471" max="3472" width="9.140625" style="55"/>
    <col min="3473" max="3473" width="10.28515625" style="55" bestFit="1" customWidth="1"/>
    <col min="3474" max="3475" width="9.140625" style="55"/>
    <col min="3476" max="3476" width="10.28515625" style="55" bestFit="1" customWidth="1"/>
    <col min="3477" max="3478" width="9.140625" style="55"/>
    <col min="3479" max="3479" width="10.28515625" style="55" bestFit="1" customWidth="1"/>
    <col min="3480" max="3481" width="9.140625" style="55"/>
    <col min="3482" max="3482" width="10.28515625" style="55" bestFit="1" customWidth="1"/>
    <col min="3483" max="3484" width="9.140625" style="55"/>
    <col min="3485" max="3485" width="10.28515625" style="55" bestFit="1" customWidth="1"/>
    <col min="3486" max="3487" width="9.140625" style="55"/>
    <col min="3488" max="3488" width="10.28515625" style="55" bestFit="1" customWidth="1"/>
    <col min="3489" max="3490" width="9.140625" style="55"/>
    <col min="3491" max="3491" width="10.28515625" style="55" bestFit="1" customWidth="1"/>
    <col min="3492" max="3493" width="9.140625" style="55"/>
    <col min="3494" max="3494" width="10.28515625" style="55" bestFit="1" customWidth="1"/>
    <col min="3495" max="3496" width="9.140625" style="55"/>
    <col min="3497" max="3497" width="10.28515625" style="55" bestFit="1" customWidth="1"/>
    <col min="3498" max="3499" width="9.140625" style="55"/>
    <col min="3500" max="3500" width="10.28515625" style="55" bestFit="1" customWidth="1"/>
    <col min="3501" max="3502" width="9.140625" style="55"/>
    <col min="3503" max="3503" width="10.28515625" style="55" bestFit="1" customWidth="1"/>
    <col min="3504" max="3505" width="9.140625" style="55"/>
    <col min="3506" max="3506" width="10.28515625" style="55" bestFit="1" customWidth="1"/>
    <col min="3507" max="3508" width="9.140625" style="55"/>
    <col min="3509" max="3509" width="10.28515625" style="55" bestFit="1" customWidth="1"/>
    <col min="3510" max="3511" width="9.140625" style="55"/>
    <col min="3512" max="3512" width="10.28515625" style="55" bestFit="1" customWidth="1"/>
    <col min="3513" max="3514" width="9.140625" style="55"/>
    <col min="3515" max="3515" width="10.28515625" style="55" bestFit="1" customWidth="1"/>
    <col min="3516" max="3517" width="9.140625" style="55"/>
    <col min="3518" max="3518" width="10.28515625" style="55" bestFit="1" customWidth="1"/>
    <col min="3519" max="3520" width="9.140625" style="55"/>
    <col min="3521" max="3521" width="10.28515625" style="55" bestFit="1" customWidth="1"/>
    <col min="3522" max="3523" width="9.140625" style="55"/>
    <col min="3524" max="3524" width="10.28515625" style="55" bestFit="1" customWidth="1"/>
    <col min="3525" max="3526" width="9.140625" style="55"/>
    <col min="3527" max="3527" width="10.28515625" style="55" bestFit="1" customWidth="1"/>
    <col min="3528" max="3529" width="9.140625" style="55"/>
    <col min="3530" max="3530" width="10.28515625" style="55" bestFit="1" customWidth="1"/>
    <col min="3531" max="3532" width="9.140625" style="55"/>
    <col min="3533" max="3533" width="10.28515625" style="55" bestFit="1" customWidth="1"/>
    <col min="3534" max="3535" width="9.140625" style="55"/>
    <col min="3536" max="3536" width="10.28515625" style="55" bestFit="1" customWidth="1"/>
    <col min="3537" max="3538" width="9.140625" style="55"/>
    <col min="3539" max="3539" width="10.28515625" style="55" bestFit="1" customWidth="1"/>
    <col min="3540" max="3541" width="9.140625" style="55"/>
    <col min="3542" max="3542" width="10.28515625" style="55" bestFit="1" customWidth="1"/>
    <col min="3543" max="3544" width="9.140625" style="55"/>
    <col min="3545" max="3545" width="10.28515625" style="55" bestFit="1" customWidth="1"/>
    <col min="3546" max="3547" width="9.140625" style="55"/>
    <col min="3548" max="3548" width="10.28515625" style="55" bestFit="1" customWidth="1"/>
    <col min="3549" max="3584" width="9.140625" style="55"/>
    <col min="3585" max="3585" width="6.28515625" style="55" customWidth="1"/>
    <col min="3586" max="3586" width="81.42578125" style="55" customWidth="1"/>
    <col min="3587" max="3587" width="10" style="55" customWidth="1"/>
    <col min="3588" max="3588" width="15.85546875" style="55" customWidth="1"/>
    <col min="3589" max="3589" width="13.5703125" style="55" customWidth="1"/>
    <col min="3590" max="3590" width="12.7109375" style="55" customWidth="1"/>
    <col min="3591" max="3591" width="11.5703125" style="55" customWidth="1"/>
    <col min="3592" max="3592" width="13" style="55" customWidth="1"/>
    <col min="3593" max="3593" width="0" style="55" hidden="1" customWidth="1"/>
    <col min="3594" max="3594" width="11" style="55" customWidth="1"/>
    <col min="3595" max="3595" width="13.42578125" style="55" customWidth="1"/>
    <col min="3596" max="3596" width="12.5703125" style="55" customWidth="1"/>
    <col min="3597" max="3597" width="11.7109375" style="55" customWidth="1"/>
    <col min="3598" max="3598" width="12" style="55" customWidth="1"/>
    <col min="3599" max="3599" width="0" style="55" hidden="1" customWidth="1"/>
    <col min="3600" max="3600" width="13.28515625" style="55" customWidth="1"/>
    <col min="3601" max="3601" width="11.7109375" style="55" customWidth="1"/>
    <col min="3602" max="3602" width="11.42578125" style="55" customWidth="1"/>
    <col min="3603" max="3603" width="13" style="55" customWidth="1"/>
    <col min="3604" max="3604" width="13.42578125" style="55" customWidth="1"/>
    <col min="3605" max="3605" width="0" style="55" hidden="1" customWidth="1"/>
    <col min="3606" max="3606" width="13.28515625" style="55" customWidth="1"/>
    <col min="3607" max="3607" width="13.140625" style="55" customWidth="1"/>
    <col min="3608" max="3608" width="12.140625" style="55" customWidth="1"/>
    <col min="3609" max="3610" width="11.85546875" style="55" customWidth="1"/>
    <col min="3611" max="3611" width="0" style="55" hidden="1" customWidth="1"/>
    <col min="3612" max="3612" width="12.28515625" style="55" bestFit="1" customWidth="1"/>
    <col min="3613" max="3613" width="10.7109375" style="55" customWidth="1"/>
    <col min="3614" max="3614" width="11.85546875" style="55" customWidth="1"/>
    <col min="3615" max="3615" width="13.140625" style="55" customWidth="1"/>
    <col min="3616" max="3616" width="13" style="55" customWidth="1"/>
    <col min="3617" max="3617" width="0" style="55" hidden="1" customWidth="1"/>
    <col min="3618" max="3618" width="11" style="55" customWidth="1"/>
    <col min="3619" max="3619" width="13" style="55" customWidth="1"/>
    <col min="3620" max="3620" width="12.5703125" style="55" customWidth="1"/>
    <col min="3621" max="3621" width="11.85546875" style="55" customWidth="1"/>
    <col min="3622" max="3622" width="12.28515625" style="55" customWidth="1"/>
    <col min="3623" max="3623" width="0" style="55" hidden="1" customWidth="1"/>
    <col min="3624" max="3624" width="12.85546875" style="55" customWidth="1"/>
    <col min="3625" max="3631" width="0" style="55" hidden="1" customWidth="1"/>
    <col min="3632" max="3632" width="60.85546875" style="55" customWidth="1"/>
    <col min="3633" max="3638" width="27.42578125" style="55" customWidth="1"/>
    <col min="3639" max="3641" width="31.28515625" style="55" customWidth="1"/>
    <col min="3642" max="3642" width="27.42578125" style="55" customWidth="1"/>
    <col min="3643" max="3645" width="34.28515625" style="55" customWidth="1"/>
    <col min="3646" max="3649" width="27.42578125" style="55" customWidth="1"/>
    <col min="3650" max="3650" width="39.42578125" style="55" customWidth="1"/>
    <col min="3651" max="3651" width="41.28515625" style="55" customWidth="1"/>
    <col min="3652" max="3663" width="27.42578125" style="55" customWidth="1"/>
    <col min="3664" max="3665" width="9.140625" style="55"/>
    <col min="3666" max="3666" width="10.28515625" style="55" bestFit="1" customWidth="1"/>
    <col min="3667" max="3668" width="9.140625" style="55"/>
    <col min="3669" max="3669" width="10.28515625" style="55" bestFit="1" customWidth="1"/>
    <col min="3670" max="3671" width="9.140625" style="55"/>
    <col min="3672" max="3672" width="10.28515625" style="55" bestFit="1" customWidth="1"/>
    <col min="3673" max="3674" width="9.140625" style="55"/>
    <col min="3675" max="3675" width="10.28515625" style="55" bestFit="1" customWidth="1"/>
    <col min="3676" max="3677" width="9.140625" style="55"/>
    <col min="3678" max="3678" width="10.28515625" style="55" bestFit="1" customWidth="1"/>
    <col min="3679" max="3680" width="9.140625" style="55"/>
    <col min="3681" max="3681" width="10.28515625" style="55" bestFit="1" customWidth="1"/>
    <col min="3682" max="3683" width="9.140625" style="55"/>
    <col min="3684" max="3684" width="10.28515625" style="55" bestFit="1" customWidth="1"/>
    <col min="3685" max="3686" width="9.140625" style="55"/>
    <col min="3687" max="3687" width="10.28515625" style="55" bestFit="1" customWidth="1"/>
    <col min="3688" max="3689" width="9.140625" style="55"/>
    <col min="3690" max="3690" width="10.28515625" style="55" bestFit="1" customWidth="1"/>
    <col min="3691" max="3692" width="9.140625" style="55"/>
    <col min="3693" max="3693" width="10.28515625" style="55" bestFit="1" customWidth="1"/>
    <col min="3694" max="3695" width="9.140625" style="55"/>
    <col min="3696" max="3696" width="10.28515625" style="55" bestFit="1" customWidth="1"/>
    <col min="3697" max="3698" width="9.140625" style="55"/>
    <col min="3699" max="3699" width="10.28515625" style="55" bestFit="1" customWidth="1"/>
    <col min="3700" max="3701" width="9.140625" style="55"/>
    <col min="3702" max="3702" width="10.28515625" style="55" bestFit="1" customWidth="1"/>
    <col min="3703" max="3704" width="9.140625" style="55"/>
    <col min="3705" max="3705" width="10.28515625" style="55" bestFit="1" customWidth="1"/>
    <col min="3706" max="3707" width="9.140625" style="55"/>
    <col min="3708" max="3708" width="10.28515625" style="55" bestFit="1" customWidth="1"/>
    <col min="3709" max="3710" width="9.140625" style="55"/>
    <col min="3711" max="3711" width="10.28515625" style="55" bestFit="1" customWidth="1"/>
    <col min="3712" max="3713" width="9.140625" style="55"/>
    <col min="3714" max="3714" width="10.28515625" style="55" bestFit="1" customWidth="1"/>
    <col min="3715" max="3716" width="9.140625" style="55"/>
    <col min="3717" max="3717" width="10.28515625" style="55" bestFit="1" customWidth="1"/>
    <col min="3718" max="3719" width="9.140625" style="55"/>
    <col min="3720" max="3720" width="10.28515625" style="55" bestFit="1" customWidth="1"/>
    <col min="3721" max="3722" width="9.140625" style="55"/>
    <col min="3723" max="3723" width="10.28515625" style="55" bestFit="1" customWidth="1"/>
    <col min="3724" max="3725" width="9.140625" style="55"/>
    <col min="3726" max="3726" width="10.28515625" style="55" bestFit="1" customWidth="1"/>
    <col min="3727" max="3728" width="9.140625" style="55"/>
    <col min="3729" max="3729" width="10.28515625" style="55" bestFit="1" customWidth="1"/>
    <col min="3730" max="3731" width="9.140625" style="55"/>
    <col min="3732" max="3732" width="10.28515625" style="55" bestFit="1" customWidth="1"/>
    <col min="3733" max="3734" width="9.140625" style="55"/>
    <col min="3735" max="3735" width="10.28515625" style="55" bestFit="1" customWidth="1"/>
    <col min="3736" max="3737" width="9.140625" style="55"/>
    <col min="3738" max="3738" width="10.28515625" style="55" bestFit="1" customWidth="1"/>
    <col min="3739" max="3740" width="9.140625" style="55"/>
    <col min="3741" max="3741" width="10.28515625" style="55" bestFit="1" customWidth="1"/>
    <col min="3742" max="3743" width="9.140625" style="55"/>
    <col min="3744" max="3744" width="10.28515625" style="55" bestFit="1" customWidth="1"/>
    <col min="3745" max="3746" width="9.140625" style="55"/>
    <col min="3747" max="3747" width="10.28515625" style="55" bestFit="1" customWidth="1"/>
    <col min="3748" max="3749" width="9.140625" style="55"/>
    <col min="3750" max="3750" width="10.28515625" style="55" bestFit="1" customWidth="1"/>
    <col min="3751" max="3752" width="9.140625" style="55"/>
    <col min="3753" max="3753" width="10.28515625" style="55" bestFit="1" customWidth="1"/>
    <col min="3754" max="3755" width="9.140625" style="55"/>
    <col min="3756" max="3756" width="10.28515625" style="55" bestFit="1" customWidth="1"/>
    <col min="3757" max="3758" width="9.140625" style="55"/>
    <col min="3759" max="3759" width="10.28515625" style="55" bestFit="1" customWidth="1"/>
    <col min="3760" max="3761" width="9.140625" style="55"/>
    <col min="3762" max="3762" width="10.28515625" style="55" bestFit="1" customWidth="1"/>
    <col min="3763" max="3764" width="9.140625" style="55"/>
    <col min="3765" max="3765" width="10.28515625" style="55" bestFit="1" customWidth="1"/>
    <col min="3766" max="3767" width="9.140625" style="55"/>
    <col min="3768" max="3768" width="10.28515625" style="55" bestFit="1" customWidth="1"/>
    <col min="3769" max="3770" width="9.140625" style="55"/>
    <col min="3771" max="3771" width="10.28515625" style="55" bestFit="1" customWidth="1"/>
    <col min="3772" max="3773" width="9.140625" style="55"/>
    <col min="3774" max="3774" width="10.28515625" style="55" bestFit="1" customWidth="1"/>
    <col min="3775" max="3776" width="9.140625" style="55"/>
    <col min="3777" max="3777" width="10.28515625" style="55" bestFit="1" customWidth="1"/>
    <col min="3778" max="3779" width="9.140625" style="55"/>
    <col min="3780" max="3780" width="10.28515625" style="55" bestFit="1" customWidth="1"/>
    <col min="3781" max="3782" width="9.140625" style="55"/>
    <col min="3783" max="3783" width="10.28515625" style="55" bestFit="1" customWidth="1"/>
    <col min="3784" max="3785" width="9.140625" style="55"/>
    <col min="3786" max="3786" width="10.28515625" style="55" bestFit="1" customWidth="1"/>
    <col min="3787" max="3788" width="9.140625" style="55"/>
    <col min="3789" max="3789" width="10.28515625" style="55" bestFit="1" customWidth="1"/>
    <col min="3790" max="3791" width="9.140625" style="55"/>
    <col min="3792" max="3792" width="10.28515625" style="55" bestFit="1" customWidth="1"/>
    <col min="3793" max="3794" width="9.140625" style="55"/>
    <col min="3795" max="3795" width="10.28515625" style="55" bestFit="1" customWidth="1"/>
    <col min="3796" max="3797" width="9.140625" style="55"/>
    <col min="3798" max="3798" width="10.28515625" style="55" bestFit="1" customWidth="1"/>
    <col min="3799" max="3800" width="9.140625" style="55"/>
    <col min="3801" max="3801" width="10.28515625" style="55" bestFit="1" customWidth="1"/>
    <col min="3802" max="3803" width="9.140625" style="55"/>
    <col min="3804" max="3804" width="10.28515625" style="55" bestFit="1" customWidth="1"/>
    <col min="3805" max="3840" width="9.140625" style="55"/>
    <col min="3841" max="3841" width="6.28515625" style="55" customWidth="1"/>
    <col min="3842" max="3842" width="81.42578125" style="55" customWidth="1"/>
    <col min="3843" max="3843" width="10" style="55" customWidth="1"/>
    <col min="3844" max="3844" width="15.85546875" style="55" customWidth="1"/>
    <col min="3845" max="3845" width="13.5703125" style="55" customWidth="1"/>
    <col min="3846" max="3846" width="12.7109375" style="55" customWidth="1"/>
    <col min="3847" max="3847" width="11.5703125" style="55" customWidth="1"/>
    <col min="3848" max="3848" width="13" style="55" customWidth="1"/>
    <col min="3849" max="3849" width="0" style="55" hidden="1" customWidth="1"/>
    <col min="3850" max="3850" width="11" style="55" customWidth="1"/>
    <col min="3851" max="3851" width="13.42578125" style="55" customWidth="1"/>
    <col min="3852" max="3852" width="12.5703125" style="55" customWidth="1"/>
    <col min="3853" max="3853" width="11.7109375" style="55" customWidth="1"/>
    <col min="3854" max="3854" width="12" style="55" customWidth="1"/>
    <col min="3855" max="3855" width="0" style="55" hidden="1" customWidth="1"/>
    <col min="3856" max="3856" width="13.28515625" style="55" customWidth="1"/>
    <col min="3857" max="3857" width="11.7109375" style="55" customWidth="1"/>
    <col min="3858" max="3858" width="11.42578125" style="55" customWidth="1"/>
    <col min="3859" max="3859" width="13" style="55" customWidth="1"/>
    <col min="3860" max="3860" width="13.42578125" style="55" customWidth="1"/>
    <col min="3861" max="3861" width="0" style="55" hidden="1" customWidth="1"/>
    <col min="3862" max="3862" width="13.28515625" style="55" customWidth="1"/>
    <col min="3863" max="3863" width="13.140625" style="55" customWidth="1"/>
    <col min="3864" max="3864" width="12.140625" style="55" customWidth="1"/>
    <col min="3865" max="3866" width="11.85546875" style="55" customWidth="1"/>
    <col min="3867" max="3867" width="0" style="55" hidden="1" customWidth="1"/>
    <col min="3868" max="3868" width="12.28515625" style="55" bestFit="1" customWidth="1"/>
    <col min="3869" max="3869" width="10.7109375" style="55" customWidth="1"/>
    <col min="3870" max="3870" width="11.85546875" style="55" customWidth="1"/>
    <col min="3871" max="3871" width="13.140625" style="55" customWidth="1"/>
    <col min="3872" max="3872" width="13" style="55" customWidth="1"/>
    <col min="3873" max="3873" width="0" style="55" hidden="1" customWidth="1"/>
    <col min="3874" max="3874" width="11" style="55" customWidth="1"/>
    <col min="3875" max="3875" width="13" style="55" customWidth="1"/>
    <col min="3876" max="3876" width="12.5703125" style="55" customWidth="1"/>
    <col min="3877" max="3877" width="11.85546875" style="55" customWidth="1"/>
    <col min="3878" max="3878" width="12.28515625" style="55" customWidth="1"/>
    <col min="3879" max="3879" width="0" style="55" hidden="1" customWidth="1"/>
    <col min="3880" max="3880" width="12.85546875" style="55" customWidth="1"/>
    <col min="3881" max="3887" width="0" style="55" hidden="1" customWidth="1"/>
    <col min="3888" max="3888" width="60.85546875" style="55" customWidth="1"/>
    <col min="3889" max="3894" width="27.42578125" style="55" customWidth="1"/>
    <col min="3895" max="3897" width="31.28515625" style="55" customWidth="1"/>
    <col min="3898" max="3898" width="27.42578125" style="55" customWidth="1"/>
    <col min="3899" max="3901" width="34.28515625" style="55" customWidth="1"/>
    <col min="3902" max="3905" width="27.42578125" style="55" customWidth="1"/>
    <col min="3906" max="3906" width="39.42578125" style="55" customWidth="1"/>
    <col min="3907" max="3907" width="41.28515625" style="55" customWidth="1"/>
    <col min="3908" max="3919" width="27.42578125" style="55" customWidth="1"/>
    <col min="3920" max="3921" width="9.140625" style="55"/>
    <col min="3922" max="3922" width="10.28515625" style="55" bestFit="1" customWidth="1"/>
    <col min="3923" max="3924" width="9.140625" style="55"/>
    <col min="3925" max="3925" width="10.28515625" style="55" bestFit="1" customWidth="1"/>
    <col min="3926" max="3927" width="9.140625" style="55"/>
    <col min="3928" max="3928" width="10.28515625" style="55" bestFit="1" customWidth="1"/>
    <col min="3929" max="3930" width="9.140625" style="55"/>
    <col min="3931" max="3931" width="10.28515625" style="55" bestFit="1" customWidth="1"/>
    <col min="3932" max="3933" width="9.140625" style="55"/>
    <col min="3934" max="3934" width="10.28515625" style="55" bestFit="1" customWidth="1"/>
    <col min="3935" max="3936" width="9.140625" style="55"/>
    <col min="3937" max="3937" width="10.28515625" style="55" bestFit="1" customWidth="1"/>
    <col min="3938" max="3939" width="9.140625" style="55"/>
    <col min="3940" max="3940" width="10.28515625" style="55" bestFit="1" customWidth="1"/>
    <col min="3941" max="3942" width="9.140625" style="55"/>
    <col min="3943" max="3943" width="10.28515625" style="55" bestFit="1" customWidth="1"/>
    <col min="3944" max="3945" width="9.140625" style="55"/>
    <col min="3946" max="3946" width="10.28515625" style="55" bestFit="1" customWidth="1"/>
    <col min="3947" max="3948" width="9.140625" style="55"/>
    <col min="3949" max="3949" width="10.28515625" style="55" bestFit="1" customWidth="1"/>
    <col min="3950" max="3951" width="9.140625" style="55"/>
    <col min="3952" max="3952" width="10.28515625" style="55" bestFit="1" customWidth="1"/>
    <col min="3953" max="3954" width="9.140625" style="55"/>
    <col min="3955" max="3955" width="10.28515625" style="55" bestFit="1" customWidth="1"/>
    <col min="3956" max="3957" width="9.140625" style="55"/>
    <col min="3958" max="3958" width="10.28515625" style="55" bestFit="1" customWidth="1"/>
    <col min="3959" max="3960" width="9.140625" style="55"/>
    <col min="3961" max="3961" width="10.28515625" style="55" bestFit="1" customWidth="1"/>
    <col min="3962" max="3963" width="9.140625" style="55"/>
    <col min="3964" max="3964" width="10.28515625" style="55" bestFit="1" customWidth="1"/>
    <col min="3965" max="3966" width="9.140625" style="55"/>
    <col min="3967" max="3967" width="10.28515625" style="55" bestFit="1" customWidth="1"/>
    <col min="3968" max="3969" width="9.140625" style="55"/>
    <col min="3970" max="3970" width="10.28515625" style="55" bestFit="1" customWidth="1"/>
    <col min="3971" max="3972" width="9.140625" style="55"/>
    <col min="3973" max="3973" width="10.28515625" style="55" bestFit="1" customWidth="1"/>
    <col min="3974" max="3975" width="9.140625" style="55"/>
    <col min="3976" max="3976" width="10.28515625" style="55" bestFit="1" customWidth="1"/>
    <col min="3977" max="3978" width="9.140625" style="55"/>
    <col min="3979" max="3979" width="10.28515625" style="55" bestFit="1" customWidth="1"/>
    <col min="3980" max="3981" width="9.140625" style="55"/>
    <col min="3982" max="3982" width="10.28515625" style="55" bestFit="1" customWidth="1"/>
    <col min="3983" max="3984" width="9.140625" style="55"/>
    <col min="3985" max="3985" width="10.28515625" style="55" bestFit="1" customWidth="1"/>
    <col min="3986" max="3987" width="9.140625" style="55"/>
    <col min="3988" max="3988" width="10.28515625" style="55" bestFit="1" customWidth="1"/>
    <col min="3989" max="3990" width="9.140625" style="55"/>
    <col min="3991" max="3991" width="10.28515625" style="55" bestFit="1" customWidth="1"/>
    <col min="3992" max="3993" width="9.140625" style="55"/>
    <col min="3994" max="3994" width="10.28515625" style="55" bestFit="1" customWidth="1"/>
    <col min="3995" max="3996" width="9.140625" style="55"/>
    <col min="3997" max="3997" width="10.28515625" style="55" bestFit="1" customWidth="1"/>
    <col min="3998" max="3999" width="9.140625" style="55"/>
    <col min="4000" max="4000" width="10.28515625" style="55" bestFit="1" customWidth="1"/>
    <col min="4001" max="4002" width="9.140625" style="55"/>
    <col min="4003" max="4003" width="10.28515625" style="55" bestFit="1" customWidth="1"/>
    <col min="4004" max="4005" width="9.140625" style="55"/>
    <col min="4006" max="4006" width="10.28515625" style="55" bestFit="1" customWidth="1"/>
    <col min="4007" max="4008" width="9.140625" style="55"/>
    <col min="4009" max="4009" width="10.28515625" style="55" bestFit="1" customWidth="1"/>
    <col min="4010" max="4011" width="9.140625" style="55"/>
    <col min="4012" max="4012" width="10.28515625" style="55" bestFit="1" customWidth="1"/>
    <col min="4013" max="4014" width="9.140625" style="55"/>
    <col min="4015" max="4015" width="10.28515625" style="55" bestFit="1" customWidth="1"/>
    <col min="4016" max="4017" width="9.140625" style="55"/>
    <col min="4018" max="4018" width="10.28515625" style="55" bestFit="1" customWidth="1"/>
    <col min="4019" max="4020" width="9.140625" style="55"/>
    <col min="4021" max="4021" width="10.28515625" style="55" bestFit="1" customWidth="1"/>
    <col min="4022" max="4023" width="9.140625" style="55"/>
    <col min="4024" max="4024" width="10.28515625" style="55" bestFit="1" customWidth="1"/>
    <col min="4025" max="4026" width="9.140625" style="55"/>
    <col min="4027" max="4027" width="10.28515625" style="55" bestFit="1" customWidth="1"/>
    <col min="4028" max="4029" width="9.140625" style="55"/>
    <col min="4030" max="4030" width="10.28515625" style="55" bestFit="1" customWidth="1"/>
    <col min="4031" max="4032" width="9.140625" style="55"/>
    <col min="4033" max="4033" width="10.28515625" style="55" bestFit="1" customWidth="1"/>
    <col min="4034" max="4035" width="9.140625" style="55"/>
    <col min="4036" max="4036" width="10.28515625" style="55" bestFit="1" customWidth="1"/>
    <col min="4037" max="4038" width="9.140625" style="55"/>
    <col min="4039" max="4039" width="10.28515625" style="55" bestFit="1" customWidth="1"/>
    <col min="4040" max="4041" width="9.140625" style="55"/>
    <col min="4042" max="4042" width="10.28515625" style="55" bestFit="1" customWidth="1"/>
    <col min="4043" max="4044" width="9.140625" style="55"/>
    <col min="4045" max="4045" width="10.28515625" style="55" bestFit="1" customWidth="1"/>
    <col min="4046" max="4047" width="9.140625" style="55"/>
    <col min="4048" max="4048" width="10.28515625" style="55" bestFit="1" customWidth="1"/>
    <col min="4049" max="4050" width="9.140625" style="55"/>
    <col min="4051" max="4051" width="10.28515625" style="55" bestFit="1" customWidth="1"/>
    <col min="4052" max="4053" width="9.140625" style="55"/>
    <col min="4054" max="4054" width="10.28515625" style="55" bestFit="1" customWidth="1"/>
    <col min="4055" max="4056" width="9.140625" style="55"/>
    <col min="4057" max="4057" width="10.28515625" style="55" bestFit="1" customWidth="1"/>
    <col min="4058" max="4059" width="9.140625" style="55"/>
    <col min="4060" max="4060" width="10.28515625" style="55" bestFit="1" customWidth="1"/>
    <col min="4061" max="4096" width="9.140625" style="55"/>
    <col min="4097" max="4097" width="6.28515625" style="55" customWidth="1"/>
    <col min="4098" max="4098" width="81.42578125" style="55" customWidth="1"/>
    <col min="4099" max="4099" width="10" style="55" customWidth="1"/>
    <col min="4100" max="4100" width="15.85546875" style="55" customWidth="1"/>
    <col min="4101" max="4101" width="13.5703125" style="55" customWidth="1"/>
    <col min="4102" max="4102" width="12.7109375" style="55" customWidth="1"/>
    <col min="4103" max="4103" width="11.5703125" style="55" customWidth="1"/>
    <col min="4104" max="4104" width="13" style="55" customWidth="1"/>
    <col min="4105" max="4105" width="0" style="55" hidden="1" customWidth="1"/>
    <col min="4106" max="4106" width="11" style="55" customWidth="1"/>
    <col min="4107" max="4107" width="13.42578125" style="55" customWidth="1"/>
    <col min="4108" max="4108" width="12.5703125" style="55" customWidth="1"/>
    <col min="4109" max="4109" width="11.7109375" style="55" customWidth="1"/>
    <col min="4110" max="4110" width="12" style="55" customWidth="1"/>
    <col min="4111" max="4111" width="0" style="55" hidden="1" customWidth="1"/>
    <col min="4112" max="4112" width="13.28515625" style="55" customWidth="1"/>
    <col min="4113" max="4113" width="11.7109375" style="55" customWidth="1"/>
    <col min="4114" max="4114" width="11.42578125" style="55" customWidth="1"/>
    <col min="4115" max="4115" width="13" style="55" customWidth="1"/>
    <col min="4116" max="4116" width="13.42578125" style="55" customWidth="1"/>
    <col min="4117" max="4117" width="0" style="55" hidden="1" customWidth="1"/>
    <col min="4118" max="4118" width="13.28515625" style="55" customWidth="1"/>
    <col min="4119" max="4119" width="13.140625" style="55" customWidth="1"/>
    <col min="4120" max="4120" width="12.140625" style="55" customWidth="1"/>
    <col min="4121" max="4122" width="11.85546875" style="55" customWidth="1"/>
    <col min="4123" max="4123" width="0" style="55" hidden="1" customWidth="1"/>
    <col min="4124" max="4124" width="12.28515625" style="55" bestFit="1" customWidth="1"/>
    <col min="4125" max="4125" width="10.7109375" style="55" customWidth="1"/>
    <col min="4126" max="4126" width="11.85546875" style="55" customWidth="1"/>
    <col min="4127" max="4127" width="13.140625" style="55" customWidth="1"/>
    <col min="4128" max="4128" width="13" style="55" customWidth="1"/>
    <col min="4129" max="4129" width="0" style="55" hidden="1" customWidth="1"/>
    <col min="4130" max="4130" width="11" style="55" customWidth="1"/>
    <col min="4131" max="4131" width="13" style="55" customWidth="1"/>
    <col min="4132" max="4132" width="12.5703125" style="55" customWidth="1"/>
    <col min="4133" max="4133" width="11.85546875" style="55" customWidth="1"/>
    <col min="4134" max="4134" width="12.28515625" style="55" customWidth="1"/>
    <col min="4135" max="4135" width="0" style="55" hidden="1" customWidth="1"/>
    <col min="4136" max="4136" width="12.85546875" style="55" customWidth="1"/>
    <col min="4137" max="4143" width="0" style="55" hidden="1" customWidth="1"/>
    <col min="4144" max="4144" width="60.85546875" style="55" customWidth="1"/>
    <col min="4145" max="4150" width="27.42578125" style="55" customWidth="1"/>
    <col min="4151" max="4153" width="31.28515625" style="55" customWidth="1"/>
    <col min="4154" max="4154" width="27.42578125" style="55" customWidth="1"/>
    <col min="4155" max="4157" width="34.28515625" style="55" customWidth="1"/>
    <col min="4158" max="4161" width="27.42578125" style="55" customWidth="1"/>
    <col min="4162" max="4162" width="39.42578125" style="55" customWidth="1"/>
    <col min="4163" max="4163" width="41.28515625" style="55" customWidth="1"/>
    <col min="4164" max="4175" width="27.42578125" style="55" customWidth="1"/>
    <col min="4176" max="4177" width="9.140625" style="55"/>
    <col min="4178" max="4178" width="10.28515625" style="55" bestFit="1" customWidth="1"/>
    <col min="4179" max="4180" width="9.140625" style="55"/>
    <col min="4181" max="4181" width="10.28515625" style="55" bestFit="1" customWidth="1"/>
    <col min="4182" max="4183" width="9.140625" style="55"/>
    <col min="4184" max="4184" width="10.28515625" style="55" bestFit="1" customWidth="1"/>
    <col min="4185" max="4186" width="9.140625" style="55"/>
    <col min="4187" max="4187" width="10.28515625" style="55" bestFit="1" customWidth="1"/>
    <col min="4188" max="4189" width="9.140625" style="55"/>
    <col min="4190" max="4190" width="10.28515625" style="55" bestFit="1" customWidth="1"/>
    <col min="4191" max="4192" width="9.140625" style="55"/>
    <col min="4193" max="4193" width="10.28515625" style="55" bestFit="1" customWidth="1"/>
    <col min="4194" max="4195" width="9.140625" style="55"/>
    <col min="4196" max="4196" width="10.28515625" style="55" bestFit="1" customWidth="1"/>
    <col min="4197" max="4198" width="9.140625" style="55"/>
    <col min="4199" max="4199" width="10.28515625" style="55" bestFit="1" customWidth="1"/>
    <col min="4200" max="4201" width="9.140625" style="55"/>
    <col min="4202" max="4202" width="10.28515625" style="55" bestFit="1" customWidth="1"/>
    <col min="4203" max="4204" width="9.140625" style="55"/>
    <col min="4205" max="4205" width="10.28515625" style="55" bestFit="1" customWidth="1"/>
    <col min="4206" max="4207" width="9.140625" style="55"/>
    <col min="4208" max="4208" width="10.28515625" style="55" bestFit="1" customWidth="1"/>
    <col min="4209" max="4210" width="9.140625" style="55"/>
    <col min="4211" max="4211" width="10.28515625" style="55" bestFit="1" customWidth="1"/>
    <col min="4212" max="4213" width="9.140625" style="55"/>
    <col min="4214" max="4214" width="10.28515625" style="55" bestFit="1" customWidth="1"/>
    <col min="4215" max="4216" width="9.140625" style="55"/>
    <col min="4217" max="4217" width="10.28515625" style="55" bestFit="1" customWidth="1"/>
    <col min="4218" max="4219" width="9.140625" style="55"/>
    <col min="4220" max="4220" width="10.28515625" style="55" bestFit="1" customWidth="1"/>
    <col min="4221" max="4222" width="9.140625" style="55"/>
    <col min="4223" max="4223" width="10.28515625" style="55" bestFit="1" customWidth="1"/>
    <col min="4224" max="4225" width="9.140625" style="55"/>
    <col min="4226" max="4226" width="10.28515625" style="55" bestFit="1" customWidth="1"/>
    <col min="4227" max="4228" width="9.140625" style="55"/>
    <col min="4229" max="4229" width="10.28515625" style="55" bestFit="1" customWidth="1"/>
    <col min="4230" max="4231" width="9.140625" style="55"/>
    <col min="4232" max="4232" width="10.28515625" style="55" bestFit="1" customWidth="1"/>
    <col min="4233" max="4234" width="9.140625" style="55"/>
    <col min="4235" max="4235" width="10.28515625" style="55" bestFit="1" customWidth="1"/>
    <col min="4236" max="4237" width="9.140625" style="55"/>
    <col min="4238" max="4238" width="10.28515625" style="55" bestFit="1" customWidth="1"/>
    <col min="4239" max="4240" width="9.140625" style="55"/>
    <col min="4241" max="4241" width="10.28515625" style="55" bestFit="1" customWidth="1"/>
    <col min="4242" max="4243" width="9.140625" style="55"/>
    <col min="4244" max="4244" width="10.28515625" style="55" bestFit="1" customWidth="1"/>
    <col min="4245" max="4246" width="9.140625" style="55"/>
    <col min="4247" max="4247" width="10.28515625" style="55" bestFit="1" customWidth="1"/>
    <col min="4248" max="4249" width="9.140625" style="55"/>
    <col min="4250" max="4250" width="10.28515625" style="55" bestFit="1" customWidth="1"/>
    <col min="4251" max="4252" width="9.140625" style="55"/>
    <col min="4253" max="4253" width="10.28515625" style="55" bestFit="1" customWidth="1"/>
    <col min="4254" max="4255" width="9.140625" style="55"/>
    <col min="4256" max="4256" width="10.28515625" style="55" bestFit="1" customWidth="1"/>
    <col min="4257" max="4258" width="9.140625" style="55"/>
    <col min="4259" max="4259" width="10.28515625" style="55" bestFit="1" customWidth="1"/>
    <col min="4260" max="4261" width="9.140625" style="55"/>
    <col min="4262" max="4262" width="10.28515625" style="55" bestFit="1" customWidth="1"/>
    <col min="4263" max="4264" width="9.140625" style="55"/>
    <col min="4265" max="4265" width="10.28515625" style="55" bestFit="1" customWidth="1"/>
    <col min="4266" max="4267" width="9.140625" style="55"/>
    <col min="4268" max="4268" width="10.28515625" style="55" bestFit="1" customWidth="1"/>
    <col min="4269" max="4270" width="9.140625" style="55"/>
    <col min="4271" max="4271" width="10.28515625" style="55" bestFit="1" customWidth="1"/>
    <col min="4272" max="4273" width="9.140625" style="55"/>
    <col min="4274" max="4274" width="10.28515625" style="55" bestFit="1" customWidth="1"/>
    <col min="4275" max="4276" width="9.140625" style="55"/>
    <col min="4277" max="4277" width="10.28515625" style="55" bestFit="1" customWidth="1"/>
    <col min="4278" max="4279" width="9.140625" style="55"/>
    <col min="4280" max="4280" width="10.28515625" style="55" bestFit="1" customWidth="1"/>
    <col min="4281" max="4282" width="9.140625" style="55"/>
    <col min="4283" max="4283" width="10.28515625" style="55" bestFit="1" customWidth="1"/>
    <col min="4284" max="4285" width="9.140625" style="55"/>
    <col min="4286" max="4286" width="10.28515625" style="55" bestFit="1" customWidth="1"/>
    <col min="4287" max="4288" width="9.140625" style="55"/>
    <col min="4289" max="4289" width="10.28515625" style="55" bestFit="1" customWidth="1"/>
    <col min="4290" max="4291" width="9.140625" style="55"/>
    <col min="4292" max="4292" width="10.28515625" style="55" bestFit="1" customWidth="1"/>
    <col min="4293" max="4294" width="9.140625" style="55"/>
    <col min="4295" max="4295" width="10.28515625" style="55" bestFit="1" customWidth="1"/>
    <col min="4296" max="4297" width="9.140625" style="55"/>
    <col min="4298" max="4298" width="10.28515625" style="55" bestFit="1" customWidth="1"/>
    <col min="4299" max="4300" width="9.140625" style="55"/>
    <col min="4301" max="4301" width="10.28515625" style="55" bestFit="1" customWidth="1"/>
    <col min="4302" max="4303" width="9.140625" style="55"/>
    <col min="4304" max="4304" width="10.28515625" style="55" bestFit="1" customWidth="1"/>
    <col min="4305" max="4306" width="9.140625" style="55"/>
    <col min="4307" max="4307" width="10.28515625" style="55" bestFit="1" customWidth="1"/>
    <col min="4308" max="4309" width="9.140625" style="55"/>
    <col min="4310" max="4310" width="10.28515625" style="55" bestFit="1" customWidth="1"/>
    <col min="4311" max="4312" width="9.140625" style="55"/>
    <col min="4313" max="4313" width="10.28515625" style="55" bestFit="1" customWidth="1"/>
    <col min="4314" max="4315" width="9.140625" style="55"/>
    <col min="4316" max="4316" width="10.28515625" style="55" bestFit="1" customWidth="1"/>
    <col min="4317" max="4352" width="9.140625" style="55"/>
    <col min="4353" max="4353" width="6.28515625" style="55" customWidth="1"/>
    <col min="4354" max="4354" width="81.42578125" style="55" customWidth="1"/>
    <col min="4355" max="4355" width="10" style="55" customWidth="1"/>
    <col min="4356" max="4356" width="15.85546875" style="55" customWidth="1"/>
    <col min="4357" max="4357" width="13.5703125" style="55" customWidth="1"/>
    <col min="4358" max="4358" width="12.7109375" style="55" customWidth="1"/>
    <col min="4359" max="4359" width="11.5703125" style="55" customWidth="1"/>
    <col min="4360" max="4360" width="13" style="55" customWidth="1"/>
    <col min="4361" max="4361" width="0" style="55" hidden="1" customWidth="1"/>
    <col min="4362" max="4362" width="11" style="55" customWidth="1"/>
    <col min="4363" max="4363" width="13.42578125" style="55" customWidth="1"/>
    <col min="4364" max="4364" width="12.5703125" style="55" customWidth="1"/>
    <col min="4365" max="4365" width="11.7109375" style="55" customWidth="1"/>
    <col min="4366" max="4366" width="12" style="55" customWidth="1"/>
    <col min="4367" max="4367" width="0" style="55" hidden="1" customWidth="1"/>
    <col min="4368" max="4368" width="13.28515625" style="55" customWidth="1"/>
    <col min="4369" max="4369" width="11.7109375" style="55" customWidth="1"/>
    <col min="4370" max="4370" width="11.42578125" style="55" customWidth="1"/>
    <col min="4371" max="4371" width="13" style="55" customWidth="1"/>
    <col min="4372" max="4372" width="13.42578125" style="55" customWidth="1"/>
    <col min="4373" max="4373" width="0" style="55" hidden="1" customWidth="1"/>
    <col min="4374" max="4374" width="13.28515625" style="55" customWidth="1"/>
    <col min="4375" max="4375" width="13.140625" style="55" customWidth="1"/>
    <col min="4376" max="4376" width="12.140625" style="55" customWidth="1"/>
    <col min="4377" max="4378" width="11.85546875" style="55" customWidth="1"/>
    <col min="4379" max="4379" width="0" style="55" hidden="1" customWidth="1"/>
    <col min="4380" max="4380" width="12.28515625" style="55" bestFit="1" customWidth="1"/>
    <col min="4381" max="4381" width="10.7109375" style="55" customWidth="1"/>
    <col min="4382" max="4382" width="11.85546875" style="55" customWidth="1"/>
    <col min="4383" max="4383" width="13.140625" style="55" customWidth="1"/>
    <col min="4384" max="4384" width="13" style="55" customWidth="1"/>
    <col min="4385" max="4385" width="0" style="55" hidden="1" customWidth="1"/>
    <col min="4386" max="4386" width="11" style="55" customWidth="1"/>
    <col min="4387" max="4387" width="13" style="55" customWidth="1"/>
    <col min="4388" max="4388" width="12.5703125" style="55" customWidth="1"/>
    <col min="4389" max="4389" width="11.85546875" style="55" customWidth="1"/>
    <col min="4390" max="4390" width="12.28515625" style="55" customWidth="1"/>
    <col min="4391" max="4391" width="0" style="55" hidden="1" customWidth="1"/>
    <col min="4392" max="4392" width="12.85546875" style="55" customWidth="1"/>
    <col min="4393" max="4399" width="0" style="55" hidden="1" customWidth="1"/>
    <col min="4400" max="4400" width="60.85546875" style="55" customWidth="1"/>
    <col min="4401" max="4406" width="27.42578125" style="55" customWidth="1"/>
    <col min="4407" max="4409" width="31.28515625" style="55" customWidth="1"/>
    <col min="4410" max="4410" width="27.42578125" style="55" customWidth="1"/>
    <col min="4411" max="4413" width="34.28515625" style="55" customWidth="1"/>
    <col min="4414" max="4417" width="27.42578125" style="55" customWidth="1"/>
    <col min="4418" max="4418" width="39.42578125" style="55" customWidth="1"/>
    <col min="4419" max="4419" width="41.28515625" style="55" customWidth="1"/>
    <col min="4420" max="4431" width="27.42578125" style="55" customWidth="1"/>
    <col min="4432" max="4433" width="9.140625" style="55"/>
    <col min="4434" max="4434" width="10.28515625" style="55" bestFit="1" customWidth="1"/>
    <col min="4435" max="4436" width="9.140625" style="55"/>
    <col min="4437" max="4437" width="10.28515625" style="55" bestFit="1" customWidth="1"/>
    <col min="4438" max="4439" width="9.140625" style="55"/>
    <col min="4440" max="4440" width="10.28515625" style="55" bestFit="1" customWidth="1"/>
    <col min="4441" max="4442" width="9.140625" style="55"/>
    <col min="4443" max="4443" width="10.28515625" style="55" bestFit="1" customWidth="1"/>
    <col min="4444" max="4445" width="9.140625" style="55"/>
    <col min="4446" max="4446" width="10.28515625" style="55" bestFit="1" customWidth="1"/>
    <col min="4447" max="4448" width="9.140625" style="55"/>
    <col min="4449" max="4449" width="10.28515625" style="55" bestFit="1" customWidth="1"/>
    <col min="4450" max="4451" width="9.140625" style="55"/>
    <col min="4452" max="4452" width="10.28515625" style="55" bestFit="1" customWidth="1"/>
    <col min="4453" max="4454" width="9.140625" style="55"/>
    <col min="4455" max="4455" width="10.28515625" style="55" bestFit="1" customWidth="1"/>
    <col min="4456" max="4457" width="9.140625" style="55"/>
    <col min="4458" max="4458" width="10.28515625" style="55" bestFit="1" customWidth="1"/>
    <col min="4459" max="4460" width="9.140625" style="55"/>
    <col min="4461" max="4461" width="10.28515625" style="55" bestFit="1" customWidth="1"/>
    <col min="4462" max="4463" width="9.140625" style="55"/>
    <col min="4464" max="4464" width="10.28515625" style="55" bestFit="1" customWidth="1"/>
    <col min="4465" max="4466" width="9.140625" style="55"/>
    <col min="4467" max="4467" width="10.28515625" style="55" bestFit="1" customWidth="1"/>
    <col min="4468" max="4469" width="9.140625" style="55"/>
    <col min="4470" max="4470" width="10.28515625" style="55" bestFit="1" customWidth="1"/>
    <col min="4471" max="4472" width="9.140625" style="55"/>
    <col min="4473" max="4473" width="10.28515625" style="55" bestFit="1" customWidth="1"/>
    <col min="4474" max="4475" width="9.140625" style="55"/>
    <col min="4476" max="4476" width="10.28515625" style="55" bestFit="1" customWidth="1"/>
    <col min="4477" max="4478" width="9.140625" style="55"/>
    <col min="4479" max="4479" width="10.28515625" style="55" bestFit="1" customWidth="1"/>
    <col min="4480" max="4481" width="9.140625" style="55"/>
    <col min="4482" max="4482" width="10.28515625" style="55" bestFit="1" customWidth="1"/>
    <col min="4483" max="4484" width="9.140625" style="55"/>
    <col min="4485" max="4485" width="10.28515625" style="55" bestFit="1" customWidth="1"/>
    <col min="4486" max="4487" width="9.140625" style="55"/>
    <col min="4488" max="4488" width="10.28515625" style="55" bestFit="1" customWidth="1"/>
    <col min="4489" max="4490" width="9.140625" style="55"/>
    <col min="4491" max="4491" width="10.28515625" style="55" bestFit="1" customWidth="1"/>
    <col min="4492" max="4493" width="9.140625" style="55"/>
    <col min="4494" max="4494" width="10.28515625" style="55" bestFit="1" customWidth="1"/>
    <col min="4495" max="4496" width="9.140625" style="55"/>
    <col min="4497" max="4497" width="10.28515625" style="55" bestFit="1" customWidth="1"/>
    <col min="4498" max="4499" width="9.140625" style="55"/>
    <col min="4500" max="4500" width="10.28515625" style="55" bestFit="1" customWidth="1"/>
    <col min="4501" max="4502" width="9.140625" style="55"/>
    <col min="4503" max="4503" width="10.28515625" style="55" bestFit="1" customWidth="1"/>
    <col min="4504" max="4505" width="9.140625" style="55"/>
    <col min="4506" max="4506" width="10.28515625" style="55" bestFit="1" customWidth="1"/>
    <col min="4507" max="4508" width="9.140625" style="55"/>
    <col min="4509" max="4509" width="10.28515625" style="55" bestFit="1" customWidth="1"/>
    <col min="4510" max="4511" width="9.140625" style="55"/>
    <col min="4512" max="4512" width="10.28515625" style="55" bestFit="1" customWidth="1"/>
    <col min="4513" max="4514" width="9.140625" style="55"/>
    <col min="4515" max="4515" width="10.28515625" style="55" bestFit="1" customWidth="1"/>
    <col min="4516" max="4517" width="9.140625" style="55"/>
    <col min="4518" max="4518" width="10.28515625" style="55" bestFit="1" customWidth="1"/>
    <col min="4519" max="4520" width="9.140625" style="55"/>
    <col min="4521" max="4521" width="10.28515625" style="55" bestFit="1" customWidth="1"/>
    <col min="4522" max="4523" width="9.140625" style="55"/>
    <col min="4524" max="4524" width="10.28515625" style="55" bestFit="1" customWidth="1"/>
    <col min="4525" max="4526" width="9.140625" style="55"/>
    <col min="4527" max="4527" width="10.28515625" style="55" bestFit="1" customWidth="1"/>
    <col min="4528" max="4529" width="9.140625" style="55"/>
    <col min="4530" max="4530" width="10.28515625" style="55" bestFit="1" customWidth="1"/>
    <col min="4531" max="4532" width="9.140625" style="55"/>
    <col min="4533" max="4533" width="10.28515625" style="55" bestFit="1" customWidth="1"/>
    <col min="4534" max="4535" width="9.140625" style="55"/>
    <col min="4536" max="4536" width="10.28515625" style="55" bestFit="1" customWidth="1"/>
    <col min="4537" max="4538" width="9.140625" style="55"/>
    <col min="4539" max="4539" width="10.28515625" style="55" bestFit="1" customWidth="1"/>
    <col min="4540" max="4541" width="9.140625" style="55"/>
    <col min="4542" max="4542" width="10.28515625" style="55" bestFit="1" customWidth="1"/>
    <col min="4543" max="4544" width="9.140625" style="55"/>
    <col min="4545" max="4545" width="10.28515625" style="55" bestFit="1" customWidth="1"/>
    <col min="4546" max="4547" width="9.140625" style="55"/>
    <col min="4548" max="4548" width="10.28515625" style="55" bestFit="1" customWidth="1"/>
    <col min="4549" max="4550" width="9.140625" style="55"/>
    <col min="4551" max="4551" width="10.28515625" style="55" bestFit="1" customWidth="1"/>
    <col min="4552" max="4553" width="9.140625" style="55"/>
    <col min="4554" max="4554" width="10.28515625" style="55" bestFit="1" customWidth="1"/>
    <col min="4555" max="4556" width="9.140625" style="55"/>
    <col min="4557" max="4557" width="10.28515625" style="55" bestFit="1" customWidth="1"/>
    <col min="4558" max="4559" width="9.140625" style="55"/>
    <col min="4560" max="4560" width="10.28515625" style="55" bestFit="1" customWidth="1"/>
    <col min="4561" max="4562" width="9.140625" style="55"/>
    <col min="4563" max="4563" width="10.28515625" style="55" bestFit="1" customWidth="1"/>
    <col min="4564" max="4565" width="9.140625" style="55"/>
    <col min="4566" max="4566" width="10.28515625" style="55" bestFit="1" customWidth="1"/>
    <col min="4567" max="4568" width="9.140625" style="55"/>
    <col min="4569" max="4569" width="10.28515625" style="55" bestFit="1" customWidth="1"/>
    <col min="4570" max="4571" width="9.140625" style="55"/>
    <col min="4572" max="4572" width="10.28515625" style="55" bestFit="1" customWidth="1"/>
    <col min="4573" max="4608" width="9.140625" style="55"/>
    <col min="4609" max="4609" width="6.28515625" style="55" customWidth="1"/>
    <col min="4610" max="4610" width="81.42578125" style="55" customWidth="1"/>
    <col min="4611" max="4611" width="10" style="55" customWidth="1"/>
    <col min="4612" max="4612" width="15.85546875" style="55" customWidth="1"/>
    <col min="4613" max="4613" width="13.5703125" style="55" customWidth="1"/>
    <col min="4614" max="4614" width="12.7109375" style="55" customWidth="1"/>
    <col min="4615" max="4615" width="11.5703125" style="55" customWidth="1"/>
    <col min="4616" max="4616" width="13" style="55" customWidth="1"/>
    <col min="4617" max="4617" width="0" style="55" hidden="1" customWidth="1"/>
    <col min="4618" max="4618" width="11" style="55" customWidth="1"/>
    <col min="4619" max="4619" width="13.42578125" style="55" customWidth="1"/>
    <col min="4620" max="4620" width="12.5703125" style="55" customWidth="1"/>
    <col min="4621" max="4621" width="11.7109375" style="55" customWidth="1"/>
    <col min="4622" max="4622" width="12" style="55" customWidth="1"/>
    <col min="4623" max="4623" width="0" style="55" hidden="1" customWidth="1"/>
    <col min="4624" max="4624" width="13.28515625" style="55" customWidth="1"/>
    <col min="4625" max="4625" width="11.7109375" style="55" customWidth="1"/>
    <col min="4626" max="4626" width="11.42578125" style="55" customWidth="1"/>
    <col min="4627" max="4627" width="13" style="55" customWidth="1"/>
    <col min="4628" max="4628" width="13.42578125" style="55" customWidth="1"/>
    <col min="4629" max="4629" width="0" style="55" hidden="1" customWidth="1"/>
    <col min="4630" max="4630" width="13.28515625" style="55" customWidth="1"/>
    <col min="4631" max="4631" width="13.140625" style="55" customWidth="1"/>
    <col min="4632" max="4632" width="12.140625" style="55" customWidth="1"/>
    <col min="4633" max="4634" width="11.85546875" style="55" customWidth="1"/>
    <col min="4635" max="4635" width="0" style="55" hidden="1" customWidth="1"/>
    <col min="4636" max="4636" width="12.28515625" style="55" bestFit="1" customWidth="1"/>
    <col min="4637" max="4637" width="10.7109375" style="55" customWidth="1"/>
    <col min="4638" max="4638" width="11.85546875" style="55" customWidth="1"/>
    <col min="4639" max="4639" width="13.140625" style="55" customWidth="1"/>
    <col min="4640" max="4640" width="13" style="55" customWidth="1"/>
    <col min="4641" max="4641" width="0" style="55" hidden="1" customWidth="1"/>
    <col min="4642" max="4642" width="11" style="55" customWidth="1"/>
    <col min="4643" max="4643" width="13" style="55" customWidth="1"/>
    <col min="4644" max="4644" width="12.5703125" style="55" customWidth="1"/>
    <col min="4645" max="4645" width="11.85546875" style="55" customWidth="1"/>
    <col min="4646" max="4646" width="12.28515625" style="55" customWidth="1"/>
    <col min="4647" max="4647" width="0" style="55" hidden="1" customWidth="1"/>
    <col min="4648" max="4648" width="12.85546875" style="55" customWidth="1"/>
    <col min="4649" max="4655" width="0" style="55" hidden="1" customWidth="1"/>
    <col min="4656" max="4656" width="60.85546875" style="55" customWidth="1"/>
    <col min="4657" max="4662" width="27.42578125" style="55" customWidth="1"/>
    <col min="4663" max="4665" width="31.28515625" style="55" customWidth="1"/>
    <col min="4666" max="4666" width="27.42578125" style="55" customWidth="1"/>
    <col min="4667" max="4669" width="34.28515625" style="55" customWidth="1"/>
    <col min="4670" max="4673" width="27.42578125" style="55" customWidth="1"/>
    <col min="4674" max="4674" width="39.42578125" style="55" customWidth="1"/>
    <col min="4675" max="4675" width="41.28515625" style="55" customWidth="1"/>
    <col min="4676" max="4687" width="27.42578125" style="55" customWidth="1"/>
    <col min="4688" max="4689" width="9.140625" style="55"/>
    <col min="4690" max="4690" width="10.28515625" style="55" bestFit="1" customWidth="1"/>
    <col min="4691" max="4692" width="9.140625" style="55"/>
    <col min="4693" max="4693" width="10.28515625" style="55" bestFit="1" customWidth="1"/>
    <col min="4694" max="4695" width="9.140625" style="55"/>
    <col min="4696" max="4696" width="10.28515625" style="55" bestFit="1" customWidth="1"/>
    <col min="4697" max="4698" width="9.140625" style="55"/>
    <col min="4699" max="4699" width="10.28515625" style="55" bestFit="1" customWidth="1"/>
    <col min="4700" max="4701" width="9.140625" style="55"/>
    <col min="4702" max="4702" width="10.28515625" style="55" bestFit="1" customWidth="1"/>
    <col min="4703" max="4704" width="9.140625" style="55"/>
    <col min="4705" max="4705" width="10.28515625" style="55" bestFit="1" customWidth="1"/>
    <col min="4706" max="4707" width="9.140625" style="55"/>
    <col min="4708" max="4708" width="10.28515625" style="55" bestFit="1" customWidth="1"/>
    <col min="4709" max="4710" width="9.140625" style="55"/>
    <col min="4711" max="4711" width="10.28515625" style="55" bestFit="1" customWidth="1"/>
    <col min="4712" max="4713" width="9.140625" style="55"/>
    <col min="4714" max="4714" width="10.28515625" style="55" bestFit="1" customWidth="1"/>
    <col min="4715" max="4716" width="9.140625" style="55"/>
    <col min="4717" max="4717" width="10.28515625" style="55" bestFit="1" customWidth="1"/>
    <col min="4718" max="4719" width="9.140625" style="55"/>
    <col min="4720" max="4720" width="10.28515625" style="55" bestFit="1" customWidth="1"/>
    <col min="4721" max="4722" width="9.140625" style="55"/>
    <col min="4723" max="4723" width="10.28515625" style="55" bestFit="1" customWidth="1"/>
    <col min="4724" max="4725" width="9.140625" style="55"/>
    <col min="4726" max="4726" width="10.28515625" style="55" bestFit="1" customWidth="1"/>
    <col min="4727" max="4728" width="9.140625" style="55"/>
    <col min="4729" max="4729" width="10.28515625" style="55" bestFit="1" customWidth="1"/>
    <col min="4730" max="4731" width="9.140625" style="55"/>
    <col min="4732" max="4732" width="10.28515625" style="55" bestFit="1" customWidth="1"/>
    <col min="4733" max="4734" width="9.140625" style="55"/>
    <col min="4735" max="4735" width="10.28515625" style="55" bestFit="1" customWidth="1"/>
    <col min="4736" max="4737" width="9.140625" style="55"/>
    <col min="4738" max="4738" width="10.28515625" style="55" bestFit="1" customWidth="1"/>
    <col min="4739" max="4740" width="9.140625" style="55"/>
    <col min="4741" max="4741" width="10.28515625" style="55" bestFit="1" customWidth="1"/>
    <col min="4742" max="4743" width="9.140625" style="55"/>
    <col min="4744" max="4744" width="10.28515625" style="55" bestFit="1" customWidth="1"/>
    <col min="4745" max="4746" width="9.140625" style="55"/>
    <col min="4747" max="4747" width="10.28515625" style="55" bestFit="1" customWidth="1"/>
    <col min="4748" max="4749" width="9.140625" style="55"/>
    <col min="4750" max="4750" width="10.28515625" style="55" bestFit="1" customWidth="1"/>
    <col min="4751" max="4752" width="9.140625" style="55"/>
    <col min="4753" max="4753" width="10.28515625" style="55" bestFit="1" customWidth="1"/>
    <col min="4754" max="4755" width="9.140625" style="55"/>
    <col min="4756" max="4756" width="10.28515625" style="55" bestFit="1" customWidth="1"/>
    <col min="4757" max="4758" width="9.140625" style="55"/>
    <col min="4759" max="4759" width="10.28515625" style="55" bestFit="1" customWidth="1"/>
    <col min="4760" max="4761" width="9.140625" style="55"/>
    <col min="4762" max="4762" width="10.28515625" style="55" bestFit="1" customWidth="1"/>
    <col min="4763" max="4764" width="9.140625" style="55"/>
    <col min="4765" max="4765" width="10.28515625" style="55" bestFit="1" customWidth="1"/>
    <col min="4766" max="4767" width="9.140625" style="55"/>
    <col min="4768" max="4768" width="10.28515625" style="55" bestFit="1" customWidth="1"/>
    <col min="4769" max="4770" width="9.140625" style="55"/>
    <col min="4771" max="4771" width="10.28515625" style="55" bestFit="1" customWidth="1"/>
    <col min="4772" max="4773" width="9.140625" style="55"/>
    <col min="4774" max="4774" width="10.28515625" style="55" bestFit="1" customWidth="1"/>
    <col min="4775" max="4776" width="9.140625" style="55"/>
    <col min="4777" max="4777" width="10.28515625" style="55" bestFit="1" customWidth="1"/>
    <col min="4778" max="4779" width="9.140625" style="55"/>
    <col min="4780" max="4780" width="10.28515625" style="55" bestFit="1" customWidth="1"/>
    <col min="4781" max="4782" width="9.140625" style="55"/>
    <col min="4783" max="4783" width="10.28515625" style="55" bestFit="1" customWidth="1"/>
    <col min="4784" max="4785" width="9.140625" style="55"/>
    <col min="4786" max="4786" width="10.28515625" style="55" bestFit="1" customWidth="1"/>
    <col min="4787" max="4788" width="9.140625" style="55"/>
    <col min="4789" max="4789" width="10.28515625" style="55" bestFit="1" customWidth="1"/>
    <col min="4790" max="4791" width="9.140625" style="55"/>
    <col min="4792" max="4792" width="10.28515625" style="55" bestFit="1" customWidth="1"/>
    <col min="4793" max="4794" width="9.140625" style="55"/>
    <col min="4795" max="4795" width="10.28515625" style="55" bestFit="1" customWidth="1"/>
    <col min="4796" max="4797" width="9.140625" style="55"/>
    <col min="4798" max="4798" width="10.28515625" style="55" bestFit="1" customWidth="1"/>
    <col min="4799" max="4800" width="9.140625" style="55"/>
    <col min="4801" max="4801" width="10.28515625" style="55" bestFit="1" customWidth="1"/>
    <col min="4802" max="4803" width="9.140625" style="55"/>
    <col min="4804" max="4804" width="10.28515625" style="55" bestFit="1" customWidth="1"/>
    <col min="4805" max="4806" width="9.140625" style="55"/>
    <col min="4807" max="4807" width="10.28515625" style="55" bestFit="1" customWidth="1"/>
    <col min="4808" max="4809" width="9.140625" style="55"/>
    <col min="4810" max="4810" width="10.28515625" style="55" bestFit="1" customWidth="1"/>
    <col min="4811" max="4812" width="9.140625" style="55"/>
    <col min="4813" max="4813" width="10.28515625" style="55" bestFit="1" customWidth="1"/>
    <col min="4814" max="4815" width="9.140625" style="55"/>
    <col min="4816" max="4816" width="10.28515625" style="55" bestFit="1" customWidth="1"/>
    <col min="4817" max="4818" width="9.140625" style="55"/>
    <col min="4819" max="4819" width="10.28515625" style="55" bestFit="1" customWidth="1"/>
    <col min="4820" max="4821" width="9.140625" style="55"/>
    <col min="4822" max="4822" width="10.28515625" style="55" bestFit="1" customWidth="1"/>
    <col min="4823" max="4824" width="9.140625" style="55"/>
    <col min="4825" max="4825" width="10.28515625" style="55" bestFit="1" customWidth="1"/>
    <col min="4826" max="4827" width="9.140625" style="55"/>
    <col min="4828" max="4828" width="10.28515625" style="55" bestFit="1" customWidth="1"/>
    <col min="4829" max="4864" width="9.140625" style="55"/>
    <col min="4865" max="4865" width="6.28515625" style="55" customWidth="1"/>
    <col min="4866" max="4866" width="81.42578125" style="55" customWidth="1"/>
    <col min="4867" max="4867" width="10" style="55" customWidth="1"/>
    <col min="4868" max="4868" width="15.85546875" style="55" customWidth="1"/>
    <col min="4869" max="4869" width="13.5703125" style="55" customWidth="1"/>
    <col min="4870" max="4870" width="12.7109375" style="55" customWidth="1"/>
    <col min="4871" max="4871" width="11.5703125" style="55" customWidth="1"/>
    <col min="4872" max="4872" width="13" style="55" customWidth="1"/>
    <col min="4873" max="4873" width="0" style="55" hidden="1" customWidth="1"/>
    <col min="4874" max="4874" width="11" style="55" customWidth="1"/>
    <col min="4875" max="4875" width="13.42578125" style="55" customWidth="1"/>
    <col min="4876" max="4876" width="12.5703125" style="55" customWidth="1"/>
    <col min="4877" max="4877" width="11.7109375" style="55" customWidth="1"/>
    <col min="4878" max="4878" width="12" style="55" customWidth="1"/>
    <col min="4879" max="4879" width="0" style="55" hidden="1" customWidth="1"/>
    <col min="4880" max="4880" width="13.28515625" style="55" customWidth="1"/>
    <col min="4881" max="4881" width="11.7109375" style="55" customWidth="1"/>
    <col min="4882" max="4882" width="11.42578125" style="55" customWidth="1"/>
    <col min="4883" max="4883" width="13" style="55" customWidth="1"/>
    <col min="4884" max="4884" width="13.42578125" style="55" customWidth="1"/>
    <col min="4885" max="4885" width="0" style="55" hidden="1" customWidth="1"/>
    <col min="4886" max="4886" width="13.28515625" style="55" customWidth="1"/>
    <col min="4887" max="4887" width="13.140625" style="55" customWidth="1"/>
    <col min="4888" max="4888" width="12.140625" style="55" customWidth="1"/>
    <col min="4889" max="4890" width="11.85546875" style="55" customWidth="1"/>
    <col min="4891" max="4891" width="0" style="55" hidden="1" customWidth="1"/>
    <col min="4892" max="4892" width="12.28515625" style="55" bestFit="1" customWidth="1"/>
    <col min="4893" max="4893" width="10.7109375" style="55" customWidth="1"/>
    <col min="4894" max="4894" width="11.85546875" style="55" customWidth="1"/>
    <col min="4895" max="4895" width="13.140625" style="55" customWidth="1"/>
    <col min="4896" max="4896" width="13" style="55" customWidth="1"/>
    <col min="4897" max="4897" width="0" style="55" hidden="1" customWidth="1"/>
    <col min="4898" max="4898" width="11" style="55" customWidth="1"/>
    <col min="4899" max="4899" width="13" style="55" customWidth="1"/>
    <col min="4900" max="4900" width="12.5703125" style="55" customWidth="1"/>
    <col min="4901" max="4901" width="11.85546875" style="55" customWidth="1"/>
    <col min="4902" max="4902" width="12.28515625" style="55" customWidth="1"/>
    <col min="4903" max="4903" width="0" style="55" hidden="1" customWidth="1"/>
    <col min="4904" max="4904" width="12.85546875" style="55" customWidth="1"/>
    <col min="4905" max="4911" width="0" style="55" hidden="1" customWidth="1"/>
    <col min="4912" max="4912" width="60.85546875" style="55" customWidth="1"/>
    <col min="4913" max="4918" width="27.42578125" style="55" customWidth="1"/>
    <col min="4919" max="4921" width="31.28515625" style="55" customWidth="1"/>
    <col min="4922" max="4922" width="27.42578125" style="55" customWidth="1"/>
    <col min="4923" max="4925" width="34.28515625" style="55" customWidth="1"/>
    <col min="4926" max="4929" width="27.42578125" style="55" customWidth="1"/>
    <col min="4930" max="4930" width="39.42578125" style="55" customWidth="1"/>
    <col min="4931" max="4931" width="41.28515625" style="55" customWidth="1"/>
    <col min="4932" max="4943" width="27.42578125" style="55" customWidth="1"/>
    <col min="4944" max="4945" width="9.140625" style="55"/>
    <col min="4946" max="4946" width="10.28515625" style="55" bestFit="1" customWidth="1"/>
    <col min="4947" max="4948" width="9.140625" style="55"/>
    <col min="4949" max="4949" width="10.28515625" style="55" bestFit="1" customWidth="1"/>
    <col min="4950" max="4951" width="9.140625" style="55"/>
    <col min="4952" max="4952" width="10.28515625" style="55" bestFit="1" customWidth="1"/>
    <col min="4953" max="4954" width="9.140625" style="55"/>
    <col min="4955" max="4955" width="10.28515625" style="55" bestFit="1" customWidth="1"/>
    <col min="4956" max="4957" width="9.140625" style="55"/>
    <col min="4958" max="4958" width="10.28515625" style="55" bestFit="1" customWidth="1"/>
    <col min="4959" max="4960" width="9.140625" style="55"/>
    <col min="4961" max="4961" width="10.28515625" style="55" bestFit="1" customWidth="1"/>
    <col min="4962" max="4963" width="9.140625" style="55"/>
    <col min="4964" max="4964" width="10.28515625" style="55" bestFit="1" customWidth="1"/>
    <col min="4965" max="4966" width="9.140625" style="55"/>
    <col min="4967" max="4967" width="10.28515625" style="55" bestFit="1" customWidth="1"/>
    <col min="4968" max="4969" width="9.140625" style="55"/>
    <col min="4970" max="4970" width="10.28515625" style="55" bestFit="1" customWidth="1"/>
    <col min="4971" max="4972" width="9.140625" style="55"/>
    <col min="4973" max="4973" width="10.28515625" style="55" bestFit="1" customWidth="1"/>
    <col min="4974" max="4975" width="9.140625" style="55"/>
    <col min="4976" max="4976" width="10.28515625" style="55" bestFit="1" customWidth="1"/>
    <col min="4977" max="4978" width="9.140625" style="55"/>
    <col min="4979" max="4979" width="10.28515625" style="55" bestFit="1" customWidth="1"/>
    <col min="4980" max="4981" width="9.140625" style="55"/>
    <col min="4982" max="4982" width="10.28515625" style="55" bestFit="1" customWidth="1"/>
    <col min="4983" max="4984" width="9.140625" style="55"/>
    <col min="4985" max="4985" width="10.28515625" style="55" bestFit="1" customWidth="1"/>
    <col min="4986" max="4987" width="9.140625" style="55"/>
    <col min="4988" max="4988" width="10.28515625" style="55" bestFit="1" customWidth="1"/>
    <col min="4989" max="4990" width="9.140625" style="55"/>
    <col min="4991" max="4991" width="10.28515625" style="55" bestFit="1" customWidth="1"/>
    <col min="4992" max="4993" width="9.140625" style="55"/>
    <col min="4994" max="4994" width="10.28515625" style="55" bestFit="1" customWidth="1"/>
    <col min="4995" max="4996" width="9.140625" style="55"/>
    <col min="4997" max="4997" width="10.28515625" style="55" bestFit="1" customWidth="1"/>
    <col min="4998" max="4999" width="9.140625" style="55"/>
    <col min="5000" max="5000" width="10.28515625" style="55" bestFit="1" customWidth="1"/>
    <col min="5001" max="5002" width="9.140625" style="55"/>
    <col min="5003" max="5003" width="10.28515625" style="55" bestFit="1" customWidth="1"/>
    <col min="5004" max="5005" width="9.140625" style="55"/>
    <col min="5006" max="5006" width="10.28515625" style="55" bestFit="1" customWidth="1"/>
    <col min="5007" max="5008" width="9.140625" style="55"/>
    <col min="5009" max="5009" width="10.28515625" style="55" bestFit="1" customWidth="1"/>
    <col min="5010" max="5011" width="9.140625" style="55"/>
    <col min="5012" max="5012" width="10.28515625" style="55" bestFit="1" customWidth="1"/>
    <col min="5013" max="5014" width="9.140625" style="55"/>
    <col min="5015" max="5015" width="10.28515625" style="55" bestFit="1" customWidth="1"/>
    <col min="5016" max="5017" width="9.140625" style="55"/>
    <col min="5018" max="5018" width="10.28515625" style="55" bestFit="1" customWidth="1"/>
    <col min="5019" max="5020" width="9.140625" style="55"/>
    <col min="5021" max="5021" width="10.28515625" style="55" bestFit="1" customWidth="1"/>
    <col min="5022" max="5023" width="9.140625" style="55"/>
    <col min="5024" max="5024" width="10.28515625" style="55" bestFit="1" customWidth="1"/>
    <col min="5025" max="5026" width="9.140625" style="55"/>
    <col min="5027" max="5027" width="10.28515625" style="55" bestFit="1" customWidth="1"/>
    <col min="5028" max="5029" width="9.140625" style="55"/>
    <col min="5030" max="5030" width="10.28515625" style="55" bestFit="1" customWidth="1"/>
    <col min="5031" max="5032" width="9.140625" style="55"/>
    <col min="5033" max="5033" width="10.28515625" style="55" bestFit="1" customWidth="1"/>
    <col min="5034" max="5035" width="9.140625" style="55"/>
    <col min="5036" max="5036" width="10.28515625" style="55" bestFit="1" customWidth="1"/>
    <col min="5037" max="5038" width="9.140625" style="55"/>
    <col min="5039" max="5039" width="10.28515625" style="55" bestFit="1" customWidth="1"/>
    <col min="5040" max="5041" width="9.140625" style="55"/>
    <col min="5042" max="5042" width="10.28515625" style="55" bestFit="1" customWidth="1"/>
    <col min="5043" max="5044" width="9.140625" style="55"/>
    <col min="5045" max="5045" width="10.28515625" style="55" bestFit="1" customWidth="1"/>
    <col min="5046" max="5047" width="9.140625" style="55"/>
    <col min="5048" max="5048" width="10.28515625" style="55" bestFit="1" customWidth="1"/>
    <col min="5049" max="5050" width="9.140625" style="55"/>
    <col min="5051" max="5051" width="10.28515625" style="55" bestFit="1" customWidth="1"/>
    <col min="5052" max="5053" width="9.140625" style="55"/>
    <col min="5054" max="5054" width="10.28515625" style="55" bestFit="1" customWidth="1"/>
    <col min="5055" max="5056" width="9.140625" style="55"/>
    <col min="5057" max="5057" width="10.28515625" style="55" bestFit="1" customWidth="1"/>
    <col min="5058" max="5059" width="9.140625" style="55"/>
    <col min="5060" max="5060" width="10.28515625" style="55" bestFit="1" customWidth="1"/>
    <col min="5061" max="5062" width="9.140625" style="55"/>
    <col min="5063" max="5063" width="10.28515625" style="55" bestFit="1" customWidth="1"/>
    <col min="5064" max="5065" width="9.140625" style="55"/>
    <col min="5066" max="5066" width="10.28515625" style="55" bestFit="1" customWidth="1"/>
    <col min="5067" max="5068" width="9.140625" style="55"/>
    <col min="5069" max="5069" width="10.28515625" style="55" bestFit="1" customWidth="1"/>
    <col min="5070" max="5071" width="9.140625" style="55"/>
    <col min="5072" max="5072" width="10.28515625" style="55" bestFit="1" customWidth="1"/>
    <col min="5073" max="5074" width="9.140625" style="55"/>
    <col min="5075" max="5075" width="10.28515625" style="55" bestFit="1" customWidth="1"/>
    <col min="5076" max="5077" width="9.140625" style="55"/>
    <col min="5078" max="5078" width="10.28515625" style="55" bestFit="1" customWidth="1"/>
    <col min="5079" max="5080" width="9.140625" style="55"/>
    <col min="5081" max="5081" width="10.28515625" style="55" bestFit="1" customWidth="1"/>
    <col min="5082" max="5083" width="9.140625" style="55"/>
    <col min="5084" max="5084" width="10.28515625" style="55" bestFit="1" customWidth="1"/>
    <col min="5085" max="5120" width="9.140625" style="55"/>
    <col min="5121" max="5121" width="6.28515625" style="55" customWidth="1"/>
    <col min="5122" max="5122" width="81.42578125" style="55" customWidth="1"/>
    <col min="5123" max="5123" width="10" style="55" customWidth="1"/>
    <col min="5124" max="5124" width="15.85546875" style="55" customWidth="1"/>
    <col min="5125" max="5125" width="13.5703125" style="55" customWidth="1"/>
    <col min="5126" max="5126" width="12.7109375" style="55" customWidth="1"/>
    <col min="5127" max="5127" width="11.5703125" style="55" customWidth="1"/>
    <col min="5128" max="5128" width="13" style="55" customWidth="1"/>
    <col min="5129" max="5129" width="0" style="55" hidden="1" customWidth="1"/>
    <col min="5130" max="5130" width="11" style="55" customWidth="1"/>
    <col min="5131" max="5131" width="13.42578125" style="55" customWidth="1"/>
    <col min="5132" max="5132" width="12.5703125" style="55" customWidth="1"/>
    <col min="5133" max="5133" width="11.7109375" style="55" customWidth="1"/>
    <col min="5134" max="5134" width="12" style="55" customWidth="1"/>
    <col min="5135" max="5135" width="0" style="55" hidden="1" customWidth="1"/>
    <col min="5136" max="5136" width="13.28515625" style="55" customWidth="1"/>
    <col min="5137" max="5137" width="11.7109375" style="55" customWidth="1"/>
    <col min="5138" max="5138" width="11.42578125" style="55" customWidth="1"/>
    <col min="5139" max="5139" width="13" style="55" customWidth="1"/>
    <col min="5140" max="5140" width="13.42578125" style="55" customWidth="1"/>
    <col min="5141" max="5141" width="0" style="55" hidden="1" customWidth="1"/>
    <col min="5142" max="5142" width="13.28515625" style="55" customWidth="1"/>
    <col min="5143" max="5143" width="13.140625" style="55" customWidth="1"/>
    <col min="5144" max="5144" width="12.140625" style="55" customWidth="1"/>
    <col min="5145" max="5146" width="11.85546875" style="55" customWidth="1"/>
    <col min="5147" max="5147" width="0" style="55" hidden="1" customWidth="1"/>
    <col min="5148" max="5148" width="12.28515625" style="55" bestFit="1" customWidth="1"/>
    <col min="5149" max="5149" width="10.7109375" style="55" customWidth="1"/>
    <col min="5150" max="5150" width="11.85546875" style="55" customWidth="1"/>
    <col min="5151" max="5151" width="13.140625" style="55" customWidth="1"/>
    <col min="5152" max="5152" width="13" style="55" customWidth="1"/>
    <col min="5153" max="5153" width="0" style="55" hidden="1" customWidth="1"/>
    <col min="5154" max="5154" width="11" style="55" customWidth="1"/>
    <col min="5155" max="5155" width="13" style="55" customWidth="1"/>
    <col min="5156" max="5156" width="12.5703125" style="55" customWidth="1"/>
    <col min="5157" max="5157" width="11.85546875" style="55" customWidth="1"/>
    <col min="5158" max="5158" width="12.28515625" style="55" customWidth="1"/>
    <col min="5159" max="5159" width="0" style="55" hidden="1" customWidth="1"/>
    <col min="5160" max="5160" width="12.85546875" style="55" customWidth="1"/>
    <col min="5161" max="5167" width="0" style="55" hidden="1" customWidth="1"/>
    <col min="5168" max="5168" width="60.85546875" style="55" customWidth="1"/>
    <col min="5169" max="5174" width="27.42578125" style="55" customWidth="1"/>
    <col min="5175" max="5177" width="31.28515625" style="55" customWidth="1"/>
    <col min="5178" max="5178" width="27.42578125" style="55" customWidth="1"/>
    <col min="5179" max="5181" width="34.28515625" style="55" customWidth="1"/>
    <col min="5182" max="5185" width="27.42578125" style="55" customWidth="1"/>
    <col min="5186" max="5186" width="39.42578125" style="55" customWidth="1"/>
    <col min="5187" max="5187" width="41.28515625" style="55" customWidth="1"/>
    <col min="5188" max="5199" width="27.42578125" style="55" customWidth="1"/>
    <col min="5200" max="5201" width="9.140625" style="55"/>
    <col min="5202" max="5202" width="10.28515625" style="55" bestFit="1" customWidth="1"/>
    <col min="5203" max="5204" width="9.140625" style="55"/>
    <col min="5205" max="5205" width="10.28515625" style="55" bestFit="1" customWidth="1"/>
    <col min="5206" max="5207" width="9.140625" style="55"/>
    <col min="5208" max="5208" width="10.28515625" style="55" bestFit="1" customWidth="1"/>
    <col min="5209" max="5210" width="9.140625" style="55"/>
    <col min="5211" max="5211" width="10.28515625" style="55" bestFit="1" customWidth="1"/>
    <col min="5212" max="5213" width="9.140625" style="55"/>
    <col min="5214" max="5214" width="10.28515625" style="55" bestFit="1" customWidth="1"/>
    <col min="5215" max="5216" width="9.140625" style="55"/>
    <col min="5217" max="5217" width="10.28515625" style="55" bestFit="1" customWidth="1"/>
    <col min="5218" max="5219" width="9.140625" style="55"/>
    <col min="5220" max="5220" width="10.28515625" style="55" bestFit="1" customWidth="1"/>
    <col min="5221" max="5222" width="9.140625" style="55"/>
    <col min="5223" max="5223" width="10.28515625" style="55" bestFit="1" customWidth="1"/>
    <col min="5224" max="5225" width="9.140625" style="55"/>
    <col min="5226" max="5226" width="10.28515625" style="55" bestFit="1" customWidth="1"/>
    <col min="5227" max="5228" width="9.140625" style="55"/>
    <col min="5229" max="5229" width="10.28515625" style="55" bestFit="1" customWidth="1"/>
    <col min="5230" max="5231" width="9.140625" style="55"/>
    <col min="5232" max="5232" width="10.28515625" style="55" bestFit="1" customWidth="1"/>
    <col min="5233" max="5234" width="9.140625" style="55"/>
    <col min="5235" max="5235" width="10.28515625" style="55" bestFit="1" customWidth="1"/>
    <col min="5236" max="5237" width="9.140625" style="55"/>
    <col min="5238" max="5238" width="10.28515625" style="55" bestFit="1" customWidth="1"/>
    <col min="5239" max="5240" width="9.140625" style="55"/>
    <col min="5241" max="5241" width="10.28515625" style="55" bestFit="1" customWidth="1"/>
    <col min="5242" max="5243" width="9.140625" style="55"/>
    <col min="5244" max="5244" width="10.28515625" style="55" bestFit="1" customWidth="1"/>
    <col min="5245" max="5246" width="9.140625" style="55"/>
    <col min="5247" max="5247" width="10.28515625" style="55" bestFit="1" customWidth="1"/>
    <col min="5248" max="5249" width="9.140625" style="55"/>
    <col min="5250" max="5250" width="10.28515625" style="55" bestFit="1" customWidth="1"/>
    <col min="5251" max="5252" width="9.140625" style="55"/>
    <col min="5253" max="5253" width="10.28515625" style="55" bestFit="1" customWidth="1"/>
    <col min="5254" max="5255" width="9.140625" style="55"/>
    <col min="5256" max="5256" width="10.28515625" style="55" bestFit="1" customWidth="1"/>
    <col min="5257" max="5258" width="9.140625" style="55"/>
    <col min="5259" max="5259" width="10.28515625" style="55" bestFit="1" customWidth="1"/>
    <col min="5260" max="5261" width="9.140625" style="55"/>
    <col min="5262" max="5262" width="10.28515625" style="55" bestFit="1" customWidth="1"/>
    <col min="5263" max="5264" width="9.140625" style="55"/>
    <col min="5265" max="5265" width="10.28515625" style="55" bestFit="1" customWidth="1"/>
    <col min="5266" max="5267" width="9.140625" style="55"/>
    <col min="5268" max="5268" width="10.28515625" style="55" bestFit="1" customWidth="1"/>
    <col min="5269" max="5270" width="9.140625" style="55"/>
    <col min="5271" max="5271" width="10.28515625" style="55" bestFit="1" customWidth="1"/>
    <col min="5272" max="5273" width="9.140625" style="55"/>
    <col min="5274" max="5274" width="10.28515625" style="55" bestFit="1" customWidth="1"/>
    <col min="5275" max="5276" width="9.140625" style="55"/>
    <col min="5277" max="5277" width="10.28515625" style="55" bestFit="1" customWidth="1"/>
    <col min="5278" max="5279" width="9.140625" style="55"/>
    <col min="5280" max="5280" width="10.28515625" style="55" bestFit="1" customWidth="1"/>
    <col min="5281" max="5282" width="9.140625" style="55"/>
    <col min="5283" max="5283" width="10.28515625" style="55" bestFit="1" customWidth="1"/>
    <col min="5284" max="5285" width="9.140625" style="55"/>
    <col min="5286" max="5286" width="10.28515625" style="55" bestFit="1" customWidth="1"/>
    <col min="5287" max="5288" width="9.140625" style="55"/>
    <col min="5289" max="5289" width="10.28515625" style="55" bestFit="1" customWidth="1"/>
    <col min="5290" max="5291" width="9.140625" style="55"/>
    <col min="5292" max="5292" width="10.28515625" style="55" bestFit="1" customWidth="1"/>
    <col min="5293" max="5294" width="9.140625" style="55"/>
    <col min="5295" max="5295" width="10.28515625" style="55" bestFit="1" customWidth="1"/>
    <col min="5296" max="5297" width="9.140625" style="55"/>
    <col min="5298" max="5298" width="10.28515625" style="55" bestFit="1" customWidth="1"/>
    <col min="5299" max="5300" width="9.140625" style="55"/>
    <col min="5301" max="5301" width="10.28515625" style="55" bestFit="1" customWidth="1"/>
    <col min="5302" max="5303" width="9.140625" style="55"/>
    <col min="5304" max="5304" width="10.28515625" style="55" bestFit="1" customWidth="1"/>
    <col min="5305" max="5306" width="9.140625" style="55"/>
    <col min="5307" max="5307" width="10.28515625" style="55" bestFit="1" customWidth="1"/>
    <col min="5308" max="5309" width="9.140625" style="55"/>
    <col min="5310" max="5310" width="10.28515625" style="55" bestFit="1" customWidth="1"/>
    <col min="5311" max="5312" width="9.140625" style="55"/>
    <col min="5313" max="5313" width="10.28515625" style="55" bestFit="1" customWidth="1"/>
    <col min="5314" max="5315" width="9.140625" style="55"/>
    <col min="5316" max="5316" width="10.28515625" style="55" bestFit="1" customWidth="1"/>
    <col min="5317" max="5318" width="9.140625" style="55"/>
    <col min="5319" max="5319" width="10.28515625" style="55" bestFit="1" customWidth="1"/>
    <col min="5320" max="5321" width="9.140625" style="55"/>
    <col min="5322" max="5322" width="10.28515625" style="55" bestFit="1" customWidth="1"/>
    <col min="5323" max="5324" width="9.140625" style="55"/>
    <col min="5325" max="5325" width="10.28515625" style="55" bestFit="1" customWidth="1"/>
    <col min="5326" max="5327" width="9.140625" style="55"/>
    <col min="5328" max="5328" width="10.28515625" style="55" bestFit="1" customWidth="1"/>
    <col min="5329" max="5330" width="9.140625" style="55"/>
    <col min="5331" max="5331" width="10.28515625" style="55" bestFit="1" customWidth="1"/>
    <col min="5332" max="5333" width="9.140625" style="55"/>
    <col min="5334" max="5334" width="10.28515625" style="55" bestFit="1" customWidth="1"/>
    <col min="5335" max="5336" width="9.140625" style="55"/>
    <col min="5337" max="5337" width="10.28515625" style="55" bestFit="1" customWidth="1"/>
    <col min="5338" max="5339" width="9.140625" style="55"/>
    <col min="5340" max="5340" width="10.28515625" style="55" bestFit="1" customWidth="1"/>
    <col min="5341" max="5376" width="9.140625" style="55"/>
    <col min="5377" max="5377" width="6.28515625" style="55" customWidth="1"/>
    <col min="5378" max="5378" width="81.42578125" style="55" customWidth="1"/>
    <col min="5379" max="5379" width="10" style="55" customWidth="1"/>
    <col min="5380" max="5380" width="15.85546875" style="55" customWidth="1"/>
    <col min="5381" max="5381" width="13.5703125" style="55" customWidth="1"/>
    <col min="5382" max="5382" width="12.7109375" style="55" customWidth="1"/>
    <col min="5383" max="5383" width="11.5703125" style="55" customWidth="1"/>
    <col min="5384" max="5384" width="13" style="55" customWidth="1"/>
    <col min="5385" max="5385" width="0" style="55" hidden="1" customWidth="1"/>
    <col min="5386" max="5386" width="11" style="55" customWidth="1"/>
    <col min="5387" max="5387" width="13.42578125" style="55" customWidth="1"/>
    <col min="5388" max="5388" width="12.5703125" style="55" customWidth="1"/>
    <col min="5389" max="5389" width="11.7109375" style="55" customWidth="1"/>
    <col min="5390" max="5390" width="12" style="55" customWidth="1"/>
    <col min="5391" max="5391" width="0" style="55" hidden="1" customWidth="1"/>
    <col min="5392" max="5392" width="13.28515625" style="55" customWidth="1"/>
    <col min="5393" max="5393" width="11.7109375" style="55" customWidth="1"/>
    <col min="5394" max="5394" width="11.42578125" style="55" customWidth="1"/>
    <col min="5395" max="5395" width="13" style="55" customWidth="1"/>
    <col min="5396" max="5396" width="13.42578125" style="55" customWidth="1"/>
    <col min="5397" max="5397" width="0" style="55" hidden="1" customWidth="1"/>
    <col min="5398" max="5398" width="13.28515625" style="55" customWidth="1"/>
    <col min="5399" max="5399" width="13.140625" style="55" customWidth="1"/>
    <col min="5400" max="5400" width="12.140625" style="55" customWidth="1"/>
    <col min="5401" max="5402" width="11.85546875" style="55" customWidth="1"/>
    <col min="5403" max="5403" width="0" style="55" hidden="1" customWidth="1"/>
    <col min="5404" max="5404" width="12.28515625" style="55" bestFit="1" customWidth="1"/>
    <col min="5405" max="5405" width="10.7109375" style="55" customWidth="1"/>
    <col min="5406" max="5406" width="11.85546875" style="55" customWidth="1"/>
    <col min="5407" max="5407" width="13.140625" style="55" customWidth="1"/>
    <col min="5408" max="5408" width="13" style="55" customWidth="1"/>
    <col min="5409" max="5409" width="0" style="55" hidden="1" customWidth="1"/>
    <col min="5410" max="5410" width="11" style="55" customWidth="1"/>
    <col min="5411" max="5411" width="13" style="55" customWidth="1"/>
    <col min="5412" max="5412" width="12.5703125" style="55" customWidth="1"/>
    <col min="5413" max="5413" width="11.85546875" style="55" customWidth="1"/>
    <col min="5414" max="5414" width="12.28515625" style="55" customWidth="1"/>
    <col min="5415" max="5415" width="0" style="55" hidden="1" customWidth="1"/>
    <col min="5416" max="5416" width="12.85546875" style="55" customWidth="1"/>
    <col min="5417" max="5423" width="0" style="55" hidden="1" customWidth="1"/>
    <col min="5424" max="5424" width="60.85546875" style="55" customWidth="1"/>
    <col min="5425" max="5430" width="27.42578125" style="55" customWidth="1"/>
    <col min="5431" max="5433" width="31.28515625" style="55" customWidth="1"/>
    <col min="5434" max="5434" width="27.42578125" style="55" customWidth="1"/>
    <col min="5435" max="5437" width="34.28515625" style="55" customWidth="1"/>
    <col min="5438" max="5441" width="27.42578125" style="55" customWidth="1"/>
    <col min="5442" max="5442" width="39.42578125" style="55" customWidth="1"/>
    <col min="5443" max="5443" width="41.28515625" style="55" customWidth="1"/>
    <col min="5444" max="5455" width="27.42578125" style="55" customWidth="1"/>
    <col min="5456" max="5457" width="9.140625" style="55"/>
    <col min="5458" max="5458" width="10.28515625" style="55" bestFit="1" customWidth="1"/>
    <col min="5459" max="5460" width="9.140625" style="55"/>
    <col min="5461" max="5461" width="10.28515625" style="55" bestFit="1" customWidth="1"/>
    <col min="5462" max="5463" width="9.140625" style="55"/>
    <col min="5464" max="5464" width="10.28515625" style="55" bestFit="1" customWidth="1"/>
    <col min="5465" max="5466" width="9.140625" style="55"/>
    <col min="5467" max="5467" width="10.28515625" style="55" bestFit="1" customWidth="1"/>
    <col min="5468" max="5469" width="9.140625" style="55"/>
    <col min="5470" max="5470" width="10.28515625" style="55" bestFit="1" customWidth="1"/>
    <col min="5471" max="5472" width="9.140625" style="55"/>
    <col min="5473" max="5473" width="10.28515625" style="55" bestFit="1" customWidth="1"/>
    <col min="5474" max="5475" width="9.140625" style="55"/>
    <col min="5476" max="5476" width="10.28515625" style="55" bestFit="1" customWidth="1"/>
    <col min="5477" max="5478" width="9.140625" style="55"/>
    <col min="5479" max="5479" width="10.28515625" style="55" bestFit="1" customWidth="1"/>
    <col min="5480" max="5481" width="9.140625" style="55"/>
    <col min="5482" max="5482" width="10.28515625" style="55" bestFit="1" customWidth="1"/>
    <col min="5483" max="5484" width="9.140625" style="55"/>
    <col min="5485" max="5485" width="10.28515625" style="55" bestFit="1" customWidth="1"/>
    <col min="5486" max="5487" width="9.140625" style="55"/>
    <col min="5488" max="5488" width="10.28515625" style="55" bestFit="1" customWidth="1"/>
    <col min="5489" max="5490" width="9.140625" style="55"/>
    <col min="5491" max="5491" width="10.28515625" style="55" bestFit="1" customWidth="1"/>
    <col min="5492" max="5493" width="9.140625" style="55"/>
    <col min="5494" max="5494" width="10.28515625" style="55" bestFit="1" customWidth="1"/>
    <col min="5495" max="5496" width="9.140625" style="55"/>
    <col min="5497" max="5497" width="10.28515625" style="55" bestFit="1" customWidth="1"/>
    <col min="5498" max="5499" width="9.140625" style="55"/>
    <col min="5500" max="5500" width="10.28515625" style="55" bestFit="1" customWidth="1"/>
    <col min="5501" max="5502" width="9.140625" style="55"/>
    <col min="5503" max="5503" width="10.28515625" style="55" bestFit="1" customWidth="1"/>
    <col min="5504" max="5505" width="9.140625" style="55"/>
    <col min="5506" max="5506" width="10.28515625" style="55" bestFit="1" customWidth="1"/>
    <col min="5507" max="5508" width="9.140625" style="55"/>
    <col min="5509" max="5509" width="10.28515625" style="55" bestFit="1" customWidth="1"/>
    <col min="5510" max="5511" width="9.140625" style="55"/>
    <col min="5512" max="5512" width="10.28515625" style="55" bestFit="1" customWidth="1"/>
    <col min="5513" max="5514" width="9.140625" style="55"/>
    <col min="5515" max="5515" width="10.28515625" style="55" bestFit="1" customWidth="1"/>
    <col min="5516" max="5517" width="9.140625" style="55"/>
    <col min="5518" max="5518" width="10.28515625" style="55" bestFit="1" customWidth="1"/>
    <col min="5519" max="5520" width="9.140625" style="55"/>
    <col min="5521" max="5521" width="10.28515625" style="55" bestFit="1" customWidth="1"/>
    <col min="5522" max="5523" width="9.140625" style="55"/>
    <col min="5524" max="5524" width="10.28515625" style="55" bestFit="1" customWidth="1"/>
    <col min="5525" max="5526" width="9.140625" style="55"/>
    <col min="5527" max="5527" width="10.28515625" style="55" bestFit="1" customWidth="1"/>
    <col min="5528" max="5529" width="9.140625" style="55"/>
    <col min="5530" max="5530" width="10.28515625" style="55" bestFit="1" customWidth="1"/>
    <col min="5531" max="5532" width="9.140625" style="55"/>
    <col min="5533" max="5533" width="10.28515625" style="55" bestFit="1" customWidth="1"/>
    <col min="5534" max="5535" width="9.140625" style="55"/>
    <col min="5536" max="5536" width="10.28515625" style="55" bestFit="1" customWidth="1"/>
    <col min="5537" max="5538" width="9.140625" style="55"/>
    <col min="5539" max="5539" width="10.28515625" style="55" bestFit="1" customWidth="1"/>
    <col min="5540" max="5541" width="9.140625" style="55"/>
    <col min="5542" max="5542" width="10.28515625" style="55" bestFit="1" customWidth="1"/>
    <col min="5543" max="5544" width="9.140625" style="55"/>
    <col min="5545" max="5545" width="10.28515625" style="55" bestFit="1" customWidth="1"/>
    <col min="5546" max="5547" width="9.140625" style="55"/>
    <col min="5548" max="5548" width="10.28515625" style="55" bestFit="1" customWidth="1"/>
    <col min="5549" max="5550" width="9.140625" style="55"/>
    <col min="5551" max="5551" width="10.28515625" style="55" bestFit="1" customWidth="1"/>
    <col min="5552" max="5553" width="9.140625" style="55"/>
    <col min="5554" max="5554" width="10.28515625" style="55" bestFit="1" customWidth="1"/>
    <col min="5555" max="5556" width="9.140625" style="55"/>
    <col min="5557" max="5557" width="10.28515625" style="55" bestFit="1" customWidth="1"/>
    <col min="5558" max="5559" width="9.140625" style="55"/>
    <col min="5560" max="5560" width="10.28515625" style="55" bestFit="1" customWidth="1"/>
    <col min="5561" max="5562" width="9.140625" style="55"/>
    <col min="5563" max="5563" width="10.28515625" style="55" bestFit="1" customWidth="1"/>
    <col min="5564" max="5565" width="9.140625" style="55"/>
    <col min="5566" max="5566" width="10.28515625" style="55" bestFit="1" customWidth="1"/>
    <col min="5567" max="5568" width="9.140625" style="55"/>
    <col min="5569" max="5569" width="10.28515625" style="55" bestFit="1" customWidth="1"/>
    <col min="5570" max="5571" width="9.140625" style="55"/>
    <col min="5572" max="5572" width="10.28515625" style="55" bestFit="1" customWidth="1"/>
    <col min="5573" max="5574" width="9.140625" style="55"/>
    <col min="5575" max="5575" width="10.28515625" style="55" bestFit="1" customWidth="1"/>
    <col min="5576" max="5577" width="9.140625" style="55"/>
    <col min="5578" max="5578" width="10.28515625" style="55" bestFit="1" customWidth="1"/>
    <col min="5579" max="5580" width="9.140625" style="55"/>
    <col min="5581" max="5581" width="10.28515625" style="55" bestFit="1" customWidth="1"/>
    <col min="5582" max="5583" width="9.140625" style="55"/>
    <col min="5584" max="5584" width="10.28515625" style="55" bestFit="1" customWidth="1"/>
    <col min="5585" max="5586" width="9.140625" style="55"/>
    <col min="5587" max="5587" width="10.28515625" style="55" bestFit="1" customWidth="1"/>
    <col min="5588" max="5589" width="9.140625" style="55"/>
    <col min="5590" max="5590" width="10.28515625" style="55" bestFit="1" customWidth="1"/>
    <col min="5591" max="5592" width="9.140625" style="55"/>
    <col min="5593" max="5593" width="10.28515625" style="55" bestFit="1" customWidth="1"/>
    <col min="5594" max="5595" width="9.140625" style="55"/>
    <col min="5596" max="5596" width="10.28515625" style="55" bestFit="1" customWidth="1"/>
    <col min="5597" max="5632" width="9.140625" style="55"/>
    <col min="5633" max="5633" width="6.28515625" style="55" customWidth="1"/>
    <col min="5634" max="5634" width="81.42578125" style="55" customWidth="1"/>
    <col min="5635" max="5635" width="10" style="55" customWidth="1"/>
    <col min="5636" max="5636" width="15.85546875" style="55" customWidth="1"/>
    <col min="5637" max="5637" width="13.5703125" style="55" customWidth="1"/>
    <col min="5638" max="5638" width="12.7109375" style="55" customWidth="1"/>
    <col min="5639" max="5639" width="11.5703125" style="55" customWidth="1"/>
    <col min="5640" max="5640" width="13" style="55" customWidth="1"/>
    <col min="5641" max="5641" width="0" style="55" hidden="1" customWidth="1"/>
    <col min="5642" max="5642" width="11" style="55" customWidth="1"/>
    <col min="5643" max="5643" width="13.42578125" style="55" customWidth="1"/>
    <col min="5644" max="5644" width="12.5703125" style="55" customWidth="1"/>
    <col min="5645" max="5645" width="11.7109375" style="55" customWidth="1"/>
    <col min="5646" max="5646" width="12" style="55" customWidth="1"/>
    <col min="5647" max="5647" width="0" style="55" hidden="1" customWidth="1"/>
    <col min="5648" max="5648" width="13.28515625" style="55" customWidth="1"/>
    <col min="5649" max="5649" width="11.7109375" style="55" customWidth="1"/>
    <col min="5650" max="5650" width="11.42578125" style="55" customWidth="1"/>
    <col min="5651" max="5651" width="13" style="55" customWidth="1"/>
    <col min="5652" max="5652" width="13.42578125" style="55" customWidth="1"/>
    <col min="5653" max="5653" width="0" style="55" hidden="1" customWidth="1"/>
    <col min="5654" max="5654" width="13.28515625" style="55" customWidth="1"/>
    <col min="5655" max="5655" width="13.140625" style="55" customWidth="1"/>
    <col min="5656" max="5656" width="12.140625" style="55" customWidth="1"/>
    <col min="5657" max="5658" width="11.85546875" style="55" customWidth="1"/>
    <col min="5659" max="5659" width="0" style="55" hidden="1" customWidth="1"/>
    <col min="5660" max="5660" width="12.28515625" style="55" bestFit="1" customWidth="1"/>
    <col min="5661" max="5661" width="10.7109375" style="55" customWidth="1"/>
    <col min="5662" max="5662" width="11.85546875" style="55" customWidth="1"/>
    <col min="5663" max="5663" width="13.140625" style="55" customWidth="1"/>
    <col min="5664" max="5664" width="13" style="55" customWidth="1"/>
    <col min="5665" max="5665" width="0" style="55" hidden="1" customWidth="1"/>
    <col min="5666" max="5666" width="11" style="55" customWidth="1"/>
    <col min="5667" max="5667" width="13" style="55" customWidth="1"/>
    <col min="5668" max="5668" width="12.5703125" style="55" customWidth="1"/>
    <col min="5669" max="5669" width="11.85546875" style="55" customWidth="1"/>
    <col min="5670" max="5670" width="12.28515625" style="55" customWidth="1"/>
    <col min="5671" max="5671" width="0" style="55" hidden="1" customWidth="1"/>
    <col min="5672" max="5672" width="12.85546875" style="55" customWidth="1"/>
    <col min="5673" max="5679" width="0" style="55" hidden="1" customWidth="1"/>
    <col min="5680" max="5680" width="60.85546875" style="55" customWidth="1"/>
    <col min="5681" max="5686" width="27.42578125" style="55" customWidth="1"/>
    <col min="5687" max="5689" width="31.28515625" style="55" customWidth="1"/>
    <col min="5690" max="5690" width="27.42578125" style="55" customWidth="1"/>
    <col min="5691" max="5693" width="34.28515625" style="55" customWidth="1"/>
    <col min="5694" max="5697" width="27.42578125" style="55" customWidth="1"/>
    <col min="5698" max="5698" width="39.42578125" style="55" customWidth="1"/>
    <col min="5699" max="5699" width="41.28515625" style="55" customWidth="1"/>
    <col min="5700" max="5711" width="27.42578125" style="55" customWidth="1"/>
    <col min="5712" max="5713" width="9.140625" style="55"/>
    <col min="5714" max="5714" width="10.28515625" style="55" bestFit="1" customWidth="1"/>
    <col min="5715" max="5716" width="9.140625" style="55"/>
    <col min="5717" max="5717" width="10.28515625" style="55" bestFit="1" customWidth="1"/>
    <col min="5718" max="5719" width="9.140625" style="55"/>
    <col min="5720" max="5720" width="10.28515625" style="55" bestFit="1" customWidth="1"/>
    <col min="5721" max="5722" width="9.140625" style="55"/>
    <col min="5723" max="5723" width="10.28515625" style="55" bestFit="1" customWidth="1"/>
    <col min="5724" max="5725" width="9.140625" style="55"/>
    <col min="5726" max="5726" width="10.28515625" style="55" bestFit="1" customWidth="1"/>
    <col min="5727" max="5728" width="9.140625" style="55"/>
    <col min="5729" max="5729" width="10.28515625" style="55" bestFit="1" customWidth="1"/>
    <col min="5730" max="5731" width="9.140625" style="55"/>
    <col min="5732" max="5732" width="10.28515625" style="55" bestFit="1" customWidth="1"/>
    <col min="5733" max="5734" width="9.140625" style="55"/>
    <col min="5735" max="5735" width="10.28515625" style="55" bestFit="1" customWidth="1"/>
    <col min="5736" max="5737" width="9.140625" style="55"/>
    <col min="5738" max="5738" width="10.28515625" style="55" bestFit="1" customWidth="1"/>
    <col min="5739" max="5740" width="9.140625" style="55"/>
    <col min="5741" max="5741" width="10.28515625" style="55" bestFit="1" customWidth="1"/>
    <col min="5742" max="5743" width="9.140625" style="55"/>
    <col min="5744" max="5744" width="10.28515625" style="55" bestFit="1" customWidth="1"/>
    <col min="5745" max="5746" width="9.140625" style="55"/>
    <col min="5747" max="5747" width="10.28515625" style="55" bestFit="1" customWidth="1"/>
    <col min="5748" max="5749" width="9.140625" style="55"/>
    <col min="5750" max="5750" width="10.28515625" style="55" bestFit="1" customWidth="1"/>
    <col min="5751" max="5752" width="9.140625" style="55"/>
    <col min="5753" max="5753" width="10.28515625" style="55" bestFit="1" customWidth="1"/>
    <col min="5754" max="5755" width="9.140625" style="55"/>
    <col min="5756" max="5756" width="10.28515625" style="55" bestFit="1" customWidth="1"/>
    <col min="5757" max="5758" width="9.140625" style="55"/>
    <col min="5759" max="5759" width="10.28515625" style="55" bestFit="1" customWidth="1"/>
    <col min="5760" max="5761" width="9.140625" style="55"/>
    <col min="5762" max="5762" width="10.28515625" style="55" bestFit="1" customWidth="1"/>
    <col min="5763" max="5764" width="9.140625" style="55"/>
    <col min="5765" max="5765" width="10.28515625" style="55" bestFit="1" customWidth="1"/>
    <col min="5766" max="5767" width="9.140625" style="55"/>
    <col min="5768" max="5768" width="10.28515625" style="55" bestFit="1" customWidth="1"/>
    <col min="5769" max="5770" width="9.140625" style="55"/>
    <col min="5771" max="5771" width="10.28515625" style="55" bestFit="1" customWidth="1"/>
    <col min="5772" max="5773" width="9.140625" style="55"/>
    <col min="5774" max="5774" width="10.28515625" style="55" bestFit="1" customWidth="1"/>
    <col min="5775" max="5776" width="9.140625" style="55"/>
    <col min="5777" max="5777" width="10.28515625" style="55" bestFit="1" customWidth="1"/>
    <col min="5778" max="5779" width="9.140625" style="55"/>
    <col min="5780" max="5780" width="10.28515625" style="55" bestFit="1" customWidth="1"/>
    <col min="5781" max="5782" width="9.140625" style="55"/>
    <col min="5783" max="5783" width="10.28515625" style="55" bestFit="1" customWidth="1"/>
    <col min="5784" max="5785" width="9.140625" style="55"/>
    <col min="5786" max="5786" width="10.28515625" style="55" bestFit="1" customWidth="1"/>
    <col min="5787" max="5788" width="9.140625" style="55"/>
    <col min="5789" max="5789" width="10.28515625" style="55" bestFit="1" customWidth="1"/>
    <col min="5790" max="5791" width="9.140625" style="55"/>
    <col min="5792" max="5792" width="10.28515625" style="55" bestFit="1" customWidth="1"/>
    <col min="5793" max="5794" width="9.140625" style="55"/>
    <col min="5795" max="5795" width="10.28515625" style="55" bestFit="1" customWidth="1"/>
    <col min="5796" max="5797" width="9.140625" style="55"/>
    <col min="5798" max="5798" width="10.28515625" style="55" bestFit="1" customWidth="1"/>
    <col min="5799" max="5800" width="9.140625" style="55"/>
    <col min="5801" max="5801" width="10.28515625" style="55" bestFit="1" customWidth="1"/>
    <col min="5802" max="5803" width="9.140625" style="55"/>
    <col min="5804" max="5804" width="10.28515625" style="55" bestFit="1" customWidth="1"/>
    <col min="5805" max="5806" width="9.140625" style="55"/>
    <col min="5807" max="5807" width="10.28515625" style="55" bestFit="1" customWidth="1"/>
    <col min="5808" max="5809" width="9.140625" style="55"/>
    <col min="5810" max="5810" width="10.28515625" style="55" bestFit="1" customWidth="1"/>
    <col min="5811" max="5812" width="9.140625" style="55"/>
    <col min="5813" max="5813" width="10.28515625" style="55" bestFit="1" customWidth="1"/>
    <col min="5814" max="5815" width="9.140625" style="55"/>
    <col min="5816" max="5816" width="10.28515625" style="55" bestFit="1" customWidth="1"/>
    <col min="5817" max="5818" width="9.140625" style="55"/>
    <col min="5819" max="5819" width="10.28515625" style="55" bestFit="1" customWidth="1"/>
    <col min="5820" max="5821" width="9.140625" style="55"/>
    <col min="5822" max="5822" width="10.28515625" style="55" bestFit="1" customWidth="1"/>
    <col min="5823" max="5824" width="9.140625" style="55"/>
    <col min="5825" max="5825" width="10.28515625" style="55" bestFit="1" customWidth="1"/>
    <col min="5826" max="5827" width="9.140625" style="55"/>
    <col min="5828" max="5828" width="10.28515625" style="55" bestFit="1" customWidth="1"/>
    <col min="5829" max="5830" width="9.140625" style="55"/>
    <col min="5831" max="5831" width="10.28515625" style="55" bestFit="1" customWidth="1"/>
    <col min="5832" max="5833" width="9.140625" style="55"/>
    <col min="5834" max="5834" width="10.28515625" style="55" bestFit="1" customWidth="1"/>
    <col min="5835" max="5836" width="9.140625" style="55"/>
    <col min="5837" max="5837" width="10.28515625" style="55" bestFit="1" customWidth="1"/>
    <col min="5838" max="5839" width="9.140625" style="55"/>
    <col min="5840" max="5840" width="10.28515625" style="55" bestFit="1" customWidth="1"/>
    <col min="5841" max="5842" width="9.140625" style="55"/>
    <col min="5843" max="5843" width="10.28515625" style="55" bestFit="1" customWidth="1"/>
    <col min="5844" max="5845" width="9.140625" style="55"/>
    <col min="5846" max="5846" width="10.28515625" style="55" bestFit="1" customWidth="1"/>
    <col min="5847" max="5848" width="9.140625" style="55"/>
    <col min="5849" max="5849" width="10.28515625" style="55" bestFit="1" customWidth="1"/>
    <col min="5850" max="5851" width="9.140625" style="55"/>
    <col min="5852" max="5852" width="10.28515625" style="55" bestFit="1" customWidth="1"/>
    <col min="5853" max="5888" width="9.140625" style="55"/>
    <col min="5889" max="5889" width="6.28515625" style="55" customWidth="1"/>
    <col min="5890" max="5890" width="81.42578125" style="55" customWidth="1"/>
    <col min="5891" max="5891" width="10" style="55" customWidth="1"/>
    <col min="5892" max="5892" width="15.85546875" style="55" customWidth="1"/>
    <col min="5893" max="5893" width="13.5703125" style="55" customWidth="1"/>
    <col min="5894" max="5894" width="12.7109375" style="55" customWidth="1"/>
    <col min="5895" max="5895" width="11.5703125" style="55" customWidth="1"/>
    <col min="5896" max="5896" width="13" style="55" customWidth="1"/>
    <col min="5897" max="5897" width="0" style="55" hidden="1" customWidth="1"/>
    <col min="5898" max="5898" width="11" style="55" customWidth="1"/>
    <col min="5899" max="5899" width="13.42578125" style="55" customWidth="1"/>
    <col min="5900" max="5900" width="12.5703125" style="55" customWidth="1"/>
    <col min="5901" max="5901" width="11.7109375" style="55" customWidth="1"/>
    <col min="5902" max="5902" width="12" style="55" customWidth="1"/>
    <col min="5903" max="5903" width="0" style="55" hidden="1" customWidth="1"/>
    <col min="5904" max="5904" width="13.28515625" style="55" customWidth="1"/>
    <col min="5905" max="5905" width="11.7109375" style="55" customWidth="1"/>
    <col min="5906" max="5906" width="11.42578125" style="55" customWidth="1"/>
    <col min="5907" max="5907" width="13" style="55" customWidth="1"/>
    <col min="5908" max="5908" width="13.42578125" style="55" customWidth="1"/>
    <col min="5909" max="5909" width="0" style="55" hidden="1" customWidth="1"/>
    <col min="5910" max="5910" width="13.28515625" style="55" customWidth="1"/>
    <col min="5911" max="5911" width="13.140625" style="55" customWidth="1"/>
    <col min="5912" max="5912" width="12.140625" style="55" customWidth="1"/>
    <col min="5913" max="5914" width="11.85546875" style="55" customWidth="1"/>
    <col min="5915" max="5915" width="0" style="55" hidden="1" customWidth="1"/>
    <col min="5916" max="5916" width="12.28515625" style="55" bestFit="1" customWidth="1"/>
    <col min="5917" max="5917" width="10.7109375" style="55" customWidth="1"/>
    <col min="5918" max="5918" width="11.85546875" style="55" customWidth="1"/>
    <col min="5919" max="5919" width="13.140625" style="55" customWidth="1"/>
    <col min="5920" max="5920" width="13" style="55" customWidth="1"/>
    <col min="5921" max="5921" width="0" style="55" hidden="1" customWidth="1"/>
    <col min="5922" max="5922" width="11" style="55" customWidth="1"/>
    <col min="5923" max="5923" width="13" style="55" customWidth="1"/>
    <col min="5924" max="5924" width="12.5703125" style="55" customWidth="1"/>
    <col min="5925" max="5925" width="11.85546875" style="55" customWidth="1"/>
    <col min="5926" max="5926" width="12.28515625" style="55" customWidth="1"/>
    <col min="5927" max="5927" width="0" style="55" hidden="1" customWidth="1"/>
    <col min="5928" max="5928" width="12.85546875" style="55" customWidth="1"/>
    <col min="5929" max="5935" width="0" style="55" hidden="1" customWidth="1"/>
    <col min="5936" max="5936" width="60.85546875" style="55" customWidth="1"/>
    <col min="5937" max="5942" width="27.42578125" style="55" customWidth="1"/>
    <col min="5943" max="5945" width="31.28515625" style="55" customWidth="1"/>
    <col min="5946" max="5946" width="27.42578125" style="55" customWidth="1"/>
    <col min="5947" max="5949" width="34.28515625" style="55" customWidth="1"/>
    <col min="5950" max="5953" width="27.42578125" style="55" customWidth="1"/>
    <col min="5954" max="5954" width="39.42578125" style="55" customWidth="1"/>
    <col min="5955" max="5955" width="41.28515625" style="55" customWidth="1"/>
    <col min="5956" max="5967" width="27.42578125" style="55" customWidth="1"/>
    <col min="5968" max="5969" width="9.140625" style="55"/>
    <col min="5970" max="5970" width="10.28515625" style="55" bestFit="1" customWidth="1"/>
    <col min="5971" max="5972" width="9.140625" style="55"/>
    <col min="5973" max="5973" width="10.28515625" style="55" bestFit="1" customWidth="1"/>
    <col min="5974" max="5975" width="9.140625" style="55"/>
    <col min="5976" max="5976" width="10.28515625" style="55" bestFit="1" customWidth="1"/>
    <col min="5977" max="5978" width="9.140625" style="55"/>
    <col min="5979" max="5979" width="10.28515625" style="55" bestFit="1" customWidth="1"/>
    <col min="5980" max="5981" width="9.140625" style="55"/>
    <col min="5982" max="5982" width="10.28515625" style="55" bestFit="1" customWidth="1"/>
    <col min="5983" max="5984" width="9.140625" style="55"/>
    <col min="5985" max="5985" width="10.28515625" style="55" bestFit="1" customWidth="1"/>
    <col min="5986" max="5987" width="9.140625" style="55"/>
    <col min="5988" max="5988" width="10.28515625" style="55" bestFit="1" customWidth="1"/>
    <col min="5989" max="5990" width="9.140625" style="55"/>
    <col min="5991" max="5991" width="10.28515625" style="55" bestFit="1" customWidth="1"/>
    <col min="5992" max="5993" width="9.140625" style="55"/>
    <col min="5994" max="5994" width="10.28515625" style="55" bestFit="1" customWidth="1"/>
    <col min="5995" max="5996" width="9.140625" style="55"/>
    <col min="5997" max="5997" width="10.28515625" style="55" bestFit="1" customWidth="1"/>
    <col min="5998" max="5999" width="9.140625" style="55"/>
    <col min="6000" max="6000" width="10.28515625" style="55" bestFit="1" customWidth="1"/>
    <col min="6001" max="6002" width="9.140625" style="55"/>
    <col min="6003" max="6003" width="10.28515625" style="55" bestFit="1" customWidth="1"/>
    <col min="6004" max="6005" width="9.140625" style="55"/>
    <col min="6006" max="6006" width="10.28515625" style="55" bestFit="1" customWidth="1"/>
    <col min="6007" max="6008" width="9.140625" style="55"/>
    <col min="6009" max="6009" width="10.28515625" style="55" bestFit="1" customWidth="1"/>
    <col min="6010" max="6011" width="9.140625" style="55"/>
    <col min="6012" max="6012" width="10.28515625" style="55" bestFit="1" customWidth="1"/>
    <col min="6013" max="6014" width="9.140625" style="55"/>
    <col min="6015" max="6015" width="10.28515625" style="55" bestFit="1" customWidth="1"/>
    <col min="6016" max="6017" width="9.140625" style="55"/>
    <col min="6018" max="6018" width="10.28515625" style="55" bestFit="1" customWidth="1"/>
    <col min="6019" max="6020" width="9.140625" style="55"/>
    <col min="6021" max="6021" width="10.28515625" style="55" bestFit="1" customWidth="1"/>
    <col min="6022" max="6023" width="9.140625" style="55"/>
    <col min="6024" max="6024" width="10.28515625" style="55" bestFit="1" customWidth="1"/>
    <col min="6025" max="6026" width="9.140625" style="55"/>
    <col min="6027" max="6027" width="10.28515625" style="55" bestFit="1" customWidth="1"/>
    <col min="6028" max="6029" width="9.140625" style="55"/>
    <col min="6030" max="6030" width="10.28515625" style="55" bestFit="1" customWidth="1"/>
    <col min="6031" max="6032" width="9.140625" style="55"/>
    <col min="6033" max="6033" width="10.28515625" style="55" bestFit="1" customWidth="1"/>
    <col min="6034" max="6035" width="9.140625" style="55"/>
    <col min="6036" max="6036" width="10.28515625" style="55" bestFit="1" customWidth="1"/>
    <col min="6037" max="6038" width="9.140625" style="55"/>
    <col min="6039" max="6039" width="10.28515625" style="55" bestFit="1" customWidth="1"/>
    <col min="6040" max="6041" width="9.140625" style="55"/>
    <col min="6042" max="6042" width="10.28515625" style="55" bestFit="1" customWidth="1"/>
    <col min="6043" max="6044" width="9.140625" style="55"/>
    <col min="6045" max="6045" width="10.28515625" style="55" bestFit="1" customWidth="1"/>
    <col min="6046" max="6047" width="9.140625" style="55"/>
    <col min="6048" max="6048" width="10.28515625" style="55" bestFit="1" customWidth="1"/>
    <col min="6049" max="6050" width="9.140625" style="55"/>
    <col min="6051" max="6051" width="10.28515625" style="55" bestFit="1" customWidth="1"/>
    <col min="6052" max="6053" width="9.140625" style="55"/>
    <col min="6054" max="6054" width="10.28515625" style="55" bestFit="1" customWidth="1"/>
    <col min="6055" max="6056" width="9.140625" style="55"/>
    <col min="6057" max="6057" width="10.28515625" style="55" bestFit="1" customWidth="1"/>
    <col min="6058" max="6059" width="9.140625" style="55"/>
    <col min="6060" max="6060" width="10.28515625" style="55" bestFit="1" customWidth="1"/>
    <col min="6061" max="6062" width="9.140625" style="55"/>
    <col min="6063" max="6063" width="10.28515625" style="55" bestFit="1" customWidth="1"/>
    <col min="6064" max="6065" width="9.140625" style="55"/>
    <col min="6066" max="6066" width="10.28515625" style="55" bestFit="1" customWidth="1"/>
    <col min="6067" max="6068" width="9.140625" style="55"/>
    <col min="6069" max="6069" width="10.28515625" style="55" bestFit="1" customWidth="1"/>
    <col min="6070" max="6071" width="9.140625" style="55"/>
    <col min="6072" max="6072" width="10.28515625" style="55" bestFit="1" customWidth="1"/>
    <col min="6073" max="6074" width="9.140625" style="55"/>
    <col min="6075" max="6075" width="10.28515625" style="55" bestFit="1" customWidth="1"/>
    <col min="6076" max="6077" width="9.140625" style="55"/>
    <col min="6078" max="6078" width="10.28515625" style="55" bestFit="1" customWidth="1"/>
    <col min="6079" max="6080" width="9.140625" style="55"/>
    <col min="6081" max="6081" width="10.28515625" style="55" bestFit="1" customWidth="1"/>
    <col min="6082" max="6083" width="9.140625" style="55"/>
    <col min="6084" max="6084" width="10.28515625" style="55" bestFit="1" customWidth="1"/>
    <col min="6085" max="6086" width="9.140625" style="55"/>
    <col min="6087" max="6087" width="10.28515625" style="55" bestFit="1" customWidth="1"/>
    <col min="6088" max="6089" width="9.140625" style="55"/>
    <col min="6090" max="6090" width="10.28515625" style="55" bestFit="1" customWidth="1"/>
    <col min="6091" max="6092" width="9.140625" style="55"/>
    <col min="6093" max="6093" width="10.28515625" style="55" bestFit="1" customWidth="1"/>
    <col min="6094" max="6095" width="9.140625" style="55"/>
    <col min="6096" max="6096" width="10.28515625" style="55" bestFit="1" customWidth="1"/>
    <col min="6097" max="6098" width="9.140625" style="55"/>
    <col min="6099" max="6099" width="10.28515625" style="55" bestFit="1" customWidth="1"/>
    <col min="6100" max="6101" width="9.140625" style="55"/>
    <col min="6102" max="6102" width="10.28515625" style="55" bestFit="1" customWidth="1"/>
    <col min="6103" max="6104" width="9.140625" style="55"/>
    <col min="6105" max="6105" width="10.28515625" style="55" bestFit="1" customWidth="1"/>
    <col min="6106" max="6107" width="9.140625" style="55"/>
    <col min="6108" max="6108" width="10.28515625" style="55" bestFit="1" customWidth="1"/>
    <col min="6109" max="6144" width="9.140625" style="55"/>
    <col min="6145" max="6145" width="6.28515625" style="55" customWidth="1"/>
    <col min="6146" max="6146" width="81.42578125" style="55" customWidth="1"/>
    <col min="6147" max="6147" width="10" style="55" customWidth="1"/>
    <col min="6148" max="6148" width="15.85546875" style="55" customWidth="1"/>
    <col min="6149" max="6149" width="13.5703125" style="55" customWidth="1"/>
    <col min="6150" max="6150" width="12.7109375" style="55" customWidth="1"/>
    <col min="6151" max="6151" width="11.5703125" style="55" customWidth="1"/>
    <col min="6152" max="6152" width="13" style="55" customWidth="1"/>
    <col min="6153" max="6153" width="0" style="55" hidden="1" customWidth="1"/>
    <col min="6154" max="6154" width="11" style="55" customWidth="1"/>
    <col min="6155" max="6155" width="13.42578125" style="55" customWidth="1"/>
    <col min="6156" max="6156" width="12.5703125" style="55" customWidth="1"/>
    <col min="6157" max="6157" width="11.7109375" style="55" customWidth="1"/>
    <col min="6158" max="6158" width="12" style="55" customWidth="1"/>
    <col min="6159" max="6159" width="0" style="55" hidden="1" customWidth="1"/>
    <col min="6160" max="6160" width="13.28515625" style="55" customWidth="1"/>
    <col min="6161" max="6161" width="11.7109375" style="55" customWidth="1"/>
    <col min="6162" max="6162" width="11.42578125" style="55" customWidth="1"/>
    <col min="6163" max="6163" width="13" style="55" customWidth="1"/>
    <col min="6164" max="6164" width="13.42578125" style="55" customWidth="1"/>
    <col min="6165" max="6165" width="0" style="55" hidden="1" customWidth="1"/>
    <col min="6166" max="6166" width="13.28515625" style="55" customWidth="1"/>
    <col min="6167" max="6167" width="13.140625" style="55" customWidth="1"/>
    <col min="6168" max="6168" width="12.140625" style="55" customWidth="1"/>
    <col min="6169" max="6170" width="11.85546875" style="55" customWidth="1"/>
    <col min="6171" max="6171" width="0" style="55" hidden="1" customWidth="1"/>
    <col min="6172" max="6172" width="12.28515625" style="55" bestFit="1" customWidth="1"/>
    <col min="6173" max="6173" width="10.7109375" style="55" customWidth="1"/>
    <col min="6174" max="6174" width="11.85546875" style="55" customWidth="1"/>
    <col min="6175" max="6175" width="13.140625" style="55" customWidth="1"/>
    <col min="6176" max="6176" width="13" style="55" customWidth="1"/>
    <col min="6177" max="6177" width="0" style="55" hidden="1" customWidth="1"/>
    <col min="6178" max="6178" width="11" style="55" customWidth="1"/>
    <col min="6179" max="6179" width="13" style="55" customWidth="1"/>
    <col min="6180" max="6180" width="12.5703125" style="55" customWidth="1"/>
    <col min="6181" max="6181" width="11.85546875" style="55" customWidth="1"/>
    <col min="6182" max="6182" width="12.28515625" style="55" customWidth="1"/>
    <col min="6183" max="6183" width="0" style="55" hidden="1" customWidth="1"/>
    <col min="6184" max="6184" width="12.85546875" style="55" customWidth="1"/>
    <col min="6185" max="6191" width="0" style="55" hidden="1" customWidth="1"/>
    <col min="6192" max="6192" width="60.85546875" style="55" customWidth="1"/>
    <col min="6193" max="6198" width="27.42578125" style="55" customWidth="1"/>
    <col min="6199" max="6201" width="31.28515625" style="55" customWidth="1"/>
    <col min="6202" max="6202" width="27.42578125" style="55" customWidth="1"/>
    <col min="6203" max="6205" width="34.28515625" style="55" customWidth="1"/>
    <col min="6206" max="6209" width="27.42578125" style="55" customWidth="1"/>
    <col min="6210" max="6210" width="39.42578125" style="55" customWidth="1"/>
    <col min="6211" max="6211" width="41.28515625" style="55" customWidth="1"/>
    <col min="6212" max="6223" width="27.42578125" style="55" customWidth="1"/>
    <col min="6224" max="6225" width="9.140625" style="55"/>
    <col min="6226" max="6226" width="10.28515625" style="55" bestFit="1" customWidth="1"/>
    <col min="6227" max="6228" width="9.140625" style="55"/>
    <col min="6229" max="6229" width="10.28515625" style="55" bestFit="1" customWidth="1"/>
    <col min="6230" max="6231" width="9.140625" style="55"/>
    <col min="6232" max="6232" width="10.28515625" style="55" bestFit="1" customWidth="1"/>
    <col min="6233" max="6234" width="9.140625" style="55"/>
    <col min="6235" max="6235" width="10.28515625" style="55" bestFit="1" customWidth="1"/>
    <col min="6236" max="6237" width="9.140625" style="55"/>
    <col min="6238" max="6238" width="10.28515625" style="55" bestFit="1" customWidth="1"/>
    <col min="6239" max="6240" width="9.140625" style="55"/>
    <col min="6241" max="6241" width="10.28515625" style="55" bestFit="1" customWidth="1"/>
    <col min="6242" max="6243" width="9.140625" style="55"/>
    <col min="6244" max="6244" width="10.28515625" style="55" bestFit="1" customWidth="1"/>
    <col min="6245" max="6246" width="9.140625" style="55"/>
    <col min="6247" max="6247" width="10.28515625" style="55" bestFit="1" customWidth="1"/>
    <col min="6248" max="6249" width="9.140625" style="55"/>
    <col min="6250" max="6250" width="10.28515625" style="55" bestFit="1" customWidth="1"/>
    <col min="6251" max="6252" width="9.140625" style="55"/>
    <col min="6253" max="6253" width="10.28515625" style="55" bestFit="1" customWidth="1"/>
    <col min="6254" max="6255" width="9.140625" style="55"/>
    <col min="6256" max="6256" width="10.28515625" style="55" bestFit="1" customWidth="1"/>
    <col min="6257" max="6258" width="9.140625" style="55"/>
    <col min="6259" max="6259" width="10.28515625" style="55" bestFit="1" customWidth="1"/>
    <col min="6260" max="6261" width="9.140625" style="55"/>
    <col min="6262" max="6262" width="10.28515625" style="55" bestFit="1" customWidth="1"/>
    <col min="6263" max="6264" width="9.140625" style="55"/>
    <col min="6265" max="6265" width="10.28515625" style="55" bestFit="1" customWidth="1"/>
    <col min="6266" max="6267" width="9.140625" style="55"/>
    <col min="6268" max="6268" width="10.28515625" style="55" bestFit="1" customWidth="1"/>
    <col min="6269" max="6270" width="9.140625" style="55"/>
    <col min="6271" max="6271" width="10.28515625" style="55" bestFit="1" customWidth="1"/>
    <col min="6272" max="6273" width="9.140625" style="55"/>
    <col min="6274" max="6274" width="10.28515625" style="55" bestFit="1" customWidth="1"/>
    <col min="6275" max="6276" width="9.140625" style="55"/>
    <col min="6277" max="6277" width="10.28515625" style="55" bestFit="1" customWidth="1"/>
    <col min="6278" max="6279" width="9.140625" style="55"/>
    <col min="6280" max="6280" width="10.28515625" style="55" bestFit="1" customWidth="1"/>
    <col min="6281" max="6282" width="9.140625" style="55"/>
    <col min="6283" max="6283" width="10.28515625" style="55" bestFit="1" customWidth="1"/>
    <col min="6284" max="6285" width="9.140625" style="55"/>
    <col min="6286" max="6286" width="10.28515625" style="55" bestFit="1" customWidth="1"/>
    <col min="6287" max="6288" width="9.140625" style="55"/>
    <col min="6289" max="6289" width="10.28515625" style="55" bestFit="1" customWidth="1"/>
    <col min="6290" max="6291" width="9.140625" style="55"/>
    <col min="6292" max="6292" width="10.28515625" style="55" bestFit="1" customWidth="1"/>
    <col min="6293" max="6294" width="9.140625" style="55"/>
    <col min="6295" max="6295" width="10.28515625" style="55" bestFit="1" customWidth="1"/>
    <col min="6296" max="6297" width="9.140625" style="55"/>
    <col min="6298" max="6298" width="10.28515625" style="55" bestFit="1" customWidth="1"/>
    <col min="6299" max="6300" width="9.140625" style="55"/>
    <col min="6301" max="6301" width="10.28515625" style="55" bestFit="1" customWidth="1"/>
    <col min="6302" max="6303" width="9.140625" style="55"/>
    <col min="6304" max="6304" width="10.28515625" style="55" bestFit="1" customWidth="1"/>
    <col min="6305" max="6306" width="9.140625" style="55"/>
    <col min="6307" max="6307" width="10.28515625" style="55" bestFit="1" customWidth="1"/>
    <col min="6308" max="6309" width="9.140625" style="55"/>
    <col min="6310" max="6310" width="10.28515625" style="55" bestFit="1" customWidth="1"/>
    <col min="6311" max="6312" width="9.140625" style="55"/>
    <col min="6313" max="6313" width="10.28515625" style="55" bestFit="1" customWidth="1"/>
    <col min="6314" max="6315" width="9.140625" style="55"/>
    <col min="6316" max="6316" width="10.28515625" style="55" bestFit="1" customWidth="1"/>
    <col min="6317" max="6318" width="9.140625" style="55"/>
    <col min="6319" max="6319" width="10.28515625" style="55" bestFit="1" customWidth="1"/>
    <col min="6320" max="6321" width="9.140625" style="55"/>
    <col min="6322" max="6322" width="10.28515625" style="55" bestFit="1" customWidth="1"/>
    <col min="6323" max="6324" width="9.140625" style="55"/>
    <col min="6325" max="6325" width="10.28515625" style="55" bestFit="1" customWidth="1"/>
    <col min="6326" max="6327" width="9.140625" style="55"/>
    <col min="6328" max="6328" width="10.28515625" style="55" bestFit="1" customWidth="1"/>
    <col min="6329" max="6330" width="9.140625" style="55"/>
    <col min="6331" max="6331" width="10.28515625" style="55" bestFit="1" customWidth="1"/>
    <col min="6332" max="6333" width="9.140625" style="55"/>
    <col min="6334" max="6334" width="10.28515625" style="55" bestFit="1" customWidth="1"/>
    <col min="6335" max="6336" width="9.140625" style="55"/>
    <col min="6337" max="6337" width="10.28515625" style="55" bestFit="1" customWidth="1"/>
    <col min="6338" max="6339" width="9.140625" style="55"/>
    <col min="6340" max="6340" width="10.28515625" style="55" bestFit="1" customWidth="1"/>
    <col min="6341" max="6342" width="9.140625" style="55"/>
    <col min="6343" max="6343" width="10.28515625" style="55" bestFit="1" customWidth="1"/>
    <col min="6344" max="6345" width="9.140625" style="55"/>
    <col min="6346" max="6346" width="10.28515625" style="55" bestFit="1" customWidth="1"/>
    <col min="6347" max="6348" width="9.140625" style="55"/>
    <col min="6349" max="6349" width="10.28515625" style="55" bestFit="1" customWidth="1"/>
    <col min="6350" max="6351" width="9.140625" style="55"/>
    <col min="6352" max="6352" width="10.28515625" style="55" bestFit="1" customWidth="1"/>
    <col min="6353" max="6354" width="9.140625" style="55"/>
    <col min="6355" max="6355" width="10.28515625" style="55" bestFit="1" customWidth="1"/>
    <col min="6356" max="6357" width="9.140625" style="55"/>
    <col min="6358" max="6358" width="10.28515625" style="55" bestFit="1" customWidth="1"/>
    <col min="6359" max="6360" width="9.140625" style="55"/>
    <col min="6361" max="6361" width="10.28515625" style="55" bestFit="1" customWidth="1"/>
    <col min="6362" max="6363" width="9.140625" style="55"/>
    <col min="6364" max="6364" width="10.28515625" style="55" bestFit="1" customWidth="1"/>
    <col min="6365" max="6400" width="9.140625" style="55"/>
    <col min="6401" max="6401" width="6.28515625" style="55" customWidth="1"/>
    <col min="6402" max="6402" width="81.42578125" style="55" customWidth="1"/>
    <col min="6403" max="6403" width="10" style="55" customWidth="1"/>
    <col min="6404" max="6404" width="15.85546875" style="55" customWidth="1"/>
    <col min="6405" max="6405" width="13.5703125" style="55" customWidth="1"/>
    <col min="6406" max="6406" width="12.7109375" style="55" customWidth="1"/>
    <col min="6407" max="6407" width="11.5703125" style="55" customWidth="1"/>
    <col min="6408" max="6408" width="13" style="55" customWidth="1"/>
    <col min="6409" max="6409" width="0" style="55" hidden="1" customWidth="1"/>
    <col min="6410" max="6410" width="11" style="55" customWidth="1"/>
    <col min="6411" max="6411" width="13.42578125" style="55" customWidth="1"/>
    <col min="6412" max="6412" width="12.5703125" style="55" customWidth="1"/>
    <col min="6413" max="6413" width="11.7109375" style="55" customWidth="1"/>
    <col min="6414" max="6414" width="12" style="55" customWidth="1"/>
    <col min="6415" max="6415" width="0" style="55" hidden="1" customWidth="1"/>
    <col min="6416" max="6416" width="13.28515625" style="55" customWidth="1"/>
    <col min="6417" max="6417" width="11.7109375" style="55" customWidth="1"/>
    <col min="6418" max="6418" width="11.42578125" style="55" customWidth="1"/>
    <col min="6419" max="6419" width="13" style="55" customWidth="1"/>
    <col min="6420" max="6420" width="13.42578125" style="55" customWidth="1"/>
    <col min="6421" max="6421" width="0" style="55" hidden="1" customWidth="1"/>
    <col min="6422" max="6422" width="13.28515625" style="55" customWidth="1"/>
    <col min="6423" max="6423" width="13.140625" style="55" customWidth="1"/>
    <col min="6424" max="6424" width="12.140625" style="55" customWidth="1"/>
    <col min="6425" max="6426" width="11.85546875" style="55" customWidth="1"/>
    <col min="6427" max="6427" width="0" style="55" hidden="1" customWidth="1"/>
    <col min="6428" max="6428" width="12.28515625" style="55" bestFit="1" customWidth="1"/>
    <col min="6429" max="6429" width="10.7109375" style="55" customWidth="1"/>
    <col min="6430" max="6430" width="11.85546875" style="55" customWidth="1"/>
    <col min="6431" max="6431" width="13.140625" style="55" customWidth="1"/>
    <col min="6432" max="6432" width="13" style="55" customWidth="1"/>
    <col min="6433" max="6433" width="0" style="55" hidden="1" customWidth="1"/>
    <col min="6434" max="6434" width="11" style="55" customWidth="1"/>
    <col min="6435" max="6435" width="13" style="55" customWidth="1"/>
    <col min="6436" max="6436" width="12.5703125" style="55" customWidth="1"/>
    <col min="6437" max="6437" width="11.85546875" style="55" customWidth="1"/>
    <col min="6438" max="6438" width="12.28515625" style="55" customWidth="1"/>
    <col min="6439" max="6439" width="0" style="55" hidden="1" customWidth="1"/>
    <col min="6440" max="6440" width="12.85546875" style="55" customWidth="1"/>
    <col min="6441" max="6447" width="0" style="55" hidden="1" customWidth="1"/>
    <col min="6448" max="6448" width="60.85546875" style="55" customWidth="1"/>
    <col min="6449" max="6454" width="27.42578125" style="55" customWidth="1"/>
    <col min="6455" max="6457" width="31.28515625" style="55" customWidth="1"/>
    <col min="6458" max="6458" width="27.42578125" style="55" customWidth="1"/>
    <col min="6459" max="6461" width="34.28515625" style="55" customWidth="1"/>
    <col min="6462" max="6465" width="27.42578125" style="55" customWidth="1"/>
    <col min="6466" max="6466" width="39.42578125" style="55" customWidth="1"/>
    <col min="6467" max="6467" width="41.28515625" style="55" customWidth="1"/>
    <col min="6468" max="6479" width="27.42578125" style="55" customWidth="1"/>
    <col min="6480" max="6481" width="9.140625" style="55"/>
    <col min="6482" max="6482" width="10.28515625" style="55" bestFit="1" customWidth="1"/>
    <col min="6483" max="6484" width="9.140625" style="55"/>
    <col min="6485" max="6485" width="10.28515625" style="55" bestFit="1" customWidth="1"/>
    <col min="6486" max="6487" width="9.140625" style="55"/>
    <col min="6488" max="6488" width="10.28515625" style="55" bestFit="1" customWidth="1"/>
    <col min="6489" max="6490" width="9.140625" style="55"/>
    <col min="6491" max="6491" width="10.28515625" style="55" bestFit="1" customWidth="1"/>
    <col min="6492" max="6493" width="9.140625" style="55"/>
    <col min="6494" max="6494" width="10.28515625" style="55" bestFit="1" customWidth="1"/>
    <col min="6495" max="6496" width="9.140625" style="55"/>
    <col min="6497" max="6497" width="10.28515625" style="55" bestFit="1" customWidth="1"/>
    <col min="6498" max="6499" width="9.140625" style="55"/>
    <col min="6500" max="6500" width="10.28515625" style="55" bestFit="1" customWidth="1"/>
    <col min="6501" max="6502" width="9.140625" style="55"/>
    <col min="6503" max="6503" width="10.28515625" style="55" bestFit="1" customWidth="1"/>
    <col min="6504" max="6505" width="9.140625" style="55"/>
    <col min="6506" max="6506" width="10.28515625" style="55" bestFit="1" customWidth="1"/>
    <col min="6507" max="6508" width="9.140625" style="55"/>
    <col min="6509" max="6509" width="10.28515625" style="55" bestFit="1" customWidth="1"/>
    <col min="6510" max="6511" width="9.140625" style="55"/>
    <col min="6512" max="6512" width="10.28515625" style="55" bestFit="1" customWidth="1"/>
    <col min="6513" max="6514" width="9.140625" style="55"/>
    <col min="6515" max="6515" width="10.28515625" style="55" bestFit="1" customWidth="1"/>
    <col min="6516" max="6517" width="9.140625" style="55"/>
    <col min="6518" max="6518" width="10.28515625" style="55" bestFit="1" customWidth="1"/>
    <col min="6519" max="6520" width="9.140625" style="55"/>
    <col min="6521" max="6521" width="10.28515625" style="55" bestFit="1" customWidth="1"/>
    <col min="6522" max="6523" width="9.140625" style="55"/>
    <col min="6524" max="6524" width="10.28515625" style="55" bestFit="1" customWidth="1"/>
    <col min="6525" max="6526" width="9.140625" style="55"/>
    <col min="6527" max="6527" width="10.28515625" style="55" bestFit="1" customWidth="1"/>
    <col min="6528" max="6529" width="9.140625" style="55"/>
    <col min="6530" max="6530" width="10.28515625" style="55" bestFit="1" customWidth="1"/>
    <col min="6531" max="6532" width="9.140625" style="55"/>
    <col min="6533" max="6533" width="10.28515625" style="55" bestFit="1" customWidth="1"/>
    <col min="6534" max="6535" width="9.140625" style="55"/>
    <col min="6536" max="6536" width="10.28515625" style="55" bestFit="1" customWidth="1"/>
    <col min="6537" max="6538" width="9.140625" style="55"/>
    <col min="6539" max="6539" width="10.28515625" style="55" bestFit="1" customWidth="1"/>
    <col min="6540" max="6541" width="9.140625" style="55"/>
    <col min="6542" max="6542" width="10.28515625" style="55" bestFit="1" customWidth="1"/>
    <col min="6543" max="6544" width="9.140625" style="55"/>
    <col min="6545" max="6545" width="10.28515625" style="55" bestFit="1" customWidth="1"/>
    <col min="6546" max="6547" width="9.140625" style="55"/>
    <col min="6548" max="6548" width="10.28515625" style="55" bestFit="1" customWidth="1"/>
    <col min="6549" max="6550" width="9.140625" style="55"/>
    <col min="6551" max="6551" width="10.28515625" style="55" bestFit="1" customWidth="1"/>
    <col min="6552" max="6553" width="9.140625" style="55"/>
    <col min="6554" max="6554" width="10.28515625" style="55" bestFit="1" customWidth="1"/>
    <col min="6555" max="6556" width="9.140625" style="55"/>
    <col min="6557" max="6557" width="10.28515625" style="55" bestFit="1" customWidth="1"/>
    <col min="6558" max="6559" width="9.140625" style="55"/>
    <col min="6560" max="6560" width="10.28515625" style="55" bestFit="1" customWidth="1"/>
    <col min="6561" max="6562" width="9.140625" style="55"/>
    <col min="6563" max="6563" width="10.28515625" style="55" bestFit="1" customWidth="1"/>
    <col min="6564" max="6565" width="9.140625" style="55"/>
    <col min="6566" max="6566" width="10.28515625" style="55" bestFit="1" customWidth="1"/>
    <col min="6567" max="6568" width="9.140625" style="55"/>
    <col min="6569" max="6569" width="10.28515625" style="55" bestFit="1" customWidth="1"/>
    <col min="6570" max="6571" width="9.140625" style="55"/>
    <col min="6572" max="6572" width="10.28515625" style="55" bestFit="1" customWidth="1"/>
    <col min="6573" max="6574" width="9.140625" style="55"/>
    <col min="6575" max="6575" width="10.28515625" style="55" bestFit="1" customWidth="1"/>
    <col min="6576" max="6577" width="9.140625" style="55"/>
    <col min="6578" max="6578" width="10.28515625" style="55" bestFit="1" customWidth="1"/>
    <col min="6579" max="6580" width="9.140625" style="55"/>
    <col min="6581" max="6581" width="10.28515625" style="55" bestFit="1" customWidth="1"/>
    <col min="6582" max="6583" width="9.140625" style="55"/>
    <col min="6584" max="6584" width="10.28515625" style="55" bestFit="1" customWidth="1"/>
    <col min="6585" max="6586" width="9.140625" style="55"/>
    <col min="6587" max="6587" width="10.28515625" style="55" bestFit="1" customWidth="1"/>
    <col min="6588" max="6589" width="9.140625" style="55"/>
    <col min="6590" max="6590" width="10.28515625" style="55" bestFit="1" customWidth="1"/>
    <col min="6591" max="6592" width="9.140625" style="55"/>
    <col min="6593" max="6593" width="10.28515625" style="55" bestFit="1" customWidth="1"/>
    <col min="6594" max="6595" width="9.140625" style="55"/>
    <col min="6596" max="6596" width="10.28515625" style="55" bestFit="1" customWidth="1"/>
    <col min="6597" max="6598" width="9.140625" style="55"/>
    <col min="6599" max="6599" width="10.28515625" style="55" bestFit="1" customWidth="1"/>
    <col min="6600" max="6601" width="9.140625" style="55"/>
    <col min="6602" max="6602" width="10.28515625" style="55" bestFit="1" customWidth="1"/>
    <col min="6603" max="6604" width="9.140625" style="55"/>
    <col min="6605" max="6605" width="10.28515625" style="55" bestFit="1" customWidth="1"/>
    <col min="6606" max="6607" width="9.140625" style="55"/>
    <col min="6608" max="6608" width="10.28515625" style="55" bestFit="1" customWidth="1"/>
    <col min="6609" max="6610" width="9.140625" style="55"/>
    <col min="6611" max="6611" width="10.28515625" style="55" bestFit="1" customWidth="1"/>
    <col min="6612" max="6613" width="9.140625" style="55"/>
    <col min="6614" max="6614" width="10.28515625" style="55" bestFit="1" customWidth="1"/>
    <col min="6615" max="6616" width="9.140625" style="55"/>
    <col min="6617" max="6617" width="10.28515625" style="55" bestFit="1" customWidth="1"/>
    <col min="6618" max="6619" width="9.140625" style="55"/>
    <col min="6620" max="6620" width="10.28515625" style="55" bestFit="1" customWidth="1"/>
    <col min="6621" max="6656" width="9.140625" style="55"/>
    <col min="6657" max="6657" width="6.28515625" style="55" customWidth="1"/>
    <col min="6658" max="6658" width="81.42578125" style="55" customWidth="1"/>
    <col min="6659" max="6659" width="10" style="55" customWidth="1"/>
    <col min="6660" max="6660" width="15.85546875" style="55" customWidth="1"/>
    <col min="6661" max="6661" width="13.5703125" style="55" customWidth="1"/>
    <col min="6662" max="6662" width="12.7109375" style="55" customWidth="1"/>
    <col min="6663" max="6663" width="11.5703125" style="55" customWidth="1"/>
    <col min="6664" max="6664" width="13" style="55" customWidth="1"/>
    <col min="6665" max="6665" width="0" style="55" hidden="1" customWidth="1"/>
    <col min="6666" max="6666" width="11" style="55" customWidth="1"/>
    <col min="6667" max="6667" width="13.42578125" style="55" customWidth="1"/>
    <col min="6668" max="6668" width="12.5703125" style="55" customWidth="1"/>
    <col min="6669" max="6669" width="11.7109375" style="55" customWidth="1"/>
    <col min="6670" max="6670" width="12" style="55" customWidth="1"/>
    <col min="6671" max="6671" width="0" style="55" hidden="1" customWidth="1"/>
    <col min="6672" max="6672" width="13.28515625" style="55" customWidth="1"/>
    <col min="6673" max="6673" width="11.7109375" style="55" customWidth="1"/>
    <col min="6674" max="6674" width="11.42578125" style="55" customWidth="1"/>
    <col min="6675" max="6675" width="13" style="55" customWidth="1"/>
    <col min="6676" max="6676" width="13.42578125" style="55" customWidth="1"/>
    <col min="6677" max="6677" width="0" style="55" hidden="1" customWidth="1"/>
    <col min="6678" max="6678" width="13.28515625" style="55" customWidth="1"/>
    <col min="6679" max="6679" width="13.140625" style="55" customWidth="1"/>
    <col min="6680" max="6680" width="12.140625" style="55" customWidth="1"/>
    <col min="6681" max="6682" width="11.85546875" style="55" customWidth="1"/>
    <col min="6683" max="6683" width="0" style="55" hidden="1" customWidth="1"/>
    <col min="6684" max="6684" width="12.28515625" style="55" bestFit="1" customWidth="1"/>
    <col min="6685" max="6685" width="10.7109375" style="55" customWidth="1"/>
    <col min="6686" max="6686" width="11.85546875" style="55" customWidth="1"/>
    <col min="6687" max="6687" width="13.140625" style="55" customWidth="1"/>
    <col min="6688" max="6688" width="13" style="55" customWidth="1"/>
    <col min="6689" max="6689" width="0" style="55" hidden="1" customWidth="1"/>
    <col min="6690" max="6690" width="11" style="55" customWidth="1"/>
    <col min="6691" max="6691" width="13" style="55" customWidth="1"/>
    <col min="6692" max="6692" width="12.5703125" style="55" customWidth="1"/>
    <col min="6693" max="6693" width="11.85546875" style="55" customWidth="1"/>
    <col min="6694" max="6694" width="12.28515625" style="55" customWidth="1"/>
    <col min="6695" max="6695" width="0" style="55" hidden="1" customWidth="1"/>
    <col min="6696" max="6696" width="12.85546875" style="55" customWidth="1"/>
    <col min="6697" max="6703" width="0" style="55" hidden="1" customWidth="1"/>
    <col min="6704" max="6704" width="60.85546875" style="55" customWidth="1"/>
    <col min="6705" max="6710" width="27.42578125" style="55" customWidth="1"/>
    <col min="6711" max="6713" width="31.28515625" style="55" customWidth="1"/>
    <col min="6714" max="6714" width="27.42578125" style="55" customWidth="1"/>
    <col min="6715" max="6717" width="34.28515625" style="55" customWidth="1"/>
    <col min="6718" max="6721" width="27.42578125" style="55" customWidth="1"/>
    <col min="6722" max="6722" width="39.42578125" style="55" customWidth="1"/>
    <col min="6723" max="6723" width="41.28515625" style="55" customWidth="1"/>
    <col min="6724" max="6735" width="27.42578125" style="55" customWidth="1"/>
    <col min="6736" max="6737" width="9.140625" style="55"/>
    <col min="6738" max="6738" width="10.28515625" style="55" bestFit="1" customWidth="1"/>
    <col min="6739" max="6740" width="9.140625" style="55"/>
    <col min="6741" max="6741" width="10.28515625" style="55" bestFit="1" customWidth="1"/>
    <col min="6742" max="6743" width="9.140625" style="55"/>
    <col min="6744" max="6744" width="10.28515625" style="55" bestFit="1" customWidth="1"/>
    <col min="6745" max="6746" width="9.140625" style="55"/>
    <col min="6747" max="6747" width="10.28515625" style="55" bestFit="1" customWidth="1"/>
    <col min="6748" max="6749" width="9.140625" style="55"/>
    <col min="6750" max="6750" width="10.28515625" style="55" bestFit="1" customWidth="1"/>
    <col min="6751" max="6752" width="9.140625" style="55"/>
    <col min="6753" max="6753" width="10.28515625" style="55" bestFit="1" customWidth="1"/>
    <col min="6754" max="6755" width="9.140625" style="55"/>
    <col min="6756" max="6756" width="10.28515625" style="55" bestFit="1" customWidth="1"/>
    <col min="6757" max="6758" width="9.140625" style="55"/>
    <col min="6759" max="6759" width="10.28515625" style="55" bestFit="1" customWidth="1"/>
    <col min="6760" max="6761" width="9.140625" style="55"/>
    <col min="6762" max="6762" width="10.28515625" style="55" bestFit="1" customWidth="1"/>
    <col min="6763" max="6764" width="9.140625" style="55"/>
    <col min="6765" max="6765" width="10.28515625" style="55" bestFit="1" customWidth="1"/>
    <col min="6766" max="6767" width="9.140625" style="55"/>
    <col min="6768" max="6768" width="10.28515625" style="55" bestFit="1" customWidth="1"/>
    <col min="6769" max="6770" width="9.140625" style="55"/>
    <col min="6771" max="6771" width="10.28515625" style="55" bestFit="1" customWidth="1"/>
    <col min="6772" max="6773" width="9.140625" style="55"/>
    <col min="6774" max="6774" width="10.28515625" style="55" bestFit="1" customWidth="1"/>
    <col min="6775" max="6776" width="9.140625" style="55"/>
    <col min="6777" max="6777" width="10.28515625" style="55" bestFit="1" customWidth="1"/>
    <col min="6778" max="6779" width="9.140625" style="55"/>
    <col min="6780" max="6780" width="10.28515625" style="55" bestFit="1" customWidth="1"/>
    <col min="6781" max="6782" width="9.140625" style="55"/>
    <col min="6783" max="6783" width="10.28515625" style="55" bestFit="1" customWidth="1"/>
    <col min="6784" max="6785" width="9.140625" style="55"/>
    <col min="6786" max="6786" width="10.28515625" style="55" bestFit="1" customWidth="1"/>
    <col min="6787" max="6788" width="9.140625" style="55"/>
    <col min="6789" max="6789" width="10.28515625" style="55" bestFit="1" customWidth="1"/>
    <col min="6790" max="6791" width="9.140625" style="55"/>
    <col min="6792" max="6792" width="10.28515625" style="55" bestFit="1" customWidth="1"/>
    <col min="6793" max="6794" width="9.140625" style="55"/>
    <col min="6795" max="6795" width="10.28515625" style="55" bestFit="1" customWidth="1"/>
    <col min="6796" max="6797" width="9.140625" style="55"/>
    <col min="6798" max="6798" width="10.28515625" style="55" bestFit="1" customWidth="1"/>
    <col min="6799" max="6800" width="9.140625" style="55"/>
    <col min="6801" max="6801" width="10.28515625" style="55" bestFit="1" customWidth="1"/>
    <col min="6802" max="6803" width="9.140625" style="55"/>
    <col min="6804" max="6804" width="10.28515625" style="55" bestFit="1" customWidth="1"/>
    <col min="6805" max="6806" width="9.140625" style="55"/>
    <col min="6807" max="6807" width="10.28515625" style="55" bestFit="1" customWidth="1"/>
    <col min="6808" max="6809" width="9.140625" style="55"/>
    <col min="6810" max="6810" width="10.28515625" style="55" bestFit="1" customWidth="1"/>
    <col min="6811" max="6812" width="9.140625" style="55"/>
    <col min="6813" max="6813" width="10.28515625" style="55" bestFit="1" customWidth="1"/>
    <col min="6814" max="6815" width="9.140625" style="55"/>
    <col min="6816" max="6816" width="10.28515625" style="55" bestFit="1" customWidth="1"/>
    <col min="6817" max="6818" width="9.140625" style="55"/>
    <col min="6819" max="6819" width="10.28515625" style="55" bestFit="1" customWidth="1"/>
    <col min="6820" max="6821" width="9.140625" style="55"/>
    <col min="6822" max="6822" width="10.28515625" style="55" bestFit="1" customWidth="1"/>
    <col min="6823" max="6824" width="9.140625" style="55"/>
    <col min="6825" max="6825" width="10.28515625" style="55" bestFit="1" customWidth="1"/>
    <col min="6826" max="6827" width="9.140625" style="55"/>
    <col min="6828" max="6828" width="10.28515625" style="55" bestFit="1" customWidth="1"/>
    <col min="6829" max="6830" width="9.140625" style="55"/>
    <col min="6831" max="6831" width="10.28515625" style="55" bestFit="1" customWidth="1"/>
    <col min="6832" max="6833" width="9.140625" style="55"/>
    <col min="6834" max="6834" width="10.28515625" style="55" bestFit="1" customWidth="1"/>
    <col min="6835" max="6836" width="9.140625" style="55"/>
    <col min="6837" max="6837" width="10.28515625" style="55" bestFit="1" customWidth="1"/>
    <col min="6838" max="6839" width="9.140625" style="55"/>
    <col min="6840" max="6840" width="10.28515625" style="55" bestFit="1" customWidth="1"/>
    <col min="6841" max="6842" width="9.140625" style="55"/>
    <col min="6843" max="6843" width="10.28515625" style="55" bestFit="1" customWidth="1"/>
    <col min="6844" max="6845" width="9.140625" style="55"/>
    <col min="6846" max="6846" width="10.28515625" style="55" bestFit="1" customWidth="1"/>
    <col min="6847" max="6848" width="9.140625" style="55"/>
    <col min="6849" max="6849" width="10.28515625" style="55" bestFit="1" customWidth="1"/>
    <col min="6850" max="6851" width="9.140625" style="55"/>
    <col min="6852" max="6852" width="10.28515625" style="55" bestFit="1" customWidth="1"/>
    <col min="6853" max="6854" width="9.140625" style="55"/>
    <col min="6855" max="6855" width="10.28515625" style="55" bestFit="1" customWidth="1"/>
    <col min="6856" max="6857" width="9.140625" style="55"/>
    <col min="6858" max="6858" width="10.28515625" style="55" bestFit="1" customWidth="1"/>
    <col min="6859" max="6860" width="9.140625" style="55"/>
    <col min="6861" max="6861" width="10.28515625" style="55" bestFit="1" customWidth="1"/>
    <col min="6862" max="6863" width="9.140625" style="55"/>
    <col min="6864" max="6864" width="10.28515625" style="55" bestFit="1" customWidth="1"/>
    <col min="6865" max="6866" width="9.140625" style="55"/>
    <col min="6867" max="6867" width="10.28515625" style="55" bestFit="1" customWidth="1"/>
    <col min="6868" max="6869" width="9.140625" style="55"/>
    <col min="6870" max="6870" width="10.28515625" style="55" bestFit="1" customWidth="1"/>
    <col min="6871" max="6872" width="9.140625" style="55"/>
    <col min="6873" max="6873" width="10.28515625" style="55" bestFit="1" customWidth="1"/>
    <col min="6874" max="6875" width="9.140625" style="55"/>
    <col min="6876" max="6876" width="10.28515625" style="55" bestFit="1" customWidth="1"/>
    <col min="6877" max="6912" width="9.140625" style="55"/>
    <col min="6913" max="6913" width="6.28515625" style="55" customWidth="1"/>
    <col min="6914" max="6914" width="81.42578125" style="55" customWidth="1"/>
    <col min="6915" max="6915" width="10" style="55" customWidth="1"/>
    <col min="6916" max="6916" width="15.85546875" style="55" customWidth="1"/>
    <col min="6917" max="6917" width="13.5703125" style="55" customWidth="1"/>
    <col min="6918" max="6918" width="12.7109375" style="55" customWidth="1"/>
    <col min="6919" max="6919" width="11.5703125" style="55" customWidth="1"/>
    <col min="6920" max="6920" width="13" style="55" customWidth="1"/>
    <col min="6921" max="6921" width="0" style="55" hidden="1" customWidth="1"/>
    <col min="6922" max="6922" width="11" style="55" customWidth="1"/>
    <col min="6923" max="6923" width="13.42578125" style="55" customWidth="1"/>
    <col min="6924" max="6924" width="12.5703125" style="55" customWidth="1"/>
    <col min="6925" max="6925" width="11.7109375" style="55" customWidth="1"/>
    <col min="6926" max="6926" width="12" style="55" customWidth="1"/>
    <col min="6927" max="6927" width="0" style="55" hidden="1" customWidth="1"/>
    <col min="6928" max="6928" width="13.28515625" style="55" customWidth="1"/>
    <col min="6929" max="6929" width="11.7109375" style="55" customWidth="1"/>
    <col min="6930" max="6930" width="11.42578125" style="55" customWidth="1"/>
    <col min="6931" max="6931" width="13" style="55" customWidth="1"/>
    <col min="6932" max="6932" width="13.42578125" style="55" customWidth="1"/>
    <col min="6933" max="6933" width="0" style="55" hidden="1" customWidth="1"/>
    <col min="6934" max="6934" width="13.28515625" style="55" customWidth="1"/>
    <col min="6935" max="6935" width="13.140625" style="55" customWidth="1"/>
    <col min="6936" max="6936" width="12.140625" style="55" customWidth="1"/>
    <col min="6937" max="6938" width="11.85546875" style="55" customWidth="1"/>
    <col min="6939" max="6939" width="0" style="55" hidden="1" customWidth="1"/>
    <col min="6940" max="6940" width="12.28515625" style="55" bestFit="1" customWidth="1"/>
    <col min="6941" max="6941" width="10.7109375" style="55" customWidth="1"/>
    <col min="6942" max="6942" width="11.85546875" style="55" customWidth="1"/>
    <col min="6943" max="6943" width="13.140625" style="55" customWidth="1"/>
    <col min="6944" max="6944" width="13" style="55" customWidth="1"/>
    <col min="6945" max="6945" width="0" style="55" hidden="1" customWidth="1"/>
    <col min="6946" max="6946" width="11" style="55" customWidth="1"/>
    <col min="6947" max="6947" width="13" style="55" customWidth="1"/>
    <col min="6948" max="6948" width="12.5703125" style="55" customWidth="1"/>
    <col min="6949" max="6949" width="11.85546875" style="55" customWidth="1"/>
    <col min="6950" max="6950" width="12.28515625" style="55" customWidth="1"/>
    <col min="6951" max="6951" width="0" style="55" hidden="1" customWidth="1"/>
    <col min="6952" max="6952" width="12.85546875" style="55" customWidth="1"/>
    <col min="6953" max="6959" width="0" style="55" hidden="1" customWidth="1"/>
    <col min="6960" max="6960" width="60.85546875" style="55" customWidth="1"/>
    <col min="6961" max="6966" width="27.42578125" style="55" customWidth="1"/>
    <col min="6967" max="6969" width="31.28515625" style="55" customWidth="1"/>
    <col min="6970" max="6970" width="27.42578125" style="55" customWidth="1"/>
    <col min="6971" max="6973" width="34.28515625" style="55" customWidth="1"/>
    <col min="6974" max="6977" width="27.42578125" style="55" customWidth="1"/>
    <col min="6978" max="6978" width="39.42578125" style="55" customWidth="1"/>
    <col min="6979" max="6979" width="41.28515625" style="55" customWidth="1"/>
    <col min="6980" max="6991" width="27.42578125" style="55" customWidth="1"/>
    <col min="6992" max="6993" width="9.140625" style="55"/>
    <col min="6994" max="6994" width="10.28515625" style="55" bestFit="1" customWidth="1"/>
    <col min="6995" max="6996" width="9.140625" style="55"/>
    <col min="6997" max="6997" width="10.28515625" style="55" bestFit="1" customWidth="1"/>
    <col min="6998" max="6999" width="9.140625" style="55"/>
    <col min="7000" max="7000" width="10.28515625" style="55" bestFit="1" customWidth="1"/>
    <col min="7001" max="7002" width="9.140625" style="55"/>
    <col min="7003" max="7003" width="10.28515625" style="55" bestFit="1" customWidth="1"/>
    <col min="7004" max="7005" width="9.140625" style="55"/>
    <col min="7006" max="7006" width="10.28515625" style="55" bestFit="1" customWidth="1"/>
    <col min="7007" max="7008" width="9.140625" style="55"/>
    <col min="7009" max="7009" width="10.28515625" style="55" bestFit="1" customWidth="1"/>
    <col min="7010" max="7011" width="9.140625" style="55"/>
    <col min="7012" max="7012" width="10.28515625" style="55" bestFit="1" customWidth="1"/>
    <col min="7013" max="7014" width="9.140625" style="55"/>
    <col min="7015" max="7015" width="10.28515625" style="55" bestFit="1" customWidth="1"/>
    <col min="7016" max="7017" width="9.140625" style="55"/>
    <col min="7018" max="7018" width="10.28515625" style="55" bestFit="1" customWidth="1"/>
    <col min="7019" max="7020" width="9.140625" style="55"/>
    <col min="7021" max="7021" width="10.28515625" style="55" bestFit="1" customWidth="1"/>
    <col min="7022" max="7023" width="9.140625" style="55"/>
    <col min="7024" max="7024" width="10.28515625" style="55" bestFit="1" customWidth="1"/>
    <col min="7025" max="7026" width="9.140625" style="55"/>
    <col min="7027" max="7027" width="10.28515625" style="55" bestFit="1" customWidth="1"/>
    <col min="7028" max="7029" width="9.140625" style="55"/>
    <col min="7030" max="7030" width="10.28515625" style="55" bestFit="1" customWidth="1"/>
    <col min="7031" max="7032" width="9.140625" style="55"/>
    <col min="7033" max="7033" width="10.28515625" style="55" bestFit="1" customWidth="1"/>
    <col min="7034" max="7035" width="9.140625" style="55"/>
    <col min="7036" max="7036" width="10.28515625" style="55" bestFit="1" customWidth="1"/>
    <col min="7037" max="7038" width="9.140625" style="55"/>
    <col min="7039" max="7039" width="10.28515625" style="55" bestFit="1" customWidth="1"/>
    <col min="7040" max="7041" width="9.140625" style="55"/>
    <col min="7042" max="7042" width="10.28515625" style="55" bestFit="1" customWidth="1"/>
    <col min="7043" max="7044" width="9.140625" style="55"/>
    <col min="7045" max="7045" width="10.28515625" style="55" bestFit="1" customWidth="1"/>
    <col min="7046" max="7047" width="9.140625" style="55"/>
    <col min="7048" max="7048" width="10.28515625" style="55" bestFit="1" customWidth="1"/>
    <col min="7049" max="7050" width="9.140625" style="55"/>
    <col min="7051" max="7051" width="10.28515625" style="55" bestFit="1" customWidth="1"/>
    <col min="7052" max="7053" width="9.140625" style="55"/>
    <col min="7054" max="7054" width="10.28515625" style="55" bestFit="1" customWidth="1"/>
    <col min="7055" max="7056" width="9.140625" style="55"/>
    <col min="7057" max="7057" width="10.28515625" style="55" bestFit="1" customWidth="1"/>
    <col min="7058" max="7059" width="9.140625" style="55"/>
    <col min="7060" max="7060" width="10.28515625" style="55" bestFit="1" customWidth="1"/>
    <col min="7061" max="7062" width="9.140625" style="55"/>
    <col min="7063" max="7063" width="10.28515625" style="55" bestFit="1" customWidth="1"/>
    <col min="7064" max="7065" width="9.140625" style="55"/>
    <col min="7066" max="7066" width="10.28515625" style="55" bestFit="1" customWidth="1"/>
    <col min="7067" max="7068" width="9.140625" style="55"/>
    <col min="7069" max="7069" width="10.28515625" style="55" bestFit="1" customWidth="1"/>
    <col min="7070" max="7071" width="9.140625" style="55"/>
    <col min="7072" max="7072" width="10.28515625" style="55" bestFit="1" customWidth="1"/>
    <col min="7073" max="7074" width="9.140625" style="55"/>
    <col min="7075" max="7075" width="10.28515625" style="55" bestFit="1" customWidth="1"/>
    <col min="7076" max="7077" width="9.140625" style="55"/>
    <col min="7078" max="7078" width="10.28515625" style="55" bestFit="1" customWidth="1"/>
    <col min="7079" max="7080" width="9.140625" style="55"/>
    <col min="7081" max="7081" width="10.28515625" style="55" bestFit="1" customWidth="1"/>
    <col min="7082" max="7083" width="9.140625" style="55"/>
    <col min="7084" max="7084" width="10.28515625" style="55" bestFit="1" customWidth="1"/>
    <col min="7085" max="7086" width="9.140625" style="55"/>
    <col min="7087" max="7087" width="10.28515625" style="55" bestFit="1" customWidth="1"/>
    <col min="7088" max="7089" width="9.140625" style="55"/>
    <col min="7090" max="7090" width="10.28515625" style="55" bestFit="1" customWidth="1"/>
    <col min="7091" max="7092" width="9.140625" style="55"/>
    <col min="7093" max="7093" width="10.28515625" style="55" bestFit="1" customWidth="1"/>
    <col min="7094" max="7095" width="9.140625" style="55"/>
    <col min="7096" max="7096" width="10.28515625" style="55" bestFit="1" customWidth="1"/>
    <col min="7097" max="7098" width="9.140625" style="55"/>
    <col min="7099" max="7099" width="10.28515625" style="55" bestFit="1" customWidth="1"/>
    <col min="7100" max="7101" width="9.140625" style="55"/>
    <col min="7102" max="7102" width="10.28515625" style="55" bestFit="1" customWidth="1"/>
    <col min="7103" max="7104" width="9.140625" style="55"/>
    <col min="7105" max="7105" width="10.28515625" style="55" bestFit="1" customWidth="1"/>
    <col min="7106" max="7107" width="9.140625" style="55"/>
    <col min="7108" max="7108" width="10.28515625" style="55" bestFit="1" customWidth="1"/>
    <col min="7109" max="7110" width="9.140625" style="55"/>
    <col min="7111" max="7111" width="10.28515625" style="55" bestFit="1" customWidth="1"/>
    <col min="7112" max="7113" width="9.140625" style="55"/>
    <col min="7114" max="7114" width="10.28515625" style="55" bestFit="1" customWidth="1"/>
    <col min="7115" max="7116" width="9.140625" style="55"/>
    <col min="7117" max="7117" width="10.28515625" style="55" bestFit="1" customWidth="1"/>
    <col min="7118" max="7119" width="9.140625" style="55"/>
    <col min="7120" max="7120" width="10.28515625" style="55" bestFit="1" customWidth="1"/>
    <col min="7121" max="7122" width="9.140625" style="55"/>
    <col min="7123" max="7123" width="10.28515625" style="55" bestFit="1" customWidth="1"/>
    <col min="7124" max="7125" width="9.140625" style="55"/>
    <col min="7126" max="7126" width="10.28515625" style="55" bestFit="1" customWidth="1"/>
    <col min="7127" max="7128" width="9.140625" style="55"/>
    <col min="7129" max="7129" width="10.28515625" style="55" bestFit="1" customWidth="1"/>
    <col min="7130" max="7131" width="9.140625" style="55"/>
    <col min="7132" max="7132" width="10.28515625" style="55" bestFit="1" customWidth="1"/>
    <col min="7133" max="7168" width="9.140625" style="55"/>
    <col min="7169" max="7169" width="6.28515625" style="55" customWidth="1"/>
    <col min="7170" max="7170" width="81.42578125" style="55" customWidth="1"/>
    <col min="7171" max="7171" width="10" style="55" customWidth="1"/>
    <col min="7172" max="7172" width="15.85546875" style="55" customWidth="1"/>
    <col min="7173" max="7173" width="13.5703125" style="55" customWidth="1"/>
    <col min="7174" max="7174" width="12.7109375" style="55" customWidth="1"/>
    <col min="7175" max="7175" width="11.5703125" style="55" customWidth="1"/>
    <col min="7176" max="7176" width="13" style="55" customWidth="1"/>
    <col min="7177" max="7177" width="0" style="55" hidden="1" customWidth="1"/>
    <col min="7178" max="7178" width="11" style="55" customWidth="1"/>
    <col min="7179" max="7179" width="13.42578125" style="55" customWidth="1"/>
    <col min="7180" max="7180" width="12.5703125" style="55" customWidth="1"/>
    <col min="7181" max="7181" width="11.7109375" style="55" customWidth="1"/>
    <col min="7182" max="7182" width="12" style="55" customWidth="1"/>
    <col min="7183" max="7183" width="0" style="55" hidden="1" customWidth="1"/>
    <col min="7184" max="7184" width="13.28515625" style="55" customWidth="1"/>
    <col min="7185" max="7185" width="11.7109375" style="55" customWidth="1"/>
    <col min="7186" max="7186" width="11.42578125" style="55" customWidth="1"/>
    <col min="7187" max="7187" width="13" style="55" customWidth="1"/>
    <col min="7188" max="7188" width="13.42578125" style="55" customWidth="1"/>
    <col min="7189" max="7189" width="0" style="55" hidden="1" customWidth="1"/>
    <col min="7190" max="7190" width="13.28515625" style="55" customWidth="1"/>
    <col min="7191" max="7191" width="13.140625" style="55" customWidth="1"/>
    <col min="7192" max="7192" width="12.140625" style="55" customWidth="1"/>
    <col min="7193" max="7194" width="11.85546875" style="55" customWidth="1"/>
    <col min="7195" max="7195" width="0" style="55" hidden="1" customWidth="1"/>
    <col min="7196" max="7196" width="12.28515625" style="55" bestFit="1" customWidth="1"/>
    <col min="7197" max="7197" width="10.7109375" style="55" customWidth="1"/>
    <col min="7198" max="7198" width="11.85546875" style="55" customWidth="1"/>
    <col min="7199" max="7199" width="13.140625" style="55" customWidth="1"/>
    <col min="7200" max="7200" width="13" style="55" customWidth="1"/>
    <col min="7201" max="7201" width="0" style="55" hidden="1" customWidth="1"/>
    <col min="7202" max="7202" width="11" style="55" customWidth="1"/>
    <col min="7203" max="7203" width="13" style="55" customWidth="1"/>
    <col min="7204" max="7204" width="12.5703125" style="55" customWidth="1"/>
    <col min="7205" max="7205" width="11.85546875" style="55" customWidth="1"/>
    <col min="7206" max="7206" width="12.28515625" style="55" customWidth="1"/>
    <col min="7207" max="7207" width="0" style="55" hidden="1" customWidth="1"/>
    <col min="7208" max="7208" width="12.85546875" style="55" customWidth="1"/>
    <col min="7209" max="7215" width="0" style="55" hidden="1" customWidth="1"/>
    <col min="7216" max="7216" width="60.85546875" style="55" customWidth="1"/>
    <col min="7217" max="7222" width="27.42578125" style="55" customWidth="1"/>
    <col min="7223" max="7225" width="31.28515625" style="55" customWidth="1"/>
    <col min="7226" max="7226" width="27.42578125" style="55" customWidth="1"/>
    <col min="7227" max="7229" width="34.28515625" style="55" customWidth="1"/>
    <col min="7230" max="7233" width="27.42578125" style="55" customWidth="1"/>
    <col min="7234" max="7234" width="39.42578125" style="55" customWidth="1"/>
    <col min="7235" max="7235" width="41.28515625" style="55" customWidth="1"/>
    <col min="7236" max="7247" width="27.42578125" style="55" customWidth="1"/>
    <col min="7248" max="7249" width="9.140625" style="55"/>
    <col min="7250" max="7250" width="10.28515625" style="55" bestFit="1" customWidth="1"/>
    <col min="7251" max="7252" width="9.140625" style="55"/>
    <col min="7253" max="7253" width="10.28515625" style="55" bestFit="1" customWidth="1"/>
    <col min="7254" max="7255" width="9.140625" style="55"/>
    <col min="7256" max="7256" width="10.28515625" style="55" bestFit="1" customWidth="1"/>
    <col min="7257" max="7258" width="9.140625" style="55"/>
    <col min="7259" max="7259" width="10.28515625" style="55" bestFit="1" customWidth="1"/>
    <col min="7260" max="7261" width="9.140625" style="55"/>
    <col min="7262" max="7262" width="10.28515625" style="55" bestFit="1" customWidth="1"/>
    <col min="7263" max="7264" width="9.140625" style="55"/>
    <col min="7265" max="7265" width="10.28515625" style="55" bestFit="1" customWidth="1"/>
    <col min="7266" max="7267" width="9.140625" style="55"/>
    <col min="7268" max="7268" width="10.28515625" style="55" bestFit="1" customWidth="1"/>
    <col min="7269" max="7270" width="9.140625" style="55"/>
    <col min="7271" max="7271" width="10.28515625" style="55" bestFit="1" customWidth="1"/>
    <col min="7272" max="7273" width="9.140625" style="55"/>
    <col min="7274" max="7274" width="10.28515625" style="55" bestFit="1" customWidth="1"/>
    <col min="7275" max="7276" width="9.140625" style="55"/>
    <col min="7277" max="7277" width="10.28515625" style="55" bestFit="1" customWidth="1"/>
    <col min="7278" max="7279" width="9.140625" style="55"/>
    <col min="7280" max="7280" width="10.28515625" style="55" bestFit="1" customWidth="1"/>
    <col min="7281" max="7282" width="9.140625" style="55"/>
    <col min="7283" max="7283" width="10.28515625" style="55" bestFit="1" customWidth="1"/>
    <col min="7284" max="7285" width="9.140625" style="55"/>
    <col min="7286" max="7286" width="10.28515625" style="55" bestFit="1" customWidth="1"/>
    <col min="7287" max="7288" width="9.140625" style="55"/>
    <col min="7289" max="7289" width="10.28515625" style="55" bestFit="1" customWidth="1"/>
    <col min="7290" max="7291" width="9.140625" style="55"/>
    <col min="7292" max="7292" width="10.28515625" style="55" bestFit="1" customWidth="1"/>
    <col min="7293" max="7294" width="9.140625" style="55"/>
    <col min="7295" max="7295" width="10.28515625" style="55" bestFit="1" customWidth="1"/>
    <col min="7296" max="7297" width="9.140625" style="55"/>
    <col min="7298" max="7298" width="10.28515625" style="55" bestFit="1" customWidth="1"/>
    <col min="7299" max="7300" width="9.140625" style="55"/>
    <col min="7301" max="7301" width="10.28515625" style="55" bestFit="1" customWidth="1"/>
    <col min="7302" max="7303" width="9.140625" style="55"/>
    <col min="7304" max="7304" width="10.28515625" style="55" bestFit="1" customWidth="1"/>
    <col min="7305" max="7306" width="9.140625" style="55"/>
    <col min="7307" max="7307" width="10.28515625" style="55" bestFit="1" customWidth="1"/>
    <col min="7308" max="7309" width="9.140625" style="55"/>
    <col min="7310" max="7310" width="10.28515625" style="55" bestFit="1" customWidth="1"/>
    <col min="7311" max="7312" width="9.140625" style="55"/>
    <col min="7313" max="7313" width="10.28515625" style="55" bestFit="1" customWidth="1"/>
    <col min="7314" max="7315" width="9.140625" style="55"/>
    <col min="7316" max="7316" width="10.28515625" style="55" bestFit="1" customWidth="1"/>
    <col min="7317" max="7318" width="9.140625" style="55"/>
    <col min="7319" max="7319" width="10.28515625" style="55" bestFit="1" customWidth="1"/>
    <col min="7320" max="7321" width="9.140625" style="55"/>
    <col min="7322" max="7322" width="10.28515625" style="55" bestFit="1" customWidth="1"/>
    <col min="7323" max="7324" width="9.140625" style="55"/>
    <col min="7325" max="7325" width="10.28515625" style="55" bestFit="1" customWidth="1"/>
    <col min="7326" max="7327" width="9.140625" style="55"/>
    <col min="7328" max="7328" width="10.28515625" style="55" bestFit="1" customWidth="1"/>
    <col min="7329" max="7330" width="9.140625" style="55"/>
    <col min="7331" max="7331" width="10.28515625" style="55" bestFit="1" customWidth="1"/>
    <col min="7332" max="7333" width="9.140625" style="55"/>
    <col min="7334" max="7334" width="10.28515625" style="55" bestFit="1" customWidth="1"/>
    <col min="7335" max="7336" width="9.140625" style="55"/>
    <col min="7337" max="7337" width="10.28515625" style="55" bestFit="1" customWidth="1"/>
    <col min="7338" max="7339" width="9.140625" style="55"/>
    <col min="7340" max="7340" width="10.28515625" style="55" bestFit="1" customWidth="1"/>
    <col min="7341" max="7342" width="9.140625" style="55"/>
    <col min="7343" max="7343" width="10.28515625" style="55" bestFit="1" customWidth="1"/>
    <col min="7344" max="7345" width="9.140625" style="55"/>
    <col min="7346" max="7346" width="10.28515625" style="55" bestFit="1" customWidth="1"/>
    <col min="7347" max="7348" width="9.140625" style="55"/>
    <col min="7349" max="7349" width="10.28515625" style="55" bestFit="1" customWidth="1"/>
    <col min="7350" max="7351" width="9.140625" style="55"/>
    <col min="7352" max="7352" width="10.28515625" style="55" bestFit="1" customWidth="1"/>
    <col min="7353" max="7354" width="9.140625" style="55"/>
    <col min="7355" max="7355" width="10.28515625" style="55" bestFit="1" customWidth="1"/>
    <col min="7356" max="7357" width="9.140625" style="55"/>
    <col min="7358" max="7358" width="10.28515625" style="55" bestFit="1" customWidth="1"/>
    <col min="7359" max="7360" width="9.140625" style="55"/>
    <col min="7361" max="7361" width="10.28515625" style="55" bestFit="1" customWidth="1"/>
    <col min="7362" max="7363" width="9.140625" style="55"/>
    <col min="7364" max="7364" width="10.28515625" style="55" bestFit="1" customWidth="1"/>
    <col min="7365" max="7366" width="9.140625" style="55"/>
    <col min="7367" max="7367" width="10.28515625" style="55" bestFit="1" customWidth="1"/>
    <col min="7368" max="7369" width="9.140625" style="55"/>
    <col min="7370" max="7370" width="10.28515625" style="55" bestFit="1" customWidth="1"/>
    <col min="7371" max="7372" width="9.140625" style="55"/>
    <col min="7373" max="7373" width="10.28515625" style="55" bestFit="1" customWidth="1"/>
    <col min="7374" max="7375" width="9.140625" style="55"/>
    <col min="7376" max="7376" width="10.28515625" style="55" bestFit="1" customWidth="1"/>
    <col min="7377" max="7378" width="9.140625" style="55"/>
    <col min="7379" max="7379" width="10.28515625" style="55" bestFit="1" customWidth="1"/>
    <col min="7380" max="7381" width="9.140625" style="55"/>
    <col min="7382" max="7382" width="10.28515625" style="55" bestFit="1" customWidth="1"/>
    <col min="7383" max="7384" width="9.140625" style="55"/>
    <col min="7385" max="7385" width="10.28515625" style="55" bestFit="1" customWidth="1"/>
    <col min="7386" max="7387" width="9.140625" style="55"/>
    <col min="7388" max="7388" width="10.28515625" style="55" bestFit="1" customWidth="1"/>
    <col min="7389" max="7424" width="9.140625" style="55"/>
    <col min="7425" max="7425" width="6.28515625" style="55" customWidth="1"/>
    <col min="7426" max="7426" width="81.42578125" style="55" customWidth="1"/>
    <col min="7427" max="7427" width="10" style="55" customWidth="1"/>
    <col min="7428" max="7428" width="15.85546875" style="55" customWidth="1"/>
    <col min="7429" max="7429" width="13.5703125" style="55" customWidth="1"/>
    <col min="7430" max="7430" width="12.7109375" style="55" customWidth="1"/>
    <col min="7431" max="7431" width="11.5703125" style="55" customWidth="1"/>
    <col min="7432" max="7432" width="13" style="55" customWidth="1"/>
    <col min="7433" max="7433" width="0" style="55" hidden="1" customWidth="1"/>
    <col min="7434" max="7434" width="11" style="55" customWidth="1"/>
    <col min="7435" max="7435" width="13.42578125" style="55" customWidth="1"/>
    <col min="7436" max="7436" width="12.5703125" style="55" customWidth="1"/>
    <col min="7437" max="7437" width="11.7109375" style="55" customWidth="1"/>
    <col min="7438" max="7438" width="12" style="55" customWidth="1"/>
    <col min="7439" max="7439" width="0" style="55" hidden="1" customWidth="1"/>
    <col min="7440" max="7440" width="13.28515625" style="55" customWidth="1"/>
    <col min="7441" max="7441" width="11.7109375" style="55" customWidth="1"/>
    <col min="7442" max="7442" width="11.42578125" style="55" customWidth="1"/>
    <col min="7443" max="7443" width="13" style="55" customWidth="1"/>
    <col min="7444" max="7444" width="13.42578125" style="55" customWidth="1"/>
    <col min="7445" max="7445" width="0" style="55" hidden="1" customWidth="1"/>
    <col min="7446" max="7446" width="13.28515625" style="55" customWidth="1"/>
    <col min="7447" max="7447" width="13.140625" style="55" customWidth="1"/>
    <col min="7448" max="7448" width="12.140625" style="55" customWidth="1"/>
    <col min="7449" max="7450" width="11.85546875" style="55" customWidth="1"/>
    <col min="7451" max="7451" width="0" style="55" hidden="1" customWidth="1"/>
    <col min="7452" max="7452" width="12.28515625" style="55" bestFit="1" customWidth="1"/>
    <col min="7453" max="7453" width="10.7109375" style="55" customWidth="1"/>
    <col min="7454" max="7454" width="11.85546875" style="55" customWidth="1"/>
    <col min="7455" max="7455" width="13.140625" style="55" customWidth="1"/>
    <col min="7456" max="7456" width="13" style="55" customWidth="1"/>
    <col min="7457" max="7457" width="0" style="55" hidden="1" customWidth="1"/>
    <col min="7458" max="7458" width="11" style="55" customWidth="1"/>
    <col min="7459" max="7459" width="13" style="55" customWidth="1"/>
    <col min="7460" max="7460" width="12.5703125" style="55" customWidth="1"/>
    <col min="7461" max="7461" width="11.85546875" style="55" customWidth="1"/>
    <col min="7462" max="7462" width="12.28515625" style="55" customWidth="1"/>
    <col min="7463" max="7463" width="0" style="55" hidden="1" customWidth="1"/>
    <col min="7464" max="7464" width="12.85546875" style="55" customWidth="1"/>
    <col min="7465" max="7471" width="0" style="55" hidden="1" customWidth="1"/>
    <col min="7472" max="7472" width="60.85546875" style="55" customWidth="1"/>
    <col min="7473" max="7478" width="27.42578125" style="55" customWidth="1"/>
    <col min="7479" max="7481" width="31.28515625" style="55" customWidth="1"/>
    <col min="7482" max="7482" width="27.42578125" style="55" customWidth="1"/>
    <col min="7483" max="7485" width="34.28515625" style="55" customWidth="1"/>
    <col min="7486" max="7489" width="27.42578125" style="55" customWidth="1"/>
    <col min="7490" max="7490" width="39.42578125" style="55" customWidth="1"/>
    <col min="7491" max="7491" width="41.28515625" style="55" customWidth="1"/>
    <col min="7492" max="7503" width="27.42578125" style="55" customWidth="1"/>
    <col min="7504" max="7505" width="9.140625" style="55"/>
    <col min="7506" max="7506" width="10.28515625" style="55" bestFit="1" customWidth="1"/>
    <col min="7507" max="7508" width="9.140625" style="55"/>
    <col min="7509" max="7509" width="10.28515625" style="55" bestFit="1" customWidth="1"/>
    <col min="7510" max="7511" width="9.140625" style="55"/>
    <col min="7512" max="7512" width="10.28515625" style="55" bestFit="1" customWidth="1"/>
    <col min="7513" max="7514" width="9.140625" style="55"/>
    <col min="7515" max="7515" width="10.28515625" style="55" bestFit="1" customWidth="1"/>
    <col min="7516" max="7517" width="9.140625" style="55"/>
    <col min="7518" max="7518" width="10.28515625" style="55" bestFit="1" customWidth="1"/>
    <col min="7519" max="7520" width="9.140625" style="55"/>
    <col min="7521" max="7521" width="10.28515625" style="55" bestFit="1" customWidth="1"/>
    <col min="7522" max="7523" width="9.140625" style="55"/>
    <col min="7524" max="7524" width="10.28515625" style="55" bestFit="1" customWidth="1"/>
    <col min="7525" max="7526" width="9.140625" style="55"/>
    <col min="7527" max="7527" width="10.28515625" style="55" bestFit="1" customWidth="1"/>
    <col min="7528" max="7529" width="9.140625" style="55"/>
    <col min="7530" max="7530" width="10.28515625" style="55" bestFit="1" customWidth="1"/>
    <col min="7531" max="7532" width="9.140625" style="55"/>
    <col min="7533" max="7533" width="10.28515625" style="55" bestFit="1" customWidth="1"/>
    <col min="7534" max="7535" width="9.140625" style="55"/>
    <col min="7536" max="7536" width="10.28515625" style="55" bestFit="1" customWidth="1"/>
    <col min="7537" max="7538" width="9.140625" style="55"/>
    <col min="7539" max="7539" width="10.28515625" style="55" bestFit="1" customWidth="1"/>
    <col min="7540" max="7541" width="9.140625" style="55"/>
    <col min="7542" max="7542" width="10.28515625" style="55" bestFit="1" customWidth="1"/>
    <col min="7543" max="7544" width="9.140625" style="55"/>
    <col min="7545" max="7545" width="10.28515625" style="55" bestFit="1" customWidth="1"/>
    <col min="7546" max="7547" width="9.140625" style="55"/>
    <col min="7548" max="7548" width="10.28515625" style="55" bestFit="1" customWidth="1"/>
    <col min="7549" max="7550" width="9.140625" style="55"/>
    <col min="7551" max="7551" width="10.28515625" style="55" bestFit="1" customWidth="1"/>
    <col min="7552" max="7553" width="9.140625" style="55"/>
    <col min="7554" max="7554" width="10.28515625" style="55" bestFit="1" customWidth="1"/>
    <col min="7555" max="7556" width="9.140625" style="55"/>
    <col min="7557" max="7557" width="10.28515625" style="55" bestFit="1" customWidth="1"/>
    <col min="7558" max="7559" width="9.140625" style="55"/>
    <col min="7560" max="7560" width="10.28515625" style="55" bestFit="1" customWidth="1"/>
    <col min="7561" max="7562" width="9.140625" style="55"/>
    <col min="7563" max="7563" width="10.28515625" style="55" bestFit="1" customWidth="1"/>
    <col min="7564" max="7565" width="9.140625" style="55"/>
    <col min="7566" max="7566" width="10.28515625" style="55" bestFit="1" customWidth="1"/>
    <col min="7567" max="7568" width="9.140625" style="55"/>
    <col min="7569" max="7569" width="10.28515625" style="55" bestFit="1" customWidth="1"/>
    <col min="7570" max="7571" width="9.140625" style="55"/>
    <col min="7572" max="7572" width="10.28515625" style="55" bestFit="1" customWidth="1"/>
    <col min="7573" max="7574" width="9.140625" style="55"/>
    <col min="7575" max="7575" width="10.28515625" style="55" bestFit="1" customWidth="1"/>
    <col min="7576" max="7577" width="9.140625" style="55"/>
    <col min="7578" max="7578" width="10.28515625" style="55" bestFit="1" customWidth="1"/>
    <col min="7579" max="7580" width="9.140625" style="55"/>
    <col min="7581" max="7581" width="10.28515625" style="55" bestFit="1" customWidth="1"/>
    <col min="7582" max="7583" width="9.140625" style="55"/>
    <col min="7584" max="7584" width="10.28515625" style="55" bestFit="1" customWidth="1"/>
    <col min="7585" max="7586" width="9.140625" style="55"/>
    <col min="7587" max="7587" width="10.28515625" style="55" bestFit="1" customWidth="1"/>
    <col min="7588" max="7589" width="9.140625" style="55"/>
    <col min="7590" max="7590" width="10.28515625" style="55" bestFit="1" customWidth="1"/>
    <col min="7591" max="7592" width="9.140625" style="55"/>
    <col min="7593" max="7593" width="10.28515625" style="55" bestFit="1" customWidth="1"/>
    <col min="7594" max="7595" width="9.140625" style="55"/>
    <col min="7596" max="7596" width="10.28515625" style="55" bestFit="1" customWidth="1"/>
    <col min="7597" max="7598" width="9.140625" style="55"/>
    <col min="7599" max="7599" width="10.28515625" style="55" bestFit="1" customWidth="1"/>
    <col min="7600" max="7601" width="9.140625" style="55"/>
    <col min="7602" max="7602" width="10.28515625" style="55" bestFit="1" customWidth="1"/>
    <col min="7603" max="7604" width="9.140625" style="55"/>
    <col min="7605" max="7605" width="10.28515625" style="55" bestFit="1" customWidth="1"/>
    <col min="7606" max="7607" width="9.140625" style="55"/>
    <col min="7608" max="7608" width="10.28515625" style="55" bestFit="1" customWidth="1"/>
    <col min="7609" max="7610" width="9.140625" style="55"/>
    <col min="7611" max="7611" width="10.28515625" style="55" bestFit="1" customWidth="1"/>
    <col min="7612" max="7613" width="9.140625" style="55"/>
    <col min="7614" max="7614" width="10.28515625" style="55" bestFit="1" customWidth="1"/>
    <col min="7615" max="7616" width="9.140625" style="55"/>
    <col min="7617" max="7617" width="10.28515625" style="55" bestFit="1" customWidth="1"/>
    <col min="7618" max="7619" width="9.140625" style="55"/>
    <col min="7620" max="7620" width="10.28515625" style="55" bestFit="1" customWidth="1"/>
    <col min="7621" max="7622" width="9.140625" style="55"/>
    <col min="7623" max="7623" width="10.28515625" style="55" bestFit="1" customWidth="1"/>
    <col min="7624" max="7625" width="9.140625" style="55"/>
    <col min="7626" max="7626" width="10.28515625" style="55" bestFit="1" customWidth="1"/>
    <col min="7627" max="7628" width="9.140625" style="55"/>
    <col min="7629" max="7629" width="10.28515625" style="55" bestFit="1" customWidth="1"/>
    <col min="7630" max="7631" width="9.140625" style="55"/>
    <col min="7632" max="7632" width="10.28515625" style="55" bestFit="1" customWidth="1"/>
    <col min="7633" max="7634" width="9.140625" style="55"/>
    <col min="7635" max="7635" width="10.28515625" style="55" bestFit="1" customWidth="1"/>
    <col min="7636" max="7637" width="9.140625" style="55"/>
    <col min="7638" max="7638" width="10.28515625" style="55" bestFit="1" customWidth="1"/>
    <col min="7639" max="7640" width="9.140625" style="55"/>
    <col min="7641" max="7641" width="10.28515625" style="55" bestFit="1" customWidth="1"/>
    <col min="7642" max="7643" width="9.140625" style="55"/>
    <col min="7644" max="7644" width="10.28515625" style="55" bestFit="1" customWidth="1"/>
    <col min="7645" max="7680" width="9.140625" style="55"/>
    <col min="7681" max="7681" width="6.28515625" style="55" customWidth="1"/>
    <col min="7682" max="7682" width="81.42578125" style="55" customWidth="1"/>
    <col min="7683" max="7683" width="10" style="55" customWidth="1"/>
    <col min="7684" max="7684" width="15.85546875" style="55" customWidth="1"/>
    <col min="7685" max="7685" width="13.5703125" style="55" customWidth="1"/>
    <col min="7686" max="7686" width="12.7109375" style="55" customWidth="1"/>
    <col min="7687" max="7687" width="11.5703125" style="55" customWidth="1"/>
    <col min="7688" max="7688" width="13" style="55" customWidth="1"/>
    <col min="7689" max="7689" width="0" style="55" hidden="1" customWidth="1"/>
    <col min="7690" max="7690" width="11" style="55" customWidth="1"/>
    <col min="7691" max="7691" width="13.42578125" style="55" customWidth="1"/>
    <col min="7692" max="7692" width="12.5703125" style="55" customWidth="1"/>
    <col min="7693" max="7693" width="11.7109375" style="55" customWidth="1"/>
    <col min="7694" max="7694" width="12" style="55" customWidth="1"/>
    <col min="7695" max="7695" width="0" style="55" hidden="1" customWidth="1"/>
    <col min="7696" max="7696" width="13.28515625" style="55" customWidth="1"/>
    <col min="7697" max="7697" width="11.7109375" style="55" customWidth="1"/>
    <col min="7698" max="7698" width="11.42578125" style="55" customWidth="1"/>
    <col min="7699" max="7699" width="13" style="55" customWidth="1"/>
    <col min="7700" max="7700" width="13.42578125" style="55" customWidth="1"/>
    <col min="7701" max="7701" width="0" style="55" hidden="1" customWidth="1"/>
    <col min="7702" max="7702" width="13.28515625" style="55" customWidth="1"/>
    <col min="7703" max="7703" width="13.140625" style="55" customWidth="1"/>
    <col min="7704" max="7704" width="12.140625" style="55" customWidth="1"/>
    <col min="7705" max="7706" width="11.85546875" style="55" customWidth="1"/>
    <col min="7707" max="7707" width="0" style="55" hidden="1" customWidth="1"/>
    <col min="7708" max="7708" width="12.28515625" style="55" bestFit="1" customWidth="1"/>
    <col min="7709" max="7709" width="10.7109375" style="55" customWidth="1"/>
    <col min="7710" max="7710" width="11.85546875" style="55" customWidth="1"/>
    <col min="7711" max="7711" width="13.140625" style="55" customWidth="1"/>
    <col min="7712" max="7712" width="13" style="55" customWidth="1"/>
    <col min="7713" max="7713" width="0" style="55" hidden="1" customWidth="1"/>
    <col min="7714" max="7714" width="11" style="55" customWidth="1"/>
    <col min="7715" max="7715" width="13" style="55" customWidth="1"/>
    <col min="7716" max="7716" width="12.5703125" style="55" customWidth="1"/>
    <col min="7717" max="7717" width="11.85546875" style="55" customWidth="1"/>
    <col min="7718" max="7718" width="12.28515625" style="55" customWidth="1"/>
    <col min="7719" max="7719" width="0" style="55" hidden="1" customWidth="1"/>
    <col min="7720" max="7720" width="12.85546875" style="55" customWidth="1"/>
    <col min="7721" max="7727" width="0" style="55" hidden="1" customWidth="1"/>
    <col min="7728" max="7728" width="60.85546875" style="55" customWidth="1"/>
    <col min="7729" max="7734" width="27.42578125" style="55" customWidth="1"/>
    <col min="7735" max="7737" width="31.28515625" style="55" customWidth="1"/>
    <col min="7738" max="7738" width="27.42578125" style="55" customWidth="1"/>
    <col min="7739" max="7741" width="34.28515625" style="55" customWidth="1"/>
    <col min="7742" max="7745" width="27.42578125" style="55" customWidth="1"/>
    <col min="7746" max="7746" width="39.42578125" style="55" customWidth="1"/>
    <col min="7747" max="7747" width="41.28515625" style="55" customWidth="1"/>
    <col min="7748" max="7759" width="27.42578125" style="55" customWidth="1"/>
    <col min="7760" max="7761" width="9.140625" style="55"/>
    <col min="7762" max="7762" width="10.28515625" style="55" bestFit="1" customWidth="1"/>
    <col min="7763" max="7764" width="9.140625" style="55"/>
    <col min="7765" max="7765" width="10.28515625" style="55" bestFit="1" customWidth="1"/>
    <col min="7766" max="7767" width="9.140625" style="55"/>
    <col min="7768" max="7768" width="10.28515625" style="55" bestFit="1" customWidth="1"/>
    <col min="7769" max="7770" width="9.140625" style="55"/>
    <col min="7771" max="7771" width="10.28515625" style="55" bestFit="1" customWidth="1"/>
    <col min="7772" max="7773" width="9.140625" style="55"/>
    <col min="7774" max="7774" width="10.28515625" style="55" bestFit="1" customWidth="1"/>
    <col min="7775" max="7776" width="9.140625" style="55"/>
    <col min="7777" max="7777" width="10.28515625" style="55" bestFit="1" customWidth="1"/>
    <col min="7778" max="7779" width="9.140625" style="55"/>
    <col min="7780" max="7780" width="10.28515625" style="55" bestFit="1" customWidth="1"/>
    <col min="7781" max="7782" width="9.140625" style="55"/>
    <col min="7783" max="7783" width="10.28515625" style="55" bestFit="1" customWidth="1"/>
    <col min="7784" max="7785" width="9.140625" style="55"/>
    <col min="7786" max="7786" width="10.28515625" style="55" bestFit="1" customWidth="1"/>
    <col min="7787" max="7788" width="9.140625" style="55"/>
    <col min="7789" max="7789" width="10.28515625" style="55" bestFit="1" customWidth="1"/>
    <col min="7790" max="7791" width="9.140625" style="55"/>
    <col min="7792" max="7792" width="10.28515625" style="55" bestFit="1" customWidth="1"/>
    <col min="7793" max="7794" width="9.140625" style="55"/>
    <col min="7795" max="7795" width="10.28515625" style="55" bestFit="1" customWidth="1"/>
    <col min="7796" max="7797" width="9.140625" style="55"/>
    <col min="7798" max="7798" width="10.28515625" style="55" bestFit="1" customWidth="1"/>
    <col min="7799" max="7800" width="9.140625" style="55"/>
    <col min="7801" max="7801" width="10.28515625" style="55" bestFit="1" customWidth="1"/>
    <col min="7802" max="7803" width="9.140625" style="55"/>
    <col min="7804" max="7804" width="10.28515625" style="55" bestFit="1" customWidth="1"/>
    <col min="7805" max="7806" width="9.140625" style="55"/>
    <col min="7807" max="7807" width="10.28515625" style="55" bestFit="1" customWidth="1"/>
    <col min="7808" max="7809" width="9.140625" style="55"/>
    <col min="7810" max="7810" width="10.28515625" style="55" bestFit="1" customWidth="1"/>
    <col min="7811" max="7812" width="9.140625" style="55"/>
    <col min="7813" max="7813" width="10.28515625" style="55" bestFit="1" customWidth="1"/>
    <col min="7814" max="7815" width="9.140625" style="55"/>
    <col min="7816" max="7816" width="10.28515625" style="55" bestFit="1" customWidth="1"/>
    <col min="7817" max="7818" width="9.140625" style="55"/>
    <col min="7819" max="7819" width="10.28515625" style="55" bestFit="1" customWidth="1"/>
    <col min="7820" max="7821" width="9.140625" style="55"/>
    <col min="7822" max="7822" width="10.28515625" style="55" bestFit="1" customWidth="1"/>
    <col min="7823" max="7824" width="9.140625" style="55"/>
    <col min="7825" max="7825" width="10.28515625" style="55" bestFit="1" customWidth="1"/>
    <col min="7826" max="7827" width="9.140625" style="55"/>
    <col min="7828" max="7828" width="10.28515625" style="55" bestFit="1" customWidth="1"/>
    <col min="7829" max="7830" width="9.140625" style="55"/>
    <col min="7831" max="7831" width="10.28515625" style="55" bestFit="1" customWidth="1"/>
    <col min="7832" max="7833" width="9.140625" style="55"/>
    <col min="7834" max="7834" width="10.28515625" style="55" bestFit="1" customWidth="1"/>
    <col min="7835" max="7836" width="9.140625" style="55"/>
    <col min="7837" max="7837" width="10.28515625" style="55" bestFit="1" customWidth="1"/>
    <col min="7838" max="7839" width="9.140625" style="55"/>
    <col min="7840" max="7840" width="10.28515625" style="55" bestFit="1" customWidth="1"/>
    <col min="7841" max="7842" width="9.140625" style="55"/>
    <col min="7843" max="7843" width="10.28515625" style="55" bestFit="1" customWidth="1"/>
    <col min="7844" max="7845" width="9.140625" style="55"/>
    <col min="7846" max="7846" width="10.28515625" style="55" bestFit="1" customWidth="1"/>
    <col min="7847" max="7848" width="9.140625" style="55"/>
    <col min="7849" max="7849" width="10.28515625" style="55" bestFit="1" customWidth="1"/>
    <col min="7850" max="7851" width="9.140625" style="55"/>
    <col min="7852" max="7852" width="10.28515625" style="55" bestFit="1" customWidth="1"/>
    <col min="7853" max="7854" width="9.140625" style="55"/>
    <col min="7855" max="7855" width="10.28515625" style="55" bestFit="1" customWidth="1"/>
    <col min="7856" max="7857" width="9.140625" style="55"/>
    <col min="7858" max="7858" width="10.28515625" style="55" bestFit="1" customWidth="1"/>
    <col min="7859" max="7860" width="9.140625" style="55"/>
    <col min="7861" max="7861" width="10.28515625" style="55" bestFit="1" customWidth="1"/>
    <col min="7862" max="7863" width="9.140625" style="55"/>
    <col min="7864" max="7864" width="10.28515625" style="55" bestFit="1" customWidth="1"/>
    <col min="7865" max="7866" width="9.140625" style="55"/>
    <col min="7867" max="7867" width="10.28515625" style="55" bestFit="1" customWidth="1"/>
    <col min="7868" max="7869" width="9.140625" style="55"/>
    <col min="7870" max="7870" width="10.28515625" style="55" bestFit="1" customWidth="1"/>
    <col min="7871" max="7872" width="9.140625" style="55"/>
    <col min="7873" max="7873" width="10.28515625" style="55" bestFit="1" customWidth="1"/>
    <col min="7874" max="7875" width="9.140625" style="55"/>
    <col min="7876" max="7876" width="10.28515625" style="55" bestFit="1" customWidth="1"/>
    <col min="7877" max="7878" width="9.140625" style="55"/>
    <col min="7879" max="7879" width="10.28515625" style="55" bestFit="1" customWidth="1"/>
    <col min="7880" max="7881" width="9.140625" style="55"/>
    <col min="7882" max="7882" width="10.28515625" style="55" bestFit="1" customWidth="1"/>
    <col min="7883" max="7884" width="9.140625" style="55"/>
    <col min="7885" max="7885" width="10.28515625" style="55" bestFit="1" customWidth="1"/>
    <col min="7886" max="7887" width="9.140625" style="55"/>
    <col min="7888" max="7888" width="10.28515625" style="55" bestFit="1" customWidth="1"/>
    <col min="7889" max="7890" width="9.140625" style="55"/>
    <col min="7891" max="7891" width="10.28515625" style="55" bestFit="1" customWidth="1"/>
    <col min="7892" max="7893" width="9.140625" style="55"/>
    <col min="7894" max="7894" width="10.28515625" style="55" bestFit="1" customWidth="1"/>
    <col min="7895" max="7896" width="9.140625" style="55"/>
    <col min="7897" max="7897" width="10.28515625" style="55" bestFit="1" customWidth="1"/>
    <col min="7898" max="7899" width="9.140625" style="55"/>
    <col min="7900" max="7900" width="10.28515625" style="55" bestFit="1" customWidth="1"/>
    <col min="7901" max="7936" width="9.140625" style="55"/>
    <col min="7937" max="7937" width="6.28515625" style="55" customWidth="1"/>
    <col min="7938" max="7938" width="81.42578125" style="55" customWidth="1"/>
    <col min="7939" max="7939" width="10" style="55" customWidth="1"/>
    <col min="7940" max="7940" width="15.85546875" style="55" customWidth="1"/>
    <col min="7941" max="7941" width="13.5703125" style="55" customWidth="1"/>
    <col min="7942" max="7942" width="12.7109375" style="55" customWidth="1"/>
    <col min="7943" max="7943" width="11.5703125" style="55" customWidth="1"/>
    <col min="7944" max="7944" width="13" style="55" customWidth="1"/>
    <col min="7945" max="7945" width="0" style="55" hidden="1" customWidth="1"/>
    <col min="7946" max="7946" width="11" style="55" customWidth="1"/>
    <col min="7947" max="7947" width="13.42578125" style="55" customWidth="1"/>
    <col min="7948" max="7948" width="12.5703125" style="55" customWidth="1"/>
    <col min="7949" max="7949" width="11.7109375" style="55" customWidth="1"/>
    <col min="7950" max="7950" width="12" style="55" customWidth="1"/>
    <col min="7951" max="7951" width="0" style="55" hidden="1" customWidth="1"/>
    <col min="7952" max="7952" width="13.28515625" style="55" customWidth="1"/>
    <col min="7953" max="7953" width="11.7109375" style="55" customWidth="1"/>
    <col min="7954" max="7954" width="11.42578125" style="55" customWidth="1"/>
    <col min="7955" max="7955" width="13" style="55" customWidth="1"/>
    <col min="7956" max="7956" width="13.42578125" style="55" customWidth="1"/>
    <col min="7957" max="7957" width="0" style="55" hidden="1" customWidth="1"/>
    <col min="7958" max="7958" width="13.28515625" style="55" customWidth="1"/>
    <col min="7959" max="7959" width="13.140625" style="55" customWidth="1"/>
    <col min="7960" max="7960" width="12.140625" style="55" customWidth="1"/>
    <col min="7961" max="7962" width="11.85546875" style="55" customWidth="1"/>
    <col min="7963" max="7963" width="0" style="55" hidden="1" customWidth="1"/>
    <col min="7964" max="7964" width="12.28515625" style="55" bestFit="1" customWidth="1"/>
    <col min="7965" max="7965" width="10.7109375" style="55" customWidth="1"/>
    <col min="7966" max="7966" width="11.85546875" style="55" customWidth="1"/>
    <col min="7967" max="7967" width="13.140625" style="55" customWidth="1"/>
    <col min="7968" max="7968" width="13" style="55" customWidth="1"/>
    <col min="7969" max="7969" width="0" style="55" hidden="1" customWidth="1"/>
    <col min="7970" max="7970" width="11" style="55" customWidth="1"/>
    <col min="7971" max="7971" width="13" style="55" customWidth="1"/>
    <col min="7972" max="7972" width="12.5703125" style="55" customWidth="1"/>
    <col min="7973" max="7973" width="11.85546875" style="55" customWidth="1"/>
    <col min="7974" max="7974" width="12.28515625" style="55" customWidth="1"/>
    <col min="7975" max="7975" width="0" style="55" hidden="1" customWidth="1"/>
    <col min="7976" max="7976" width="12.85546875" style="55" customWidth="1"/>
    <col min="7977" max="7983" width="0" style="55" hidden="1" customWidth="1"/>
    <col min="7984" max="7984" width="60.85546875" style="55" customWidth="1"/>
    <col min="7985" max="7990" width="27.42578125" style="55" customWidth="1"/>
    <col min="7991" max="7993" width="31.28515625" style="55" customWidth="1"/>
    <col min="7994" max="7994" width="27.42578125" style="55" customWidth="1"/>
    <col min="7995" max="7997" width="34.28515625" style="55" customWidth="1"/>
    <col min="7998" max="8001" width="27.42578125" style="55" customWidth="1"/>
    <col min="8002" max="8002" width="39.42578125" style="55" customWidth="1"/>
    <col min="8003" max="8003" width="41.28515625" style="55" customWidth="1"/>
    <col min="8004" max="8015" width="27.42578125" style="55" customWidth="1"/>
    <col min="8016" max="8017" width="9.140625" style="55"/>
    <col min="8018" max="8018" width="10.28515625" style="55" bestFit="1" customWidth="1"/>
    <col min="8019" max="8020" width="9.140625" style="55"/>
    <col min="8021" max="8021" width="10.28515625" style="55" bestFit="1" customWidth="1"/>
    <col min="8022" max="8023" width="9.140625" style="55"/>
    <col min="8024" max="8024" width="10.28515625" style="55" bestFit="1" customWidth="1"/>
    <col min="8025" max="8026" width="9.140625" style="55"/>
    <col min="8027" max="8027" width="10.28515625" style="55" bestFit="1" customWidth="1"/>
    <col min="8028" max="8029" width="9.140625" style="55"/>
    <col min="8030" max="8030" width="10.28515625" style="55" bestFit="1" customWidth="1"/>
    <col min="8031" max="8032" width="9.140625" style="55"/>
    <col min="8033" max="8033" width="10.28515625" style="55" bestFit="1" customWidth="1"/>
    <col min="8034" max="8035" width="9.140625" style="55"/>
    <col min="8036" max="8036" width="10.28515625" style="55" bestFit="1" customWidth="1"/>
    <col min="8037" max="8038" width="9.140625" style="55"/>
    <col min="8039" max="8039" width="10.28515625" style="55" bestFit="1" customWidth="1"/>
    <col min="8040" max="8041" width="9.140625" style="55"/>
    <col min="8042" max="8042" width="10.28515625" style="55" bestFit="1" customWidth="1"/>
    <col min="8043" max="8044" width="9.140625" style="55"/>
    <col min="8045" max="8045" width="10.28515625" style="55" bestFit="1" customWidth="1"/>
    <col min="8046" max="8047" width="9.140625" style="55"/>
    <col min="8048" max="8048" width="10.28515625" style="55" bestFit="1" customWidth="1"/>
    <col min="8049" max="8050" width="9.140625" style="55"/>
    <col min="8051" max="8051" width="10.28515625" style="55" bestFit="1" customWidth="1"/>
    <col min="8052" max="8053" width="9.140625" style="55"/>
    <col min="8054" max="8054" width="10.28515625" style="55" bestFit="1" customWidth="1"/>
    <col min="8055" max="8056" width="9.140625" style="55"/>
    <col min="8057" max="8057" width="10.28515625" style="55" bestFit="1" customWidth="1"/>
    <col min="8058" max="8059" width="9.140625" style="55"/>
    <col min="8060" max="8060" width="10.28515625" style="55" bestFit="1" customWidth="1"/>
    <col min="8061" max="8062" width="9.140625" style="55"/>
    <col min="8063" max="8063" width="10.28515625" style="55" bestFit="1" customWidth="1"/>
    <col min="8064" max="8065" width="9.140625" style="55"/>
    <col min="8066" max="8066" width="10.28515625" style="55" bestFit="1" customWidth="1"/>
    <col min="8067" max="8068" width="9.140625" style="55"/>
    <col min="8069" max="8069" width="10.28515625" style="55" bestFit="1" customWidth="1"/>
    <col min="8070" max="8071" width="9.140625" style="55"/>
    <col min="8072" max="8072" width="10.28515625" style="55" bestFit="1" customWidth="1"/>
    <col min="8073" max="8074" width="9.140625" style="55"/>
    <col min="8075" max="8075" width="10.28515625" style="55" bestFit="1" customWidth="1"/>
    <col min="8076" max="8077" width="9.140625" style="55"/>
    <col min="8078" max="8078" width="10.28515625" style="55" bestFit="1" customWidth="1"/>
    <col min="8079" max="8080" width="9.140625" style="55"/>
    <col min="8081" max="8081" width="10.28515625" style="55" bestFit="1" customWidth="1"/>
    <col min="8082" max="8083" width="9.140625" style="55"/>
    <col min="8084" max="8084" width="10.28515625" style="55" bestFit="1" customWidth="1"/>
    <col min="8085" max="8086" width="9.140625" style="55"/>
    <col min="8087" max="8087" width="10.28515625" style="55" bestFit="1" customWidth="1"/>
    <col min="8088" max="8089" width="9.140625" style="55"/>
    <col min="8090" max="8090" width="10.28515625" style="55" bestFit="1" customWidth="1"/>
    <col min="8091" max="8092" width="9.140625" style="55"/>
    <col min="8093" max="8093" width="10.28515625" style="55" bestFit="1" customWidth="1"/>
    <col min="8094" max="8095" width="9.140625" style="55"/>
    <col min="8096" max="8096" width="10.28515625" style="55" bestFit="1" customWidth="1"/>
    <col min="8097" max="8098" width="9.140625" style="55"/>
    <col min="8099" max="8099" width="10.28515625" style="55" bestFit="1" customWidth="1"/>
    <col min="8100" max="8101" width="9.140625" style="55"/>
    <col min="8102" max="8102" width="10.28515625" style="55" bestFit="1" customWidth="1"/>
    <col min="8103" max="8104" width="9.140625" style="55"/>
    <col min="8105" max="8105" width="10.28515625" style="55" bestFit="1" customWidth="1"/>
    <col min="8106" max="8107" width="9.140625" style="55"/>
    <col min="8108" max="8108" width="10.28515625" style="55" bestFit="1" customWidth="1"/>
    <col min="8109" max="8110" width="9.140625" style="55"/>
    <col min="8111" max="8111" width="10.28515625" style="55" bestFit="1" customWidth="1"/>
    <col min="8112" max="8113" width="9.140625" style="55"/>
    <col min="8114" max="8114" width="10.28515625" style="55" bestFit="1" customWidth="1"/>
    <col min="8115" max="8116" width="9.140625" style="55"/>
    <col min="8117" max="8117" width="10.28515625" style="55" bestFit="1" customWidth="1"/>
    <col min="8118" max="8119" width="9.140625" style="55"/>
    <col min="8120" max="8120" width="10.28515625" style="55" bestFit="1" customWidth="1"/>
    <col min="8121" max="8122" width="9.140625" style="55"/>
    <col min="8123" max="8123" width="10.28515625" style="55" bestFit="1" customWidth="1"/>
    <col min="8124" max="8125" width="9.140625" style="55"/>
    <col min="8126" max="8126" width="10.28515625" style="55" bestFit="1" customWidth="1"/>
    <col min="8127" max="8128" width="9.140625" style="55"/>
    <col min="8129" max="8129" width="10.28515625" style="55" bestFit="1" customWidth="1"/>
    <col min="8130" max="8131" width="9.140625" style="55"/>
    <col min="8132" max="8132" width="10.28515625" style="55" bestFit="1" customWidth="1"/>
    <col min="8133" max="8134" width="9.140625" style="55"/>
    <col min="8135" max="8135" width="10.28515625" style="55" bestFit="1" customWidth="1"/>
    <col min="8136" max="8137" width="9.140625" style="55"/>
    <col min="8138" max="8138" width="10.28515625" style="55" bestFit="1" customWidth="1"/>
    <col min="8139" max="8140" width="9.140625" style="55"/>
    <col min="8141" max="8141" width="10.28515625" style="55" bestFit="1" customWidth="1"/>
    <col min="8142" max="8143" width="9.140625" style="55"/>
    <col min="8144" max="8144" width="10.28515625" style="55" bestFit="1" customWidth="1"/>
    <col min="8145" max="8146" width="9.140625" style="55"/>
    <col min="8147" max="8147" width="10.28515625" style="55" bestFit="1" customWidth="1"/>
    <col min="8148" max="8149" width="9.140625" style="55"/>
    <col min="8150" max="8150" width="10.28515625" style="55" bestFit="1" customWidth="1"/>
    <col min="8151" max="8152" width="9.140625" style="55"/>
    <col min="8153" max="8153" width="10.28515625" style="55" bestFit="1" customWidth="1"/>
    <col min="8154" max="8155" width="9.140625" style="55"/>
    <col min="8156" max="8156" width="10.28515625" style="55" bestFit="1" customWidth="1"/>
    <col min="8157" max="8192" width="9.140625" style="55"/>
    <col min="8193" max="8193" width="6.28515625" style="55" customWidth="1"/>
    <col min="8194" max="8194" width="81.42578125" style="55" customWidth="1"/>
    <col min="8195" max="8195" width="10" style="55" customWidth="1"/>
    <col min="8196" max="8196" width="15.85546875" style="55" customWidth="1"/>
    <col min="8197" max="8197" width="13.5703125" style="55" customWidth="1"/>
    <col min="8198" max="8198" width="12.7109375" style="55" customWidth="1"/>
    <col min="8199" max="8199" width="11.5703125" style="55" customWidth="1"/>
    <col min="8200" max="8200" width="13" style="55" customWidth="1"/>
    <col min="8201" max="8201" width="0" style="55" hidden="1" customWidth="1"/>
    <col min="8202" max="8202" width="11" style="55" customWidth="1"/>
    <col min="8203" max="8203" width="13.42578125" style="55" customWidth="1"/>
    <col min="8204" max="8204" width="12.5703125" style="55" customWidth="1"/>
    <col min="8205" max="8205" width="11.7109375" style="55" customWidth="1"/>
    <col min="8206" max="8206" width="12" style="55" customWidth="1"/>
    <col min="8207" max="8207" width="0" style="55" hidden="1" customWidth="1"/>
    <col min="8208" max="8208" width="13.28515625" style="55" customWidth="1"/>
    <col min="8209" max="8209" width="11.7109375" style="55" customWidth="1"/>
    <col min="8210" max="8210" width="11.42578125" style="55" customWidth="1"/>
    <col min="8211" max="8211" width="13" style="55" customWidth="1"/>
    <col min="8212" max="8212" width="13.42578125" style="55" customWidth="1"/>
    <col min="8213" max="8213" width="0" style="55" hidden="1" customWidth="1"/>
    <col min="8214" max="8214" width="13.28515625" style="55" customWidth="1"/>
    <col min="8215" max="8215" width="13.140625" style="55" customWidth="1"/>
    <col min="8216" max="8216" width="12.140625" style="55" customWidth="1"/>
    <col min="8217" max="8218" width="11.85546875" style="55" customWidth="1"/>
    <col min="8219" max="8219" width="0" style="55" hidden="1" customWidth="1"/>
    <col min="8220" max="8220" width="12.28515625" style="55" bestFit="1" customWidth="1"/>
    <col min="8221" max="8221" width="10.7109375" style="55" customWidth="1"/>
    <col min="8222" max="8222" width="11.85546875" style="55" customWidth="1"/>
    <col min="8223" max="8223" width="13.140625" style="55" customWidth="1"/>
    <col min="8224" max="8224" width="13" style="55" customWidth="1"/>
    <col min="8225" max="8225" width="0" style="55" hidden="1" customWidth="1"/>
    <col min="8226" max="8226" width="11" style="55" customWidth="1"/>
    <col min="8227" max="8227" width="13" style="55" customWidth="1"/>
    <col min="8228" max="8228" width="12.5703125" style="55" customWidth="1"/>
    <col min="8229" max="8229" width="11.85546875" style="55" customWidth="1"/>
    <col min="8230" max="8230" width="12.28515625" style="55" customWidth="1"/>
    <col min="8231" max="8231" width="0" style="55" hidden="1" customWidth="1"/>
    <col min="8232" max="8232" width="12.85546875" style="55" customWidth="1"/>
    <col min="8233" max="8239" width="0" style="55" hidden="1" customWidth="1"/>
    <col min="8240" max="8240" width="60.85546875" style="55" customWidth="1"/>
    <col min="8241" max="8246" width="27.42578125" style="55" customWidth="1"/>
    <col min="8247" max="8249" width="31.28515625" style="55" customWidth="1"/>
    <col min="8250" max="8250" width="27.42578125" style="55" customWidth="1"/>
    <col min="8251" max="8253" width="34.28515625" style="55" customWidth="1"/>
    <col min="8254" max="8257" width="27.42578125" style="55" customWidth="1"/>
    <col min="8258" max="8258" width="39.42578125" style="55" customWidth="1"/>
    <col min="8259" max="8259" width="41.28515625" style="55" customWidth="1"/>
    <col min="8260" max="8271" width="27.42578125" style="55" customWidth="1"/>
    <col min="8272" max="8273" width="9.140625" style="55"/>
    <col min="8274" max="8274" width="10.28515625" style="55" bestFit="1" customWidth="1"/>
    <col min="8275" max="8276" width="9.140625" style="55"/>
    <col min="8277" max="8277" width="10.28515625" style="55" bestFit="1" customWidth="1"/>
    <col min="8278" max="8279" width="9.140625" style="55"/>
    <col min="8280" max="8280" width="10.28515625" style="55" bestFit="1" customWidth="1"/>
    <col min="8281" max="8282" width="9.140625" style="55"/>
    <col min="8283" max="8283" width="10.28515625" style="55" bestFit="1" customWidth="1"/>
    <col min="8284" max="8285" width="9.140625" style="55"/>
    <col min="8286" max="8286" width="10.28515625" style="55" bestFit="1" customWidth="1"/>
    <col min="8287" max="8288" width="9.140625" style="55"/>
    <col min="8289" max="8289" width="10.28515625" style="55" bestFit="1" customWidth="1"/>
    <col min="8290" max="8291" width="9.140625" style="55"/>
    <col min="8292" max="8292" width="10.28515625" style="55" bestFit="1" customWidth="1"/>
    <col min="8293" max="8294" width="9.140625" style="55"/>
    <col min="8295" max="8295" width="10.28515625" style="55" bestFit="1" customWidth="1"/>
    <col min="8296" max="8297" width="9.140625" style="55"/>
    <col min="8298" max="8298" width="10.28515625" style="55" bestFit="1" customWidth="1"/>
    <col min="8299" max="8300" width="9.140625" style="55"/>
    <col min="8301" max="8301" width="10.28515625" style="55" bestFit="1" customWidth="1"/>
    <col min="8302" max="8303" width="9.140625" style="55"/>
    <col min="8304" max="8304" width="10.28515625" style="55" bestFit="1" customWidth="1"/>
    <col min="8305" max="8306" width="9.140625" style="55"/>
    <col min="8307" max="8307" width="10.28515625" style="55" bestFit="1" customWidth="1"/>
    <col min="8308" max="8309" width="9.140625" style="55"/>
    <col min="8310" max="8310" width="10.28515625" style="55" bestFit="1" customWidth="1"/>
    <col min="8311" max="8312" width="9.140625" style="55"/>
    <col min="8313" max="8313" width="10.28515625" style="55" bestFit="1" customWidth="1"/>
    <col min="8314" max="8315" width="9.140625" style="55"/>
    <col min="8316" max="8316" width="10.28515625" style="55" bestFit="1" customWidth="1"/>
    <col min="8317" max="8318" width="9.140625" style="55"/>
    <col min="8319" max="8319" width="10.28515625" style="55" bestFit="1" customWidth="1"/>
    <col min="8320" max="8321" width="9.140625" style="55"/>
    <col min="8322" max="8322" width="10.28515625" style="55" bestFit="1" customWidth="1"/>
    <col min="8323" max="8324" width="9.140625" style="55"/>
    <col min="8325" max="8325" width="10.28515625" style="55" bestFit="1" customWidth="1"/>
    <col min="8326" max="8327" width="9.140625" style="55"/>
    <col min="8328" max="8328" width="10.28515625" style="55" bestFit="1" customWidth="1"/>
    <col min="8329" max="8330" width="9.140625" style="55"/>
    <col min="8331" max="8331" width="10.28515625" style="55" bestFit="1" customWidth="1"/>
    <col min="8332" max="8333" width="9.140625" style="55"/>
    <col min="8334" max="8334" width="10.28515625" style="55" bestFit="1" customWidth="1"/>
    <col min="8335" max="8336" width="9.140625" style="55"/>
    <col min="8337" max="8337" width="10.28515625" style="55" bestFit="1" customWidth="1"/>
    <col min="8338" max="8339" width="9.140625" style="55"/>
    <col min="8340" max="8340" width="10.28515625" style="55" bestFit="1" customWidth="1"/>
    <col min="8341" max="8342" width="9.140625" style="55"/>
    <col min="8343" max="8343" width="10.28515625" style="55" bestFit="1" customWidth="1"/>
    <col min="8344" max="8345" width="9.140625" style="55"/>
    <col min="8346" max="8346" width="10.28515625" style="55" bestFit="1" customWidth="1"/>
    <col min="8347" max="8348" width="9.140625" style="55"/>
    <col min="8349" max="8349" width="10.28515625" style="55" bestFit="1" customWidth="1"/>
    <col min="8350" max="8351" width="9.140625" style="55"/>
    <col min="8352" max="8352" width="10.28515625" style="55" bestFit="1" customWidth="1"/>
    <col min="8353" max="8354" width="9.140625" style="55"/>
    <col min="8355" max="8355" width="10.28515625" style="55" bestFit="1" customWidth="1"/>
    <col min="8356" max="8357" width="9.140625" style="55"/>
    <col min="8358" max="8358" width="10.28515625" style="55" bestFit="1" customWidth="1"/>
    <col min="8359" max="8360" width="9.140625" style="55"/>
    <col min="8361" max="8361" width="10.28515625" style="55" bestFit="1" customWidth="1"/>
    <col min="8362" max="8363" width="9.140625" style="55"/>
    <col min="8364" max="8364" width="10.28515625" style="55" bestFit="1" customWidth="1"/>
    <col min="8365" max="8366" width="9.140625" style="55"/>
    <col min="8367" max="8367" width="10.28515625" style="55" bestFit="1" customWidth="1"/>
    <col min="8368" max="8369" width="9.140625" style="55"/>
    <col min="8370" max="8370" width="10.28515625" style="55" bestFit="1" customWidth="1"/>
    <col min="8371" max="8372" width="9.140625" style="55"/>
    <col min="8373" max="8373" width="10.28515625" style="55" bestFit="1" customWidth="1"/>
    <col min="8374" max="8375" width="9.140625" style="55"/>
    <col min="8376" max="8376" width="10.28515625" style="55" bestFit="1" customWidth="1"/>
    <col min="8377" max="8378" width="9.140625" style="55"/>
    <col min="8379" max="8379" width="10.28515625" style="55" bestFit="1" customWidth="1"/>
    <col min="8380" max="8381" width="9.140625" style="55"/>
    <col min="8382" max="8382" width="10.28515625" style="55" bestFit="1" customWidth="1"/>
    <col min="8383" max="8384" width="9.140625" style="55"/>
    <col min="8385" max="8385" width="10.28515625" style="55" bestFit="1" customWidth="1"/>
    <col min="8386" max="8387" width="9.140625" style="55"/>
    <col min="8388" max="8388" width="10.28515625" style="55" bestFit="1" customWidth="1"/>
    <col min="8389" max="8390" width="9.140625" style="55"/>
    <col min="8391" max="8391" width="10.28515625" style="55" bestFit="1" customWidth="1"/>
    <col min="8392" max="8393" width="9.140625" style="55"/>
    <col min="8394" max="8394" width="10.28515625" style="55" bestFit="1" customWidth="1"/>
    <col min="8395" max="8396" width="9.140625" style="55"/>
    <col min="8397" max="8397" width="10.28515625" style="55" bestFit="1" customWidth="1"/>
    <col min="8398" max="8399" width="9.140625" style="55"/>
    <col min="8400" max="8400" width="10.28515625" style="55" bestFit="1" customWidth="1"/>
    <col min="8401" max="8402" width="9.140625" style="55"/>
    <col min="8403" max="8403" width="10.28515625" style="55" bestFit="1" customWidth="1"/>
    <col min="8404" max="8405" width="9.140625" style="55"/>
    <col min="8406" max="8406" width="10.28515625" style="55" bestFit="1" customWidth="1"/>
    <col min="8407" max="8408" width="9.140625" style="55"/>
    <col min="8409" max="8409" width="10.28515625" style="55" bestFit="1" customWidth="1"/>
    <col min="8410" max="8411" width="9.140625" style="55"/>
    <col min="8412" max="8412" width="10.28515625" style="55" bestFit="1" customWidth="1"/>
    <col min="8413" max="8448" width="9.140625" style="55"/>
    <col min="8449" max="8449" width="6.28515625" style="55" customWidth="1"/>
    <col min="8450" max="8450" width="81.42578125" style="55" customWidth="1"/>
    <col min="8451" max="8451" width="10" style="55" customWidth="1"/>
    <col min="8452" max="8452" width="15.85546875" style="55" customWidth="1"/>
    <col min="8453" max="8453" width="13.5703125" style="55" customWidth="1"/>
    <col min="8454" max="8454" width="12.7109375" style="55" customWidth="1"/>
    <col min="8455" max="8455" width="11.5703125" style="55" customWidth="1"/>
    <col min="8456" max="8456" width="13" style="55" customWidth="1"/>
    <col min="8457" max="8457" width="0" style="55" hidden="1" customWidth="1"/>
    <col min="8458" max="8458" width="11" style="55" customWidth="1"/>
    <col min="8459" max="8459" width="13.42578125" style="55" customWidth="1"/>
    <col min="8460" max="8460" width="12.5703125" style="55" customWidth="1"/>
    <col min="8461" max="8461" width="11.7109375" style="55" customWidth="1"/>
    <col min="8462" max="8462" width="12" style="55" customWidth="1"/>
    <col min="8463" max="8463" width="0" style="55" hidden="1" customWidth="1"/>
    <col min="8464" max="8464" width="13.28515625" style="55" customWidth="1"/>
    <col min="8465" max="8465" width="11.7109375" style="55" customWidth="1"/>
    <col min="8466" max="8466" width="11.42578125" style="55" customWidth="1"/>
    <col min="8467" max="8467" width="13" style="55" customWidth="1"/>
    <col min="8468" max="8468" width="13.42578125" style="55" customWidth="1"/>
    <col min="8469" max="8469" width="0" style="55" hidden="1" customWidth="1"/>
    <col min="8470" max="8470" width="13.28515625" style="55" customWidth="1"/>
    <col min="8471" max="8471" width="13.140625" style="55" customWidth="1"/>
    <col min="8472" max="8472" width="12.140625" style="55" customWidth="1"/>
    <col min="8473" max="8474" width="11.85546875" style="55" customWidth="1"/>
    <col min="8475" max="8475" width="0" style="55" hidden="1" customWidth="1"/>
    <col min="8476" max="8476" width="12.28515625" style="55" bestFit="1" customWidth="1"/>
    <col min="8477" max="8477" width="10.7109375" style="55" customWidth="1"/>
    <col min="8478" max="8478" width="11.85546875" style="55" customWidth="1"/>
    <col min="8479" max="8479" width="13.140625" style="55" customWidth="1"/>
    <col min="8480" max="8480" width="13" style="55" customWidth="1"/>
    <col min="8481" max="8481" width="0" style="55" hidden="1" customWidth="1"/>
    <col min="8482" max="8482" width="11" style="55" customWidth="1"/>
    <col min="8483" max="8483" width="13" style="55" customWidth="1"/>
    <col min="8484" max="8484" width="12.5703125" style="55" customWidth="1"/>
    <col min="8485" max="8485" width="11.85546875" style="55" customWidth="1"/>
    <col min="8486" max="8486" width="12.28515625" style="55" customWidth="1"/>
    <col min="8487" max="8487" width="0" style="55" hidden="1" customWidth="1"/>
    <col min="8488" max="8488" width="12.85546875" style="55" customWidth="1"/>
    <col min="8489" max="8495" width="0" style="55" hidden="1" customWidth="1"/>
    <col min="8496" max="8496" width="60.85546875" style="55" customWidth="1"/>
    <col min="8497" max="8502" width="27.42578125" style="55" customWidth="1"/>
    <col min="8503" max="8505" width="31.28515625" style="55" customWidth="1"/>
    <col min="8506" max="8506" width="27.42578125" style="55" customWidth="1"/>
    <col min="8507" max="8509" width="34.28515625" style="55" customWidth="1"/>
    <col min="8510" max="8513" width="27.42578125" style="55" customWidth="1"/>
    <col min="8514" max="8514" width="39.42578125" style="55" customWidth="1"/>
    <col min="8515" max="8515" width="41.28515625" style="55" customWidth="1"/>
    <col min="8516" max="8527" width="27.42578125" style="55" customWidth="1"/>
    <col min="8528" max="8529" width="9.140625" style="55"/>
    <col min="8530" max="8530" width="10.28515625" style="55" bestFit="1" customWidth="1"/>
    <col min="8531" max="8532" width="9.140625" style="55"/>
    <col min="8533" max="8533" width="10.28515625" style="55" bestFit="1" customWidth="1"/>
    <col min="8534" max="8535" width="9.140625" style="55"/>
    <col min="8536" max="8536" width="10.28515625" style="55" bestFit="1" customWidth="1"/>
    <col min="8537" max="8538" width="9.140625" style="55"/>
    <col min="8539" max="8539" width="10.28515625" style="55" bestFit="1" customWidth="1"/>
    <col min="8540" max="8541" width="9.140625" style="55"/>
    <col min="8542" max="8542" width="10.28515625" style="55" bestFit="1" customWidth="1"/>
    <col min="8543" max="8544" width="9.140625" style="55"/>
    <col min="8545" max="8545" width="10.28515625" style="55" bestFit="1" customWidth="1"/>
    <col min="8546" max="8547" width="9.140625" style="55"/>
    <col min="8548" max="8548" width="10.28515625" style="55" bestFit="1" customWidth="1"/>
    <col min="8549" max="8550" width="9.140625" style="55"/>
    <col min="8551" max="8551" width="10.28515625" style="55" bestFit="1" customWidth="1"/>
    <col min="8552" max="8553" width="9.140625" style="55"/>
    <col min="8554" max="8554" width="10.28515625" style="55" bestFit="1" customWidth="1"/>
    <col min="8555" max="8556" width="9.140625" style="55"/>
    <col min="8557" max="8557" width="10.28515625" style="55" bestFit="1" customWidth="1"/>
    <col min="8558" max="8559" width="9.140625" style="55"/>
    <col min="8560" max="8560" width="10.28515625" style="55" bestFit="1" customWidth="1"/>
    <col min="8561" max="8562" width="9.140625" style="55"/>
    <col min="8563" max="8563" width="10.28515625" style="55" bestFit="1" customWidth="1"/>
    <col min="8564" max="8565" width="9.140625" style="55"/>
    <col min="8566" max="8566" width="10.28515625" style="55" bestFit="1" customWidth="1"/>
    <col min="8567" max="8568" width="9.140625" style="55"/>
    <col min="8569" max="8569" width="10.28515625" style="55" bestFit="1" customWidth="1"/>
    <col min="8570" max="8571" width="9.140625" style="55"/>
    <col min="8572" max="8572" width="10.28515625" style="55" bestFit="1" customWidth="1"/>
    <col min="8573" max="8574" width="9.140625" style="55"/>
    <col min="8575" max="8575" width="10.28515625" style="55" bestFit="1" customWidth="1"/>
    <col min="8576" max="8577" width="9.140625" style="55"/>
    <col min="8578" max="8578" width="10.28515625" style="55" bestFit="1" customWidth="1"/>
    <col min="8579" max="8580" width="9.140625" style="55"/>
    <col min="8581" max="8581" width="10.28515625" style="55" bestFit="1" customWidth="1"/>
    <col min="8582" max="8583" width="9.140625" style="55"/>
    <col min="8584" max="8584" width="10.28515625" style="55" bestFit="1" customWidth="1"/>
    <col min="8585" max="8586" width="9.140625" style="55"/>
    <col min="8587" max="8587" width="10.28515625" style="55" bestFit="1" customWidth="1"/>
    <col min="8588" max="8589" width="9.140625" style="55"/>
    <col min="8590" max="8590" width="10.28515625" style="55" bestFit="1" customWidth="1"/>
    <col min="8591" max="8592" width="9.140625" style="55"/>
    <col min="8593" max="8593" width="10.28515625" style="55" bestFit="1" customWidth="1"/>
    <col min="8594" max="8595" width="9.140625" style="55"/>
    <col min="8596" max="8596" width="10.28515625" style="55" bestFit="1" customWidth="1"/>
    <col min="8597" max="8598" width="9.140625" style="55"/>
    <col min="8599" max="8599" width="10.28515625" style="55" bestFit="1" customWidth="1"/>
    <col min="8600" max="8601" width="9.140625" style="55"/>
    <col min="8602" max="8602" width="10.28515625" style="55" bestFit="1" customWidth="1"/>
    <col min="8603" max="8604" width="9.140625" style="55"/>
    <col min="8605" max="8605" width="10.28515625" style="55" bestFit="1" customWidth="1"/>
    <col min="8606" max="8607" width="9.140625" style="55"/>
    <col min="8608" max="8608" width="10.28515625" style="55" bestFit="1" customWidth="1"/>
    <col min="8609" max="8610" width="9.140625" style="55"/>
    <col min="8611" max="8611" width="10.28515625" style="55" bestFit="1" customWidth="1"/>
    <col min="8612" max="8613" width="9.140625" style="55"/>
    <col min="8614" max="8614" width="10.28515625" style="55" bestFit="1" customWidth="1"/>
    <col min="8615" max="8616" width="9.140625" style="55"/>
    <col min="8617" max="8617" width="10.28515625" style="55" bestFit="1" customWidth="1"/>
    <col min="8618" max="8619" width="9.140625" style="55"/>
    <col min="8620" max="8620" width="10.28515625" style="55" bestFit="1" customWidth="1"/>
    <col min="8621" max="8622" width="9.140625" style="55"/>
    <col min="8623" max="8623" width="10.28515625" style="55" bestFit="1" customWidth="1"/>
    <col min="8624" max="8625" width="9.140625" style="55"/>
    <col min="8626" max="8626" width="10.28515625" style="55" bestFit="1" customWidth="1"/>
    <col min="8627" max="8628" width="9.140625" style="55"/>
    <col min="8629" max="8629" width="10.28515625" style="55" bestFit="1" customWidth="1"/>
    <col min="8630" max="8631" width="9.140625" style="55"/>
    <col min="8632" max="8632" width="10.28515625" style="55" bestFit="1" customWidth="1"/>
    <col min="8633" max="8634" width="9.140625" style="55"/>
    <col min="8635" max="8635" width="10.28515625" style="55" bestFit="1" customWidth="1"/>
    <col min="8636" max="8637" width="9.140625" style="55"/>
    <col min="8638" max="8638" width="10.28515625" style="55" bestFit="1" customWidth="1"/>
    <col min="8639" max="8640" width="9.140625" style="55"/>
    <col min="8641" max="8641" width="10.28515625" style="55" bestFit="1" customWidth="1"/>
    <col min="8642" max="8643" width="9.140625" style="55"/>
    <col min="8644" max="8644" width="10.28515625" style="55" bestFit="1" customWidth="1"/>
    <col min="8645" max="8646" width="9.140625" style="55"/>
    <col min="8647" max="8647" width="10.28515625" style="55" bestFit="1" customWidth="1"/>
    <col min="8648" max="8649" width="9.140625" style="55"/>
    <col min="8650" max="8650" width="10.28515625" style="55" bestFit="1" customWidth="1"/>
    <col min="8651" max="8652" width="9.140625" style="55"/>
    <col min="8653" max="8653" width="10.28515625" style="55" bestFit="1" customWidth="1"/>
    <col min="8654" max="8655" width="9.140625" style="55"/>
    <col min="8656" max="8656" width="10.28515625" style="55" bestFit="1" customWidth="1"/>
    <col min="8657" max="8658" width="9.140625" style="55"/>
    <col min="8659" max="8659" width="10.28515625" style="55" bestFit="1" customWidth="1"/>
    <col min="8660" max="8661" width="9.140625" style="55"/>
    <col min="8662" max="8662" width="10.28515625" style="55" bestFit="1" customWidth="1"/>
    <col min="8663" max="8664" width="9.140625" style="55"/>
    <col min="8665" max="8665" width="10.28515625" style="55" bestFit="1" customWidth="1"/>
    <col min="8666" max="8667" width="9.140625" style="55"/>
    <col min="8668" max="8668" width="10.28515625" style="55" bestFit="1" customWidth="1"/>
    <col min="8669" max="8704" width="9.140625" style="55"/>
    <col min="8705" max="8705" width="6.28515625" style="55" customWidth="1"/>
    <col min="8706" max="8706" width="81.42578125" style="55" customWidth="1"/>
    <col min="8707" max="8707" width="10" style="55" customWidth="1"/>
    <col min="8708" max="8708" width="15.85546875" style="55" customWidth="1"/>
    <col min="8709" max="8709" width="13.5703125" style="55" customWidth="1"/>
    <col min="8710" max="8710" width="12.7109375" style="55" customWidth="1"/>
    <col min="8711" max="8711" width="11.5703125" style="55" customWidth="1"/>
    <col min="8712" max="8712" width="13" style="55" customWidth="1"/>
    <col min="8713" max="8713" width="0" style="55" hidden="1" customWidth="1"/>
    <col min="8714" max="8714" width="11" style="55" customWidth="1"/>
    <col min="8715" max="8715" width="13.42578125" style="55" customWidth="1"/>
    <col min="8716" max="8716" width="12.5703125" style="55" customWidth="1"/>
    <col min="8717" max="8717" width="11.7109375" style="55" customWidth="1"/>
    <col min="8718" max="8718" width="12" style="55" customWidth="1"/>
    <col min="8719" max="8719" width="0" style="55" hidden="1" customWidth="1"/>
    <col min="8720" max="8720" width="13.28515625" style="55" customWidth="1"/>
    <col min="8721" max="8721" width="11.7109375" style="55" customWidth="1"/>
    <col min="8722" max="8722" width="11.42578125" style="55" customWidth="1"/>
    <col min="8723" max="8723" width="13" style="55" customWidth="1"/>
    <col min="8724" max="8724" width="13.42578125" style="55" customWidth="1"/>
    <col min="8725" max="8725" width="0" style="55" hidden="1" customWidth="1"/>
    <col min="8726" max="8726" width="13.28515625" style="55" customWidth="1"/>
    <col min="8727" max="8727" width="13.140625" style="55" customWidth="1"/>
    <col min="8728" max="8728" width="12.140625" style="55" customWidth="1"/>
    <col min="8729" max="8730" width="11.85546875" style="55" customWidth="1"/>
    <col min="8731" max="8731" width="0" style="55" hidden="1" customWidth="1"/>
    <col min="8732" max="8732" width="12.28515625" style="55" bestFit="1" customWidth="1"/>
    <col min="8733" max="8733" width="10.7109375" style="55" customWidth="1"/>
    <col min="8734" max="8734" width="11.85546875" style="55" customWidth="1"/>
    <col min="8735" max="8735" width="13.140625" style="55" customWidth="1"/>
    <col min="8736" max="8736" width="13" style="55" customWidth="1"/>
    <col min="8737" max="8737" width="0" style="55" hidden="1" customWidth="1"/>
    <col min="8738" max="8738" width="11" style="55" customWidth="1"/>
    <col min="8739" max="8739" width="13" style="55" customWidth="1"/>
    <col min="8740" max="8740" width="12.5703125" style="55" customWidth="1"/>
    <col min="8741" max="8741" width="11.85546875" style="55" customWidth="1"/>
    <col min="8742" max="8742" width="12.28515625" style="55" customWidth="1"/>
    <col min="8743" max="8743" width="0" style="55" hidden="1" customWidth="1"/>
    <col min="8744" max="8744" width="12.85546875" style="55" customWidth="1"/>
    <col min="8745" max="8751" width="0" style="55" hidden="1" customWidth="1"/>
    <col min="8752" max="8752" width="60.85546875" style="55" customWidth="1"/>
    <col min="8753" max="8758" width="27.42578125" style="55" customWidth="1"/>
    <col min="8759" max="8761" width="31.28515625" style="55" customWidth="1"/>
    <col min="8762" max="8762" width="27.42578125" style="55" customWidth="1"/>
    <col min="8763" max="8765" width="34.28515625" style="55" customWidth="1"/>
    <col min="8766" max="8769" width="27.42578125" style="55" customWidth="1"/>
    <col min="8770" max="8770" width="39.42578125" style="55" customWidth="1"/>
    <col min="8771" max="8771" width="41.28515625" style="55" customWidth="1"/>
    <col min="8772" max="8783" width="27.42578125" style="55" customWidth="1"/>
    <col min="8784" max="8785" width="9.140625" style="55"/>
    <col min="8786" max="8786" width="10.28515625" style="55" bestFit="1" customWidth="1"/>
    <col min="8787" max="8788" width="9.140625" style="55"/>
    <col min="8789" max="8789" width="10.28515625" style="55" bestFit="1" customWidth="1"/>
    <col min="8790" max="8791" width="9.140625" style="55"/>
    <col min="8792" max="8792" width="10.28515625" style="55" bestFit="1" customWidth="1"/>
    <col min="8793" max="8794" width="9.140625" style="55"/>
    <col min="8795" max="8795" width="10.28515625" style="55" bestFit="1" customWidth="1"/>
    <col min="8796" max="8797" width="9.140625" style="55"/>
    <col min="8798" max="8798" width="10.28515625" style="55" bestFit="1" customWidth="1"/>
    <col min="8799" max="8800" width="9.140625" style="55"/>
    <col min="8801" max="8801" width="10.28515625" style="55" bestFit="1" customWidth="1"/>
    <col min="8802" max="8803" width="9.140625" style="55"/>
    <col min="8804" max="8804" width="10.28515625" style="55" bestFit="1" customWidth="1"/>
    <col min="8805" max="8806" width="9.140625" style="55"/>
    <col min="8807" max="8807" width="10.28515625" style="55" bestFit="1" customWidth="1"/>
    <col min="8808" max="8809" width="9.140625" style="55"/>
    <col min="8810" max="8810" width="10.28515625" style="55" bestFit="1" customWidth="1"/>
    <col min="8811" max="8812" width="9.140625" style="55"/>
    <col min="8813" max="8813" width="10.28515625" style="55" bestFit="1" customWidth="1"/>
    <col min="8814" max="8815" width="9.140625" style="55"/>
    <col min="8816" max="8816" width="10.28515625" style="55" bestFit="1" customWidth="1"/>
    <col min="8817" max="8818" width="9.140625" style="55"/>
    <col min="8819" max="8819" width="10.28515625" style="55" bestFit="1" customWidth="1"/>
    <col min="8820" max="8821" width="9.140625" style="55"/>
    <col min="8822" max="8822" width="10.28515625" style="55" bestFit="1" customWidth="1"/>
    <col min="8823" max="8824" width="9.140625" style="55"/>
    <col min="8825" max="8825" width="10.28515625" style="55" bestFit="1" customWidth="1"/>
    <col min="8826" max="8827" width="9.140625" style="55"/>
    <col min="8828" max="8828" width="10.28515625" style="55" bestFit="1" customWidth="1"/>
    <col min="8829" max="8830" width="9.140625" style="55"/>
    <col min="8831" max="8831" width="10.28515625" style="55" bestFit="1" customWidth="1"/>
    <col min="8832" max="8833" width="9.140625" style="55"/>
    <col min="8834" max="8834" width="10.28515625" style="55" bestFit="1" customWidth="1"/>
    <col min="8835" max="8836" width="9.140625" style="55"/>
    <col min="8837" max="8837" width="10.28515625" style="55" bestFit="1" customWidth="1"/>
    <col min="8838" max="8839" width="9.140625" style="55"/>
    <col min="8840" max="8840" width="10.28515625" style="55" bestFit="1" customWidth="1"/>
    <col min="8841" max="8842" width="9.140625" style="55"/>
    <col min="8843" max="8843" width="10.28515625" style="55" bestFit="1" customWidth="1"/>
    <col min="8844" max="8845" width="9.140625" style="55"/>
    <col min="8846" max="8846" width="10.28515625" style="55" bestFit="1" customWidth="1"/>
    <col min="8847" max="8848" width="9.140625" style="55"/>
    <col min="8849" max="8849" width="10.28515625" style="55" bestFit="1" customWidth="1"/>
    <col min="8850" max="8851" width="9.140625" style="55"/>
    <col min="8852" max="8852" width="10.28515625" style="55" bestFit="1" customWidth="1"/>
    <col min="8853" max="8854" width="9.140625" style="55"/>
    <col min="8855" max="8855" width="10.28515625" style="55" bestFit="1" customWidth="1"/>
    <col min="8856" max="8857" width="9.140625" style="55"/>
    <col min="8858" max="8858" width="10.28515625" style="55" bestFit="1" customWidth="1"/>
    <col min="8859" max="8860" width="9.140625" style="55"/>
    <col min="8861" max="8861" width="10.28515625" style="55" bestFit="1" customWidth="1"/>
    <col min="8862" max="8863" width="9.140625" style="55"/>
    <col min="8864" max="8864" width="10.28515625" style="55" bestFit="1" customWidth="1"/>
    <col min="8865" max="8866" width="9.140625" style="55"/>
    <col min="8867" max="8867" width="10.28515625" style="55" bestFit="1" customWidth="1"/>
    <col min="8868" max="8869" width="9.140625" style="55"/>
    <col min="8870" max="8870" width="10.28515625" style="55" bestFit="1" customWidth="1"/>
    <col min="8871" max="8872" width="9.140625" style="55"/>
    <col min="8873" max="8873" width="10.28515625" style="55" bestFit="1" customWidth="1"/>
    <col min="8874" max="8875" width="9.140625" style="55"/>
    <col min="8876" max="8876" width="10.28515625" style="55" bestFit="1" customWidth="1"/>
    <col min="8877" max="8878" width="9.140625" style="55"/>
    <col min="8879" max="8879" width="10.28515625" style="55" bestFit="1" customWidth="1"/>
    <col min="8880" max="8881" width="9.140625" style="55"/>
    <col min="8882" max="8882" width="10.28515625" style="55" bestFit="1" customWidth="1"/>
    <col min="8883" max="8884" width="9.140625" style="55"/>
    <col min="8885" max="8885" width="10.28515625" style="55" bestFit="1" customWidth="1"/>
    <col min="8886" max="8887" width="9.140625" style="55"/>
    <col min="8888" max="8888" width="10.28515625" style="55" bestFit="1" customWidth="1"/>
    <col min="8889" max="8890" width="9.140625" style="55"/>
    <col min="8891" max="8891" width="10.28515625" style="55" bestFit="1" customWidth="1"/>
    <col min="8892" max="8893" width="9.140625" style="55"/>
    <col min="8894" max="8894" width="10.28515625" style="55" bestFit="1" customWidth="1"/>
    <col min="8895" max="8896" width="9.140625" style="55"/>
    <col min="8897" max="8897" width="10.28515625" style="55" bestFit="1" customWidth="1"/>
    <col min="8898" max="8899" width="9.140625" style="55"/>
    <col min="8900" max="8900" width="10.28515625" style="55" bestFit="1" customWidth="1"/>
    <col min="8901" max="8902" width="9.140625" style="55"/>
    <col min="8903" max="8903" width="10.28515625" style="55" bestFit="1" customWidth="1"/>
    <col min="8904" max="8905" width="9.140625" style="55"/>
    <col min="8906" max="8906" width="10.28515625" style="55" bestFit="1" customWidth="1"/>
    <col min="8907" max="8908" width="9.140625" style="55"/>
    <col min="8909" max="8909" width="10.28515625" style="55" bestFit="1" customWidth="1"/>
    <col min="8910" max="8911" width="9.140625" style="55"/>
    <col min="8912" max="8912" width="10.28515625" style="55" bestFit="1" customWidth="1"/>
    <col min="8913" max="8914" width="9.140625" style="55"/>
    <col min="8915" max="8915" width="10.28515625" style="55" bestFit="1" customWidth="1"/>
    <col min="8916" max="8917" width="9.140625" style="55"/>
    <col min="8918" max="8918" width="10.28515625" style="55" bestFit="1" customWidth="1"/>
    <col min="8919" max="8920" width="9.140625" style="55"/>
    <col min="8921" max="8921" width="10.28515625" style="55" bestFit="1" customWidth="1"/>
    <col min="8922" max="8923" width="9.140625" style="55"/>
    <col min="8924" max="8924" width="10.28515625" style="55" bestFit="1" customWidth="1"/>
    <col min="8925" max="8960" width="9.140625" style="55"/>
    <col min="8961" max="8961" width="6.28515625" style="55" customWidth="1"/>
    <col min="8962" max="8962" width="81.42578125" style="55" customWidth="1"/>
    <col min="8963" max="8963" width="10" style="55" customWidth="1"/>
    <col min="8964" max="8964" width="15.85546875" style="55" customWidth="1"/>
    <col min="8965" max="8965" width="13.5703125" style="55" customWidth="1"/>
    <col min="8966" max="8966" width="12.7109375" style="55" customWidth="1"/>
    <col min="8967" max="8967" width="11.5703125" style="55" customWidth="1"/>
    <col min="8968" max="8968" width="13" style="55" customWidth="1"/>
    <col min="8969" max="8969" width="0" style="55" hidden="1" customWidth="1"/>
    <col min="8970" max="8970" width="11" style="55" customWidth="1"/>
    <col min="8971" max="8971" width="13.42578125" style="55" customWidth="1"/>
    <col min="8972" max="8972" width="12.5703125" style="55" customWidth="1"/>
    <col min="8973" max="8973" width="11.7109375" style="55" customWidth="1"/>
    <col min="8974" max="8974" width="12" style="55" customWidth="1"/>
    <col min="8975" max="8975" width="0" style="55" hidden="1" customWidth="1"/>
    <col min="8976" max="8976" width="13.28515625" style="55" customWidth="1"/>
    <col min="8977" max="8977" width="11.7109375" style="55" customWidth="1"/>
    <col min="8978" max="8978" width="11.42578125" style="55" customWidth="1"/>
    <col min="8979" max="8979" width="13" style="55" customWidth="1"/>
    <col min="8980" max="8980" width="13.42578125" style="55" customWidth="1"/>
    <col min="8981" max="8981" width="0" style="55" hidden="1" customWidth="1"/>
    <col min="8982" max="8982" width="13.28515625" style="55" customWidth="1"/>
    <col min="8983" max="8983" width="13.140625" style="55" customWidth="1"/>
    <col min="8984" max="8984" width="12.140625" style="55" customWidth="1"/>
    <col min="8985" max="8986" width="11.85546875" style="55" customWidth="1"/>
    <col min="8987" max="8987" width="0" style="55" hidden="1" customWidth="1"/>
    <col min="8988" max="8988" width="12.28515625" style="55" bestFit="1" customWidth="1"/>
    <col min="8989" max="8989" width="10.7109375" style="55" customWidth="1"/>
    <col min="8990" max="8990" width="11.85546875" style="55" customWidth="1"/>
    <col min="8991" max="8991" width="13.140625" style="55" customWidth="1"/>
    <col min="8992" max="8992" width="13" style="55" customWidth="1"/>
    <col min="8993" max="8993" width="0" style="55" hidden="1" customWidth="1"/>
    <col min="8994" max="8994" width="11" style="55" customWidth="1"/>
    <col min="8995" max="8995" width="13" style="55" customWidth="1"/>
    <col min="8996" max="8996" width="12.5703125" style="55" customWidth="1"/>
    <col min="8997" max="8997" width="11.85546875" style="55" customWidth="1"/>
    <col min="8998" max="8998" width="12.28515625" style="55" customWidth="1"/>
    <col min="8999" max="8999" width="0" style="55" hidden="1" customWidth="1"/>
    <col min="9000" max="9000" width="12.85546875" style="55" customWidth="1"/>
    <col min="9001" max="9007" width="0" style="55" hidden="1" customWidth="1"/>
    <col min="9008" max="9008" width="60.85546875" style="55" customWidth="1"/>
    <col min="9009" max="9014" width="27.42578125" style="55" customWidth="1"/>
    <col min="9015" max="9017" width="31.28515625" style="55" customWidth="1"/>
    <col min="9018" max="9018" width="27.42578125" style="55" customWidth="1"/>
    <col min="9019" max="9021" width="34.28515625" style="55" customWidth="1"/>
    <col min="9022" max="9025" width="27.42578125" style="55" customWidth="1"/>
    <col min="9026" max="9026" width="39.42578125" style="55" customWidth="1"/>
    <col min="9027" max="9027" width="41.28515625" style="55" customWidth="1"/>
    <col min="9028" max="9039" width="27.42578125" style="55" customWidth="1"/>
    <col min="9040" max="9041" width="9.140625" style="55"/>
    <col min="9042" max="9042" width="10.28515625" style="55" bestFit="1" customWidth="1"/>
    <col min="9043" max="9044" width="9.140625" style="55"/>
    <col min="9045" max="9045" width="10.28515625" style="55" bestFit="1" customWidth="1"/>
    <col min="9046" max="9047" width="9.140625" style="55"/>
    <col min="9048" max="9048" width="10.28515625" style="55" bestFit="1" customWidth="1"/>
    <col min="9049" max="9050" width="9.140625" style="55"/>
    <col min="9051" max="9051" width="10.28515625" style="55" bestFit="1" customWidth="1"/>
    <col min="9052" max="9053" width="9.140625" style="55"/>
    <col min="9054" max="9054" width="10.28515625" style="55" bestFit="1" customWidth="1"/>
    <col min="9055" max="9056" width="9.140625" style="55"/>
    <col min="9057" max="9057" width="10.28515625" style="55" bestFit="1" customWidth="1"/>
    <col min="9058" max="9059" width="9.140625" style="55"/>
    <col min="9060" max="9060" width="10.28515625" style="55" bestFit="1" customWidth="1"/>
    <col min="9061" max="9062" width="9.140625" style="55"/>
    <col min="9063" max="9063" width="10.28515625" style="55" bestFit="1" customWidth="1"/>
    <col min="9064" max="9065" width="9.140625" style="55"/>
    <col min="9066" max="9066" width="10.28515625" style="55" bestFit="1" customWidth="1"/>
    <col min="9067" max="9068" width="9.140625" style="55"/>
    <col min="9069" max="9069" width="10.28515625" style="55" bestFit="1" customWidth="1"/>
    <col min="9070" max="9071" width="9.140625" style="55"/>
    <col min="9072" max="9072" width="10.28515625" style="55" bestFit="1" customWidth="1"/>
    <col min="9073" max="9074" width="9.140625" style="55"/>
    <col min="9075" max="9075" width="10.28515625" style="55" bestFit="1" customWidth="1"/>
    <col min="9076" max="9077" width="9.140625" style="55"/>
    <col min="9078" max="9078" width="10.28515625" style="55" bestFit="1" customWidth="1"/>
    <col min="9079" max="9080" width="9.140625" style="55"/>
    <col min="9081" max="9081" width="10.28515625" style="55" bestFit="1" customWidth="1"/>
    <col min="9082" max="9083" width="9.140625" style="55"/>
    <col min="9084" max="9084" width="10.28515625" style="55" bestFit="1" customWidth="1"/>
    <col min="9085" max="9086" width="9.140625" style="55"/>
    <col min="9087" max="9087" width="10.28515625" style="55" bestFit="1" customWidth="1"/>
    <col min="9088" max="9089" width="9.140625" style="55"/>
    <col min="9090" max="9090" width="10.28515625" style="55" bestFit="1" customWidth="1"/>
    <col min="9091" max="9092" width="9.140625" style="55"/>
    <col min="9093" max="9093" width="10.28515625" style="55" bestFit="1" customWidth="1"/>
    <col min="9094" max="9095" width="9.140625" style="55"/>
    <col min="9096" max="9096" width="10.28515625" style="55" bestFit="1" customWidth="1"/>
    <col min="9097" max="9098" width="9.140625" style="55"/>
    <col min="9099" max="9099" width="10.28515625" style="55" bestFit="1" customWidth="1"/>
    <col min="9100" max="9101" width="9.140625" style="55"/>
    <col min="9102" max="9102" width="10.28515625" style="55" bestFit="1" customWidth="1"/>
    <col min="9103" max="9104" width="9.140625" style="55"/>
    <col min="9105" max="9105" width="10.28515625" style="55" bestFit="1" customWidth="1"/>
    <col min="9106" max="9107" width="9.140625" style="55"/>
    <col min="9108" max="9108" width="10.28515625" style="55" bestFit="1" customWidth="1"/>
    <col min="9109" max="9110" width="9.140625" style="55"/>
    <col min="9111" max="9111" width="10.28515625" style="55" bestFit="1" customWidth="1"/>
    <col min="9112" max="9113" width="9.140625" style="55"/>
    <col min="9114" max="9114" width="10.28515625" style="55" bestFit="1" customWidth="1"/>
    <col min="9115" max="9116" width="9.140625" style="55"/>
    <col min="9117" max="9117" width="10.28515625" style="55" bestFit="1" customWidth="1"/>
    <col min="9118" max="9119" width="9.140625" style="55"/>
    <col min="9120" max="9120" width="10.28515625" style="55" bestFit="1" customWidth="1"/>
    <col min="9121" max="9122" width="9.140625" style="55"/>
    <col min="9123" max="9123" width="10.28515625" style="55" bestFit="1" customWidth="1"/>
    <col min="9124" max="9125" width="9.140625" style="55"/>
    <col min="9126" max="9126" width="10.28515625" style="55" bestFit="1" customWidth="1"/>
    <col min="9127" max="9128" width="9.140625" style="55"/>
    <col min="9129" max="9129" width="10.28515625" style="55" bestFit="1" customWidth="1"/>
    <col min="9130" max="9131" width="9.140625" style="55"/>
    <col min="9132" max="9132" width="10.28515625" style="55" bestFit="1" customWidth="1"/>
    <col min="9133" max="9134" width="9.140625" style="55"/>
    <col min="9135" max="9135" width="10.28515625" style="55" bestFit="1" customWidth="1"/>
    <col min="9136" max="9137" width="9.140625" style="55"/>
    <col min="9138" max="9138" width="10.28515625" style="55" bestFit="1" customWidth="1"/>
    <col min="9139" max="9140" width="9.140625" style="55"/>
    <col min="9141" max="9141" width="10.28515625" style="55" bestFit="1" customWidth="1"/>
    <col min="9142" max="9143" width="9.140625" style="55"/>
    <col min="9144" max="9144" width="10.28515625" style="55" bestFit="1" customWidth="1"/>
    <col min="9145" max="9146" width="9.140625" style="55"/>
    <col min="9147" max="9147" width="10.28515625" style="55" bestFit="1" customWidth="1"/>
    <col min="9148" max="9149" width="9.140625" style="55"/>
    <col min="9150" max="9150" width="10.28515625" style="55" bestFit="1" customWidth="1"/>
    <col min="9151" max="9152" width="9.140625" style="55"/>
    <col min="9153" max="9153" width="10.28515625" style="55" bestFit="1" customWidth="1"/>
    <col min="9154" max="9155" width="9.140625" style="55"/>
    <col min="9156" max="9156" width="10.28515625" style="55" bestFit="1" customWidth="1"/>
    <col min="9157" max="9158" width="9.140625" style="55"/>
    <col min="9159" max="9159" width="10.28515625" style="55" bestFit="1" customWidth="1"/>
    <col min="9160" max="9161" width="9.140625" style="55"/>
    <col min="9162" max="9162" width="10.28515625" style="55" bestFit="1" customWidth="1"/>
    <col min="9163" max="9164" width="9.140625" style="55"/>
    <col min="9165" max="9165" width="10.28515625" style="55" bestFit="1" customWidth="1"/>
    <col min="9166" max="9167" width="9.140625" style="55"/>
    <col min="9168" max="9168" width="10.28515625" style="55" bestFit="1" customWidth="1"/>
    <col min="9169" max="9170" width="9.140625" style="55"/>
    <col min="9171" max="9171" width="10.28515625" style="55" bestFit="1" customWidth="1"/>
    <col min="9172" max="9173" width="9.140625" style="55"/>
    <col min="9174" max="9174" width="10.28515625" style="55" bestFit="1" customWidth="1"/>
    <col min="9175" max="9176" width="9.140625" style="55"/>
    <col min="9177" max="9177" width="10.28515625" style="55" bestFit="1" customWidth="1"/>
    <col min="9178" max="9179" width="9.140625" style="55"/>
    <col min="9180" max="9180" width="10.28515625" style="55" bestFit="1" customWidth="1"/>
    <col min="9181" max="9216" width="9.140625" style="55"/>
    <col min="9217" max="9217" width="6.28515625" style="55" customWidth="1"/>
    <col min="9218" max="9218" width="81.42578125" style="55" customWidth="1"/>
    <col min="9219" max="9219" width="10" style="55" customWidth="1"/>
    <col min="9220" max="9220" width="15.85546875" style="55" customWidth="1"/>
    <col min="9221" max="9221" width="13.5703125" style="55" customWidth="1"/>
    <col min="9222" max="9222" width="12.7109375" style="55" customWidth="1"/>
    <col min="9223" max="9223" width="11.5703125" style="55" customWidth="1"/>
    <col min="9224" max="9224" width="13" style="55" customWidth="1"/>
    <col min="9225" max="9225" width="0" style="55" hidden="1" customWidth="1"/>
    <col min="9226" max="9226" width="11" style="55" customWidth="1"/>
    <col min="9227" max="9227" width="13.42578125" style="55" customWidth="1"/>
    <col min="9228" max="9228" width="12.5703125" style="55" customWidth="1"/>
    <col min="9229" max="9229" width="11.7109375" style="55" customWidth="1"/>
    <col min="9230" max="9230" width="12" style="55" customWidth="1"/>
    <col min="9231" max="9231" width="0" style="55" hidden="1" customWidth="1"/>
    <col min="9232" max="9232" width="13.28515625" style="55" customWidth="1"/>
    <col min="9233" max="9233" width="11.7109375" style="55" customWidth="1"/>
    <col min="9234" max="9234" width="11.42578125" style="55" customWidth="1"/>
    <col min="9235" max="9235" width="13" style="55" customWidth="1"/>
    <col min="9236" max="9236" width="13.42578125" style="55" customWidth="1"/>
    <col min="9237" max="9237" width="0" style="55" hidden="1" customWidth="1"/>
    <col min="9238" max="9238" width="13.28515625" style="55" customWidth="1"/>
    <col min="9239" max="9239" width="13.140625" style="55" customWidth="1"/>
    <col min="9240" max="9240" width="12.140625" style="55" customWidth="1"/>
    <col min="9241" max="9242" width="11.85546875" style="55" customWidth="1"/>
    <col min="9243" max="9243" width="0" style="55" hidden="1" customWidth="1"/>
    <col min="9244" max="9244" width="12.28515625" style="55" bestFit="1" customWidth="1"/>
    <col min="9245" max="9245" width="10.7109375" style="55" customWidth="1"/>
    <col min="9246" max="9246" width="11.85546875" style="55" customWidth="1"/>
    <col min="9247" max="9247" width="13.140625" style="55" customWidth="1"/>
    <col min="9248" max="9248" width="13" style="55" customWidth="1"/>
    <col min="9249" max="9249" width="0" style="55" hidden="1" customWidth="1"/>
    <col min="9250" max="9250" width="11" style="55" customWidth="1"/>
    <col min="9251" max="9251" width="13" style="55" customWidth="1"/>
    <col min="9252" max="9252" width="12.5703125" style="55" customWidth="1"/>
    <col min="9253" max="9253" width="11.85546875" style="55" customWidth="1"/>
    <col min="9254" max="9254" width="12.28515625" style="55" customWidth="1"/>
    <col min="9255" max="9255" width="0" style="55" hidden="1" customWidth="1"/>
    <col min="9256" max="9256" width="12.85546875" style="55" customWidth="1"/>
    <col min="9257" max="9263" width="0" style="55" hidden="1" customWidth="1"/>
    <col min="9264" max="9264" width="60.85546875" style="55" customWidth="1"/>
    <col min="9265" max="9270" width="27.42578125" style="55" customWidth="1"/>
    <col min="9271" max="9273" width="31.28515625" style="55" customWidth="1"/>
    <col min="9274" max="9274" width="27.42578125" style="55" customWidth="1"/>
    <col min="9275" max="9277" width="34.28515625" style="55" customWidth="1"/>
    <col min="9278" max="9281" width="27.42578125" style="55" customWidth="1"/>
    <col min="9282" max="9282" width="39.42578125" style="55" customWidth="1"/>
    <col min="9283" max="9283" width="41.28515625" style="55" customWidth="1"/>
    <col min="9284" max="9295" width="27.42578125" style="55" customWidth="1"/>
    <col min="9296" max="9297" width="9.140625" style="55"/>
    <col min="9298" max="9298" width="10.28515625" style="55" bestFit="1" customWidth="1"/>
    <col min="9299" max="9300" width="9.140625" style="55"/>
    <col min="9301" max="9301" width="10.28515625" style="55" bestFit="1" customWidth="1"/>
    <col min="9302" max="9303" width="9.140625" style="55"/>
    <col min="9304" max="9304" width="10.28515625" style="55" bestFit="1" customWidth="1"/>
    <col min="9305" max="9306" width="9.140625" style="55"/>
    <col min="9307" max="9307" width="10.28515625" style="55" bestFit="1" customWidth="1"/>
    <col min="9308" max="9309" width="9.140625" style="55"/>
    <col min="9310" max="9310" width="10.28515625" style="55" bestFit="1" customWidth="1"/>
    <col min="9311" max="9312" width="9.140625" style="55"/>
    <col min="9313" max="9313" width="10.28515625" style="55" bestFit="1" customWidth="1"/>
    <col min="9314" max="9315" width="9.140625" style="55"/>
    <col min="9316" max="9316" width="10.28515625" style="55" bestFit="1" customWidth="1"/>
    <col min="9317" max="9318" width="9.140625" style="55"/>
    <col min="9319" max="9319" width="10.28515625" style="55" bestFit="1" customWidth="1"/>
    <col min="9320" max="9321" width="9.140625" style="55"/>
    <col min="9322" max="9322" width="10.28515625" style="55" bestFit="1" customWidth="1"/>
    <col min="9323" max="9324" width="9.140625" style="55"/>
    <col min="9325" max="9325" width="10.28515625" style="55" bestFit="1" customWidth="1"/>
    <col min="9326" max="9327" width="9.140625" style="55"/>
    <col min="9328" max="9328" width="10.28515625" style="55" bestFit="1" customWidth="1"/>
    <col min="9329" max="9330" width="9.140625" style="55"/>
    <col min="9331" max="9331" width="10.28515625" style="55" bestFit="1" customWidth="1"/>
    <col min="9332" max="9333" width="9.140625" style="55"/>
    <col min="9334" max="9334" width="10.28515625" style="55" bestFit="1" customWidth="1"/>
    <col min="9335" max="9336" width="9.140625" style="55"/>
    <col min="9337" max="9337" width="10.28515625" style="55" bestFit="1" customWidth="1"/>
    <col min="9338" max="9339" width="9.140625" style="55"/>
    <col min="9340" max="9340" width="10.28515625" style="55" bestFit="1" customWidth="1"/>
    <col min="9341" max="9342" width="9.140625" style="55"/>
    <col min="9343" max="9343" width="10.28515625" style="55" bestFit="1" customWidth="1"/>
    <col min="9344" max="9345" width="9.140625" style="55"/>
    <col min="9346" max="9346" width="10.28515625" style="55" bestFit="1" customWidth="1"/>
    <col min="9347" max="9348" width="9.140625" style="55"/>
    <col min="9349" max="9349" width="10.28515625" style="55" bestFit="1" customWidth="1"/>
    <col min="9350" max="9351" width="9.140625" style="55"/>
    <col min="9352" max="9352" width="10.28515625" style="55" bestFit="1" customWidth="1"/>
    <col min="9353" max="9354" width="9.140625" style="55"/>
    <col min="9355" max="9355" width="10.28515625" style="55" bestFit="1" customWidth="1"/>
    <col min="9356" max="9357" width="9.140625" style="55"/>
    <col min="9358" max="9358" width="10.28515625" style="55" bestFit="1" customWidth="1"/>
    <col min="9359" max="9360" width="9.140625" style="55"/>
    <col min="9361" max="9361" width="10.28515625" style="55" bestFit="1" customWidth="1"/>
    <col min="9362" max="9363" width="9.140625" style="55"/>
    <col min="9364" max="9364" width="10.28515625" style="55" bestFit="1" customWidth="1"/>
    <col min="9365" max="9366" width="9.140625" style="55"/>
    <col min="9367" max="9367" width="10.28515625" style="55" bestFit="1" customWidth="1"/>
    <col min="9368" max="9369" width="9.140625" style="55"/>
    <col min="9370" max="9370" width="10.28515625" style="55" bestFit="1" customWidth="1"/>
    <col min="9371" max="9372" width="9.140625" style="55"/>
    <col min="9373" max="9373" width="10.28515625" style="55" bestFit="1" customWidth="1"/>
    <col min="9374" max="9375" width="9.140625" style="55"/>
    <col min="9376" max="9376" width="10.28515625" style="55" bestFit="1" customWidth="1"/>
    <col min="9377" max="9378" width="9.140625" style="55"/>
    <col min="9379" max="9379" width="10.28515625" style="55" bestFit="1" customWidth="1"/>
    <col min="9380" max="9381" width="9.140625" style="55"/>
    <col min="9382" max="9382" width="10.28515625" style="55" bestFit="1" customWidth="1"/>
    <col min="9383" max="9384" width="9.140625" style="55"/>
    <col min="9385" max="9385" width="10.28515625" style="55" bestFit="1" customWidth="1"/>
    <col min="9386" max="9387" width="9.140625" style="55"/>
    <col min="9388" max="9388" width="10.28515625" style="55" bestFit="1" customWidth="1"/>
    <col min="9389" max="9390" width="9.140625" style="55"/>
    <col min="9391" max="9391" width="10.28515625" style="55" bestFit="1" customWidth="1"/>
    <col min="9392" max="9393" width="9.140625" style="55"/>
    <col min="9394" max="9394" width="10.28515625" style="55" bestFit="1" customWidth="1"/>
    <col min="9395" max="9396" width="9.140625" style="55"/>
    <col min="9397" max="9397" width="10.28515625" style="55" bestFit="1" customWidth="1"/>
    <col min="9398" max="9399" width="9.140625" style="55"/>
    <col min="9400" max="9400" width="10.28515625" style="55" bestFit="1" customWidth="1"/>
    <col min="9401" max="9402" width="9.140625" style="55"/>
    <col min="9403" max="9403" width="10.28515625" style="55" bestFit="1" customWidth="1"/>
    <col min="9404" max="9405" width="9.140625" style="55"/>
    <col min="9406" max="9406" width="10.28515625" style="55" bestFit="1" customWidth="1"/>
    <col min="9407" max="9408" width="9.140625" style="55"/>
    <col min="9409" max="9409" width="10.28515625" style="55" bestFit="1" customWidth="1"/>
    <col min="9410" max="9411" width="9.140625" style="55"/>
    <col min="9412" max="9412" width="10.28515625" style="55" bestFit="1" customWidth="1"/>
    <col min="9413" max="9414" width="9.140625" style="55"/>
    <col min="9415" max="9415" width="10.28515625" style="55" bestFit="1" customWidth="1"/>
    <col min="9416" max="9417" width="9.140625" style="55"/>
    <col min="9418" max="9418" width="10.28515625" style="55" bestFit="1" customWidth="1"/>
    <col min="9419" max="9420" width="9.140625" style="55"/>
    <col min="9421" max="9421" width="10.28515625" style="55" bestFit="1" customWidth="1"/>
    <col min="9422" max="9423" width="9.140625" style="55"/>
    <col min="9424" max="9424" width="10.28515625" style="55" bestFit="1" customWidth="1"/>
    <col min="9425" max="9426" width="9.140625" style="55"/>
    <col min="9427" max="9427" width="10.28515625" style="55" bestFit="1" customWidth="1"/>
    <col min="9428" max="9429" width="9.140625" style="55"/>
    <col min="9430" max="9430" width="10.28515625" style="55" bestFit="1" customWidth="1"/>
    <col min="9431" max="9432" width="9.140625" style="55"/>
    <col min="9433" max="9433" width="10.28515625" style="55" bestFit="1" customWidth="1"/>
    <col min="9434" max="9435" width="9.140625" style="55"/>
    <col min="9436" max="9436" width="10.28515625" style="55" bestFit="1" customWidth="1"/>
    <col min="9437" max="9472" width="9.140625" style="55"/>
    <col min="9473" max="9473" width="6.28515625" style="55" customWidth="1"/>
    <col min="9474" max="9474" width="81.42578125" style="55" customWidth="1"/>
    <col min="9475" max="9475" width="10" style="55" customWidth="1"/>
    <col min="9476" max="9476" width="15.85546875" style="55" customWidth="1"/>
    <col min="9477" max="9477" width="13.5703125" style="55" customWidth="1"/>
    <col min="9478" max="9478" width="12.7109375" style="55" customWidth="1"/>
    <col min="9479" max="9479" width="11.5703125" style="55" customWidth="1"/>
    <col min="9480" max="9480" width="13" style="55" customWidth="1"/>
    <col min="9481" max="9481" width="0" style="55" hidden="1" customWidth="1"/>
    <col min="9482" max="9482" width="11" style="55" customWidth="1"/>
    <col min="9483" max="9483" width="13.42578125" style="55" customWidth="1"/>
    <col min="9484" max="9484" width="12.5703125" style="55" customWidth="1"/>
    <col min="9485" max="9485" width="11.7109375" style="55" customWidth="1"/>
    <col min="9486" max="9486" width="12" style="55" customWidth="1"/>
    <col min="9487" max="9487" width="0" style="55" hidden="1" customWidth="1"/>
    <col min="9488" max="9488" width="13.28515625" style="55" customWidth="1"/>
    <col min="9489" max="9489" width="11.7109375" style="55" customWidth="1"/>
    <col min="9490" max="9490" width="11.42578125" style="55" customWidth="1"/>
    <col min="9491" max="9491" width="13" style="55" customWidth="1"/>
    <col min="9492" max="9492" width="13.42578125" style="55" customWidth="1"/>
    <col min="9493" max="9493" width="0" style="55" hidden="1" customWidth="1"/>
    <col min="9494" max="9494" width="13.28515625" style="55" customWidth="1"/>
    <col min="9495" max="9495" width="13.140625" style="55" customWidth="1"/>
    <col min="9496" max="9496" width="12.140625" style="55" customWidth="1"/>
    <col min="9497" max="9498" width="11.85546875" style="55" customWidth="1"/>
    <col min="9499" max="9499" width="0" style="55" hidden="1" customWidth="1"/>
    <col min="9500" max="9500" width="12.28515625" style="55" bestFit="1" customWidth="1"/>
    <col min="9501" max="9501" width="10.7109375" style="55" customWidth="1"/>
    <col min="9502" max="9502" width="11.85546875" style="55" customWidth="1"/>
    <col min="9503" max="9503" width="13.140625" style="55" customWidth="1"/>
    <col min="9504" max="9504" width="13" style="55" customWidth="1"/>
    <col min="9505" max="9505" width="0" style="55" hidden="1" customWidth="1"/>
    <col min="9506" max="9506" width="11" style="55" customWidth="1"/>
    <col min="9507" max="9507" width="13" style="55" customWidth="1"/>
    <col min="9508" max="9508" width="12.5703125" style="55" customWidth="1"/>
    <col min="9509" max="9509" width="11.85546875" style="55" customWidth="1"/>
    <col min="9510" max="9510" width="12.28515625" style="55" customWidth="1"/>
    <col min="9511" max="9511" width="0" style="55" hidden="1" customWidth="1"/>
    <col min="9512" max="9512" width="12.85546875" style="55" customWidth="1"/>
    <col min="9513" max="9519" width="0" style="55" hidden="1" customWidth="1"/>
    <col min="9520" max="9520" width="60.85546875" style="55" customWidth="1"/>
    <col min="9521" max="9526" width="27.42578125" style="55" customWidth="1"/>
    <col min="9527" max="9529" width="31.28515625" style="55" customWidth="1"/>
    <col min="9530" max="9530" width="27.42578125" style="55" customWidth="1"/>
    <col min="9531" max="9533" width="34.28515625" style="55" customWidth="1"/>
    <col min="9534" max="9537" width="27.42578125" style="55" customWidth="1"/>
    <col min="9538" max="9538" width="39.42578125" style="55" customWidth="1"/>
    <col min="9539" max="9539" width="41.28515625" style="55" customWidth="1"/>
    <col min="9540" max="9551" width="27.42578125" style="55" customWidth="1"/>
    <col min="9552" max="9553" width="9.140625" style="55"/>
    <col min="9554" max="9554" width="10.28515625" style="55" bestFit="1" customWidth="1"/>
    <col min="9555" max="9556" width="9.140625" style="55"/>
    <col min="9557" max="9557" width="10.28515625" style="55" bestFit="1" customWidth="1"/>
    <col min="9558" max="9559" width="9.140625" style="55"/>
    <col min="9560" max="9560" width="10.28515625" style="55" bestFit="1" customWidth="1"/>
    <col min="9561" max="9562" width="9.140625" style="55"/>
    <col min="9563" max="9563" width="10.28515625" style="55" bestFit="1" customWidth="1"/>
    <col min="9564" max="9565" width="9.140625" style="55"/>
    <col min="9566" max="9566" width="10.28515625" style="55" bestFit="1" customWidth="1"/>
    <col min="9567" max="9568" width="9.140625" style="55"/>
    <col min="9569" max="9569" width="10.28515625" style="55" bestFit="1" customWidth="1"/>
    <col min="9570" max="9571" width="9.140625" style="55"/>
    <col min="9572" max="9572" width="10.28515625" style="55" bestFit="1" customWidth="1"/>
    <col min="9573" max="9574" width="9.140625" style="55"/>
    <col min="9575" max="9575" width="10.28515625" style="55" bestFit="1" customWidth="1"/>
    <col min="9576" max="9577" width="9.140625" style="55"/>
    <col min="9578" max="9578" width="10.28515625" style="55" bestFit="1" customWidth="1"/>
    <col min="9579" max="9580" width="9.140625" style="55"/>
    <col min="9581" max="9581" width="10.28515625" style="55" bestFit="1" customWidth="1"/>
    <col min="9582" max="9583" width="9.140625" style="55"/>
    <col min="9584" max="9584" width="10.28515625" style="55" bestFit="1" customWidth="1"/>
    <col min="9585" max="9586" width="9.140625" style="55"/>
    <col min="9587" max="9587" width="10.28515625" style="55" bestFit="1" customWidth="1"/>
    <col min="9588" max="9589" width="9.140625" style="55"/>
    <col min="9590" max="9590" width="10.28515625" style="55" bestFit="1" customWidth="1"/>
    <col min="9591" max="9592" width="9.140625" style="55"/>
    <col min="9593" max="9593" width="10.28515625" style="55" bestFit="1" customWidth="1"/>
    <col min="9594" max="9595" width="9.140625" style="55"/>
    <col min="9596" max="9596" width="10.28515625" style="55" bestFit="1" customWidth="1"/>
    <col min="9597" max="9598" width="9.140625" style="55"/>
    <col min="9599" max="9599" width="10.28515625" style="55" bestFit="1" customWidth="1"/>
    <col min="9600" max="9601" width="9.140625" style="55"/>
    <col min="9602" max="9602" width="10.28515625" style="55" bestFit="1" customWidth="1"/>
    <col min="9603" max="9604" width="9.140625" style="55"/>
    <col min="9605" max="9605" width="10.28515625" style="55" bestFit="1" customWidth="1"/>
    <col min="9606" max="9607" width="9.140625" style="55"/>
    <col min="9608" max="9608" width="10.28515625" style="55" bestFit="1" customWidth="1"/>
    <col min="9609" max="9610" width="9.140625" style="55"/>
    <col min="9611" max="9611" width="10.28515625" style="55" bestFit="1" customWidth="1"/>
    <col min="9612" max="9613" width="9.140625" style="55"/>
    <col min="9614" max="9614" width="10.28515625" style="55" bestFit="1" customWidth="1"/>
    <col min="9615" max="9616" width="9.140625" style="55"/>
    <col min="9617" max="9617" width="10.28515625" style="55" bestFit="1" customWidth="1"/>
    <col min="9618" max="9619" width="9.140625" style="55"/>
    <col min="9620" max="9620" width="10.28515625" style="55" bestFit="1" customWidth="1"/>
    <col min="9621" max="9622" width="9.140625" style="55"/>
    <col min="9623" max="9623" width="10.28515625" style="55" bestFit="1" customWidth="1"/>
    <col min="9624" max="9625" width="9.140625" style="55"/>
    <col min="9626" max="9626" width="10.28515625" style="55" bestFit="1" customWidth="1"/>
    <col min="9627" max="9628" width="9.140625" style="55"/>
    <col min="9629" max="9629" width="10.28515625" style="55" bestFit="1" customWidth="1"/>
    <col min="9630" max="9631" width="9.140625" style="55"/>
    <col min="9632" max="9632" width="10.28515625" style="55" bestFit="1" customWidth="1"/>
    <col min="9633" max="9634" width="9.140625" style="55"/>
    <col min="9635" max="9635" width="10.28515625" style="55" bestFit="1" customWidth="1"/>
    <col min="9636" max="9637" width="9.140625" style="55"/>
    <col min="9638" max="9638" width="10.28515625" style="55" bestFit="1" customWidth="1"/>
    <col min="9639" max="9640" width="9.140625" style="55"/>
    <col min="9641" max="9641" width="10.28515625" style="55" bestFit="1" customWidth="1"/>
    <col min="9642" max="9643" width="9.140625" style="55"/>
    <col min="9644" max="9644" width="10.28515625" style="55" bestFit="1" customWidth="1"/>
    <col min="9645" max="9646" width="9.140625" style="55"/>
    <col min="9647" max="9647" width="10.28515625" style="55" bestFit="1" customWidth="1"/>
    <col min="9648" max="9649" width="9.140625" style="55"/>
    <col min="9650" max="9650" width="10.28515625" style="55" bestFit="1" customWidth="1"/>
    <col min="9651" max="9652" width="9.140625" style="55"/>
    <col min="9653" max="9653" width="10.28515625" style="55" bestFit="1" customWidth="1"/>
    <col min="9654" max="9655" width="9.140625" style="55"/>
    <col min="9656" max="9656" width="10.28515625" style="55" bestFit="1" customWidth="1"/>
    <col min="9657" max="9658" width="9.140625" style="55"/>
    <col min="9659" max="9659" width="10.28515625" style="55" bestFit="1" customWidth="1"/>
    <col min="9660" max="9661" width="9.140625" style="55"/>
    <col min="9662" max="9662" width="10.28515625" style="55" bestFit="1" customWidth="1"/>
    <col min="9663" max="9664" width="9.140625" style="55"/>
    <col min="9665" max="9665" width="10.28515625" style="55" bestFit="1" customWidth="1"/>
    <col min="9666" max="9667" width="9.140625" style="55"/>
    <col min="9668" max="9668" width="10.28515625" style="55" bestFit="1" customWidth="1"/>
    <col min="9669" max="9670" width="9.140625" style="55"/>
    <col min="9671" max="9671" width="10.28515625" style="55" bestFit="1" customWidth="1"/>
    <col min="9672" max="9673" width="9.140625" style="55"/>
    <col min="9674" max="9674" width="10.28515625" style="55" bestFit="1" customWidth="1"/>
    <col min="9675" max="9676" width="9.140625" style="55"/>
    <col min="9677" max="9677" width="10.28515625" style="55" bestFit="1" customWidth="1"/>
    <col min="9678" max="9679" width="9.140625" style="55"/>
    <col min="9680" max="9680" width="10.28515625" style="55" bestFit="1" customWidth="1"/>
    <col min="9681" max="9682" width="9.140625" style="55"/>
    <col min="9683" max="9683" width="10.28515625" style="55" bestFit="1" customWidth="1"/>
    <col min="9684" max="9685" width="9.140625" style="55"/>
    <col min="9686" max="9686" width="10.28515625" style="55" bestFit="1" customWidth="1"/>
    <col min="9687" max="9688" width="9.140625" style="55"/>
    <col min="9689" max="9689" width="10.28515625" style="55" bestFit="1" customWidth="1"/>
    <col min="9690" max="9691" width="9.140625" style="55"/>
    <col min="9692" max="9692" width="10.28515625" style="55" bestFit="1" customWidth="1"/>
    <col min="9693" max="9728" width="9.140625" style="55"/>
    <col min="9729" max="9729" width="6.28515625" style="55" customWidth="1"/>
    <col min="9730" max="9730" width="81.42578125" style="55" customWidth="1"/>
    <col min="9731" max="9731" width="10" style="55" customWidth="1"/>
    <col min="9732" max="9732" width="15.85546875" style="55" customWidth="1"/>
    <col min="9733" max="9733" width="13.5703125" style="55" customWidth="1"/>
    <col min="9734" max="9734" width="12.7109375" style="55" customWidth="1"/>
    <col min="9735" max="9735" width="11.5703125" style="55" customWidth="1"/>
    <col min="9736" max="9736" width="13" style="55" customWidth="1"/>
    <col min="9737" max="9737" width="0" style="55" hidden="1" customWidth="1"/>
    <col min="9738" max="9738" width="11" style="55" customWidth="1"/>
    <col min="9739" max="9739" width="13.42578125" style="55" customWidth="1"/>
    <col min="9740" max="9740" width="12.5703125" style="55" customWidth="1"/>
    <col min="9741" max="9741" width="11.7109375" style="55" customWidth="1"/>
    <col min="9742" max="9742" width="12" style="55" customWidth="1"/>
    <col min="9743" max="9743" width="0" style="55" hidden="1" customWidth="1"/>
    <col min="9744" max="9744" width="13.28515625" style="55" customWidth="1"/>
    <col min="9745" max="9745" width="11.7109375" style="55" customWidth="1"/>
    <col min="9746" max="9746" width="11.42578125" style="55" customWidth="1"/>
    <col min="9747" max="9747" width="13" style="55" customWidth="1"/>
    <col min="9748" max="9748" width="13.42578125" style="55" customWidth="1"/>
    <col min="9749" max="9749" width="0" style="55" hidden="1" customWidth="1"/>
    <col min="9750" max="9750" width="13.28515625" style="55" customWidth="1"/>
    <col min="9751" max="9751" width="13.140625" style="55" customWidth="1"/>
    <col min="9752" max="9752" width="12.140625" style="55" customWidth="1"/>
    <col min="9753" max="9754" width="11.85546875" style="55" customWidth="1"/>
    <col min="9755" max="9755" width="0" style="55" hidden="1" customWidth="1"/>
    <col min="9756" max="9756" width="12.28515625" style="55" bestFit="1" customWidth="1"/>
    <col min="9757" max="9757" width="10.7109375" style="55" customWidth="1"/>
    <col min="9758" max="9758" width="11.85546875" style="55" customWidth="1"/>
    <col min="9759" max="9759" width="13.140625" style="55" customWidth="1"/>
    <col min="9760" max="9760" width="13" style="55" customWidth="1"/>
    <col min="9761" max="9761" width="0" style="55" hidden="1" customWidth="1"/>
    <col min="9762" max="9762" width="11" style="55" customWidth="1"/>
    <col min="9763" max="9763" width="13" style="55" customWidth="1"/>
    <col min="9764" max="9764" width="12.5703125" style="55" customWidth="1"/>
    <col min="9765" max="9765" width="11.85546875" style="55" customWidth="1"/>
    <col min="9766" max="9766" width="12.28515625" style="55" customWidth="1"/>
    <col min="9767" max="9767" width="0" style="55" hidden="1" customWidth="1"/>
    <col min="9768" max="9768" width="12.85546875" style="55" customWidth="1"/>
    <col min="9769" max="9775" width="0" style="55" hidden="1" customWidth="1"/>
    <col min="9776" max="9776" width="60.85546875" style="55" customWidth="1"/>
    <col min="9777" max="9782" width="27.42578125" style="55" customWidth="1"/>
    <col min="9783" max="9785" width="31.28515625" style="55" customWidth="1"/>
    <col min="9786" max="9786" width="27.42578125" style="55" customWidth="1"/>
    <col min="9787" max="9789" width="34.28515625" style="55" customWidth="1"/>
    <col min="9790" max="9793" width="27.42578125" style="55" customWidth="1"/>
    <col min="9794" max="9794" width="39.42578125" style="55" customWidth="1"/>
    <col min="9795" max="9795" width="41.28515625" style="55" customWidth="1"/>
    <col min="9796" max="9807" width="27.42578125" style="55" customWidth="1"/>
    <col min="9808" max="9809" width="9.140625" style="55"/>
    <col min="9810" max="9810" width="10.28515625" style="55" bestFit="1" customWidth="1"/>
    <col min="9811" max="9812" width="9.140625" style="55"/>
    <col min="9813" max="9813" width="10.28515625" style="55" bestFit="1" customWidth="1"/>
    <col min="9814" max="9815" width="9.140625" style="55"/>
    <col min="9816" max="9816" width="10.28515625" style="55" bestFit="1" customWidth="1"/>
    <col min="9817" max="9818" width="9.140625" style="55"/>
    <col min="9819" max="9819" width="10.28515625" style="55" bestFit="1" customWidth="1"/>
    <col min="9820" max="9821" width="9.140625" style="55"/>
    <col min="9822" max="9822" width="10.28515625" style="55" bestFit="1" customWidth="1"/>
    <col min="9823" max="9824" width="9.140625" style="55"/>
    <col min="9825" max="9825" width="10.28515625" style="55" bestFit="1" customWidth="1"/>
    <col min="9826" max="9827" width="9.140625" style="55"/>
    <col min="9828" max="9828" width="10.28515625" style="55" bestFit="1" customWidth="1"/>
    <col min="9829" max="9830" width="9.140625" style="55"/>
    <col min="9831" max="9831" width="10.28515625" style="55" bestFit="1" customWidth="1"/>
    <col min="9832" max="9833" width="9.140625" style="55"/>
    <col min="9834" max="9834" width="10.28515625" style="55" bestFit="1" customWidth="1"/>
    <col min="9835" max="9836" width="9.140625" style="55"/>
    <col min="9837" max="9837" width="10.28515625" style="55" bestFit="1" customWidth="1"/>
    <col min="9838" max="9839" width="9.140625" style="55"/>
    <col min="9840" max="9840" width="10.28515625" style="55" bestFit="1" customWidth="1"/>
    <col min="9841" max="9842" width="9.140625" style="55"/>
    <col min="9843" max="9843" width="10.28515625" style="55" bestFit="1" customWidth="1"/>
    <col min="9844" max="9845" width="9.140625" style="55"/>
    <col min="9846" max="9846" width="10.28515625" style="55" bestFit="1" customWidth="1"/>
    <col min="9847" max="9848" width="9.140625" style="55"/>
    <col min="9849" max="9849" width="10.28515625" style="55" bestFit="1" customWidth="1"/>
    <col min="9850" max="9851" width="9.140625" style="55"/>
    <col min="9852" max="9852" width="10.28515625" style="55" bestFit="1" customWidth="1"/>
    <col min="9853" max="9854" width="9.140625" style="55"/>
    <col min="9855" max="9855" width="10.28515625" style="55" bestFit="1" customWidth="1"/>
    <col min="9856" max="9857" width="9.140625" style="55"/>
    <col min="9858" max="9858" width="10.28515625" style="55" bestFit="1" customWidth="1"/>
    <col min="9859" max="9860" width="9.140625" style="55"/>
    <col min="9861" max="9861" width="10.28515625" style="55" bestFit="1" customWidth="1"/>
    <col min="9862" max="9863" width="9.140625" style="55"/>
    <col min="9864" max="9864" width="10.28515625" style="55" bestFit="1" customWidth="1"/>
    <col min="9865" max="9866" width="9.140625" style="55"/>
    <col min="9867" max="9867" width="10.28515625" style="55" bestFit="1" customWidth="1"/>
    <col min="9868" max="9869" width="9.140625" style="55"/>
    <col min="9870" max="9870" width="10.28515625" style="55" bestFit="1" customWidth="1"/>
    <col min="9871" max="9872" width="9.140625" style="55"/>
    <col min="9873" max="9873" width="10.28515625" style="55" bestFit="1" customWidth="1"/>
    <col min="9874" max="9875" width="9.140625" style="55"/>
    <col min="9876" max="9876" width="10.28515625" style="55" bestFit="1" customWidth="1"/>
    <col min="9877" max="9878" width="9.140625" style="55"/>
    <col min="9879" max="9879" width="10.28515625" style="55" bestFit="1" customWidth="1"/>
    <col min="9880" max="9881" width="9.140625" style="55"/>
    <col min="9882" max="9882" width="10.28515625" style="55" bestFit="1" customWidth="1"/>
    <col min="9883" max="9884" width="9.140625" style="55"/>
    <col min="9885" max="9885" width="10.28515625" style="55" bestFit="1" customWidth="1"/>
    <col min="9886" max="9887" width="9.140625" style="55"/>
    <col min="9888" max="9888" width="10.28515625" style="55" bestFit="1" customWidth="1"/>
    <col min="9889" max="9890" width="9.140625" style="55"/>
    <col min="9891" max="9891" width="10.28515625" style="55" bestFit="1" customWidth="1"/>
    <col min="9892" max="9893" width="9.140625" style="55"/>
    <col min="9894" max="9894" width="10.28515625" style="55" bestFit="1" customWidth="1"/>
    <col min="9895" max="9896" width="9.140625" style="55"/>
    <col min="9897" max="9897" width="10.28515625" style="55" bestFit="1" customWidth="1"/>
    <col min="9898" max="9899" width="9.140625" style="55"/>
    <col min="9900" max="9900" width="10.28515625" style="55" bestFit="1" customWidth="1"/>
    <col min="9901" max="9902" width="9.140625" style="55"/>
    <col min="9903" max="9903" width="10.28515625" style="55" bestFit="1" customWidth="1"/>
    <col min="9904" max="9905" width="9.140625" style="55"/>
    <col min="9906" max="9906" width="10.28515625" style="55" bestFit="1" customWidth="1"/>
    <col min="9907" max="9908" width="9.140625" style="55"/>
    <col min="9909" max="9909" width="10.28515625" style="55" bestFit="1" customWidth="1"/>
    <col min="9910" max="9911" width="9.140625" style="55"/>
    <col min="9912" max="9912" width="10.28515625" style="55" bestFit="1" customWidth="1"/>
    <col min="9913" max="9914" width="9.140625" style="55"/>
    <col min="9915" max="9915" width="10.28515625" style="55" bestFit="1" customWidth="1"/>
    <col min="9916" max="9917" width="9.140625" style="55"/>
    <col min="9918" max="9918" width="10.28515625" style="55" bestFit="1" customWidth="1"/>
    <col min="9919" max="9920" width="9.140625" style="55"/>
    <col min="9921" max="9921" width="10.28515625" style="55" bestFit="1" customWidth="1"/>
    <col min="9922" max="9923" width="9.140625" style="55"/>
    <col min="9924" max="9924" width="10.28515625" style="55" bestFit="1" customWidth="1"/>
    <col min="9925" max="9926" width="9.140625" style="55"/>
    <col min="9927" max="9927" width="10.28515625" style="55" bestFit="1" customWidth="1"/>
    <col min="9928" max="9929" width="9.140625" style="55"/>
    <col min="9930" max="9930" width="10.28515625" style="55" bestFit="1" customWidth="1"/>
    <col min="9931" max="9932" width="9.140625" style="55"/>
    <col min="9933" max="9933" width="10.28515625" style="55" bestFit="1" customWidth="1"/>
    <col min="9934" max="9935" width="9.140625" style="55"/>
    <col min="9936" max="9936" width="10.28515625" style="55" bestFit="1" customWidth="1"/>
    <col min="9937" max="9938" width="9.140625" style="55"/>
    <col min="9939" max="9939" width="10.28515625" style="55" bestFit="1" customWidth="1"/>
    <col min="9940" max="9941" width="9.140625" style="55"/>
    <col min="9942" max="9942" width="10.28515625" style="55" bestFit="1" customWidth="1"/>
    <col min="9943" max="9944" width="9.140625" style="55"/>
    <col min="9945" max="9945" width="10.28515625" style="55" bestFit="1" customWidth="1"/>
    <col min="9946" max="9947" width="9.140625" style="55"/>
    <col min="9948" max="9948" width="10.28515625" style="55" bestFit="1" customWidth="1"/>
    <col min="9949" max="9984" width="9.140625" style="55"/>
    <col min="9985" max="9985" width="6.28515625" style="55" customWidth="1"/>
    <col min="9986" max="9986" width="81.42578125" style="55" customWidth="1"/>
    <col min="9987" max="9987" width="10" style="55" customWidth="1"/>
    <col min="9988" max="9988" width="15.85546875" style="55" customWidth="1"/>
    <col min="9989" max="9989" width="13.5703125" style="55" customWidth="1"/>
    <col min="9990" max="9990" width="12.7109375" style="55" customWidth="1"/>
    <col min="9991" max="9991" width="11.5703125" style="55" customWidth="1"/>
    <col min="9992" max="9992" width="13" style="55" customWidth="1"/>
    <col min="9993" max="9993" width="0" style="55" hidden="1" customWidth="1"/>
    <col min="9994" max="9994" width="11" style="55" customWidth="1"/>
    <col min="9995" max="9995" width="13.42578125" style="55" customWidth="1"/>
    <col min="9996" max="9996" width="12.5703125" style="55" customWidth="1"/>
    <col min="9997" max="9997" width="11.7109375" style="55" customWidth="1"/>
    <col min="9998" max="9998" width="12" style="55" customWidth="1"/>
    <col min="9999" max="9999" width="0" style="55" hidden="1" customWidth="1"/>
    <col min="10000" max="10000" width="13.28515625" style="55" customWidth="1"/>
    <col min="10001" max="10001" width="11.7109375" style="55" customWidth="1"/>
    <col min="10002" max="10002" width="11.42578125" style="55" customWidth="1"/>
    <col min="10003" max="10003" width="13" style="55" customWidth="1"/>
    <col min="10004" max="10004" width="13.42578125" style="55" customWidth="1"/>
    <col min="10005" max="10005" width="0" style="55" hidden="1" customWidth="1"/>
    <col min="10006" max="10006" width="13.28515625" style="55" customWidth="1"/>
    <col min="10007" max="10007" width="13.140625" style="55" customWidth="1"/>
    <col min="10008" max="10008" width="12.140625" style="55" customWidth="1"/>
    <col min="10009" max="10010" width="11.85546875" style="55" customWidth="1"/>
    <col min="10011" max="10011" width="0" style="55" hidden="1" customWidth="1"/>
    <col min="10012" max="10012" width="12.28515625" style="55" bestFit="1" customWidth="1"/>
    <col min="10013" max="10013" width="10.7109375" style="55" customWidth="1"/>
    <col min="10014" max="10014" width="11.85546875" style="55" customWidth="1"/>
    <col min="10015" max="10015" width="13.140625" style="55" customWidth="1"/>
    <col min="10016" max="10016" width="13" style="55" customWidth="1"/>
    <col min="10017" max="10017" width="0" style="55" hidden="1" customWidth="1"/>
    <col min="10018" max="10018" width="11" style="55" customWidth="1"/>
    <col min="10019" max="10019" width="13" style="55" customWidth="1"/>
    <col min="10020" max="10020" width="12.5703125" style="55" customWidth="1"/>
    <col min="10021" max="10021" width="11.85546875" style="55" customWidth="1"/>
    <col min="10022" max="10022" width="12.28515625" style="55" customWidth="1"/>
    <col min="10023" max="10023" width="0" style="55" hidden="1" customWidth="1"/>
    <col min="10024" max="10024" width="12.85546875" style="55" customWidth="1"/>
    <col min="10025" max="10031" width="0" style="55" hidden="1" customWidth="1"/>
    <col min="10032" max="10032" width="60.85546875" style="55" customWidth="1"/>
    <col min="10033" max="10038" width="27.42578125" style="55" customWidth="1"/>
    <col min="10039" max="10041" width="31.28515625" style="55" customWidth="1"/>
    <col min="10042" max="10042" width="27.42578125" style="55" customWidth="1"/>
    <col min="10043" max="10045" width="34.28515625" style="55" customWidth="1"/>
    <col min="10046" max="10049" width="27.42578125" style="55" customWidth="1"/>
    <col min="10050" max="10050" width="39.42578125" style="55" customWidth="1"/>
    <col min="10051" max="10051" width="41.28515625" style="55" customWidth="1"/>
    <col min="10052" max="10063" width="27.42578125" style="55" customWidth="1"/>
    <col min="10064" max="10065" width="9.140625" style="55"/>
    <col min="10066" max="10066" width="10.28515625" style="55" bestFit="1" customWidth="1"/>
    <col min="10067" max="10068" width="9.140625" style="55"/>
    <col min="10069" max="10069" width="10.28515625" style="55" bestFit="1" customWidth="1"/>
    <col min="10070" max="10071" width="9.140625" style="55"/>
    <col min="10072" max="10072" width="10.28515625" style="55" bestFit="1" customWidth="1"/>
    <col min="10073" max="10074" width="9.140625" style="55"/>
    <col min="10075" max="10075" width="10.28515625" style="55" bestFit="1" customWidth="1"/>
    <col min="10076" max="10077" width="9.140625" style="55"/>
    <col min="10078" max="10078" width="10.28515625" style="55" bestFit="1" customWidth="1"/>
    <col min="10079" max="10080" width="9.140625" style="55"/>
    <col min="10081" max="10081" width="10.28515625" style="55" bestFit="1" customWidth="1"/>
    <col min="10082" max="10083" width="9.140625" style="55"/>
    <col min="10084" max="10084" width="10.28515625" style="55" bestFit="1" customWidth="1"/>
    <col min="10085" max="10086" width="9.140625" style="55"/>
    <col min="10087" max="10087" width="10.28515625" style="55" bestFit="1" customWidth="1"/>
    <col min="10088" max="10089" width="9.140625" style="55"/>
    <col min="10090" max="10090" width="10.28515625" style="55" bestFit="1" customWidth="1"/>
    <col min="10091" max="10092" width="9.140625" style="55"/>
    <col min="10093" max="10093" width="10.28515625" style="55" bestFit="1" customWidth="1"/>
    <col min="10094" max="10095" width="9.140625" style="55"/>
    <col min="10096" max="10096" width="10.28515625" style="55" bestFit="1" customWidth="1"/>
    <col min="10097" max="10098" width="9.140625" style="55"/>
    <col min="10099" max="10099" width="10.28515625" style="55" bestFit="1" customWidth="1"/>
    <col min="10100" max="10101" width="9.140625" style="55"/>
    <col min="10102" max="10102" width="10.28515625" style="55" bestFit="1" customWidth="1"/>
    <col min="10103" max="10104" width="9.140625" style="55"/>
    <col min="10105" max="10105" width="10.28515625" style="55" bestFit="1" customWidth="1"/>
    <col min="10106" max="10107" width="9.140625" style="55"/>
    <col min="10108" max="10108" width="10.28515625" style="55" bestFit="1" customWidth="1"/>
    <col min="10109" max="10110" width="9.140625" style="55"/>
    <col min="10111" max="10111" width="10.28515625" style="55" bestFit="1" customWidth="1"/>
    <col min="10112" max="10113" width="9.140625" style="55"/>
    <col min="10114" max="10114" width="10.28515625" style="55" bestFit="1" customWidth="1"/>
    <col min="10115" max="10116" width="9.140625" style="55"/>
    <col min="10117" max="10117" width="10.28515625" style="55" bestFit="1" customWidth="1"/>
    <col min="10118" max="10119" width="9.140625" style="55"/>
    <col min="10120" max="10120" width="10.28515625" style="55" bestFit="1" customWidth="1"/>
    <col min="10121" max="10122" width="9.140625" style="55"/>
    <col min="10123" max="10123" width="10.28515625" style="55" bestFit="1" customWidth="1"/>
    <col min="10124" max="10125" width="9.140625" style="55"/>
    <col min="10126" max="10126" width="10.28515625" style="55" bestFit="1" customWidth="1"/>
    <col min="10127" max="10128" width="9.140625" style="55"/>
    <col min="10129" max="10129" width="10.28515625" style="55" bestFit="1" customWidth="1"/>
    <col min="10130" max="10131" width="9.140625" style="55"/>
    <col min="10132" max="10132" width="10.28515625" style="55" bestFit="1" customWidth="1"/>
    <col min="10133" max="10134" width="9.140625" style="55"/>
    <col min="10135" max="10135" width="10.28515625" style="55" bestFit="1" customWidth="1"/>
    <col min="10136" max="10137" width="9.140625" style="55"/>
    <col min="10138" max="10138" width="10.28515625" style="55" bestFit="1" customWidth="1"/>
    <col min="10139" max="10140" width="9.140625" style="55"/>
    <col min="10141" max="10141" width="10.28515625" style="55" bestFit="1" customWidth="1"/>
    <col min="10142" max="10143" width="9.140625" style="55"/>
    <col min="10144" max="10144" width="10.28515625" style="55" bestFit="1" customWidth="1"/>
    <col min="10145" max="10146" width="9.140625" style="55"/>
    <col min="10147" max="10147" width="10.28515625" style="55" bestFit="1" customWidth="1"/>
    <col min="10148" max="10149" width="9.140625" style="55"/>
    <col min="10150" max="10150" width="10.28515625" style="55" bestFit="1" customWidth="1"/>
    <col min="10151" max="10152" width="9.140625" style="55"/>
    <col min="10153" max="10153" width="10.28515625" style="55" bestFit="1" customWidth="1"/>
    <col min="10154" max="10155" width="9.140625" style="55"/>
    <col min="10156" max="10156" width="10.28515625" style="55" bestFit="1" customWidth="1"/>
    <col min="10157" max="10158" width="9.140625" style="55"/>
    <col min="10159" max="10159" width="10.28515625" style="55" bestFit="1" customWidth="1"/>
    <col min="10160" max="10161" width="9.140625" style="55"/>
    <col min="10162" max="10162" width="10.28515625" style="55" bestFit="1" customWidth="1"/>
    <col min="10163" max="10164" width="9.140625" style="55"/>
    <col min="10165" max="10165" width="10.28515625" style="55" bestFit="1" customWidth="1"/>
    <col min="10166" max="10167" width="9.140625" style="55"/>
    <col min="10168" max="10168" width="10.28515625" style="55" bestFit="1" customWidth="1"/>
    <col min="10169" max="10170" width="9.140625" style="55"/>
    <col min="10171" max="10171" width="10.28515625" style="55" bestFit="1" customWidth="1"/>
    <col min="10172" max="10173" width="9.140625" style="55"/>
    <col min="10174" max="10174" width="10.28515625" style="55" bestFit="1" customWidth="1"/>
    <col min="10175" max="10176" width="9.140625" style="55"/>
    <col min="10177" max="10177" width="10.28515625" style="55" bestFit="1" customWidth="1"/>
    <col min="10178" max="10179" width="9.140625" style="55"/>
    <col min="10180" max="10180" width="10.28515625" style="55" bestFit="1" customWidth="1"/>
    <col min="10181" max="10182" width="9.140625" style="55"/>
    <col min="10183" max="10183" width="10.28515625" style="55" bestFit="1" customWidth="1"/>
    <col min="10184" max="10185" width="9.140625" style="55"/>
    <col min="10186" max="10186" width="10.28515625" style="55" bestFit="1" customWidth="1"/>
    <col min="10187" max="10188" width="9.140625" style="55"/>
    <col min="10189" max="10189" width="10.28515625" style="55" bestFit="1" customWidth="1"/>
    <col min="10190" max="10191" width="9.140625" style="55"/>
    <col min="10192" max="10192" width="10.28515625" style="55" bestFit="1" customWidth="1"/>
    <col min="10193" max="10194" width="9.140625" style="55"/>
    <col min="10195" max="10195" width="10.28515625" style="55" bestFit="1" customWidth="1"/>
    <col min="10196" max="10197" width="9.140625" style="55"/>
    <col min="10198" max="10198" width="10.28515625" style="55" bestFit="1" customWidth="1"/>
    <col min="10199" max="10200" width="9.140625" style="55"/>
    <col min="10201" max="10201" width="10.28515625" style="55" bestFit="1" customWidth="1"/>
    <col min="10202" max="10203" width="9.140625" style="55"/>
    <col min="10204" max="10204" width="10.28515625" style="55" bestFit="1" customWidth="1"/>
    <col min="10205" max="10240" width="9.140625" style="55"/>
    <col min="10241" max="10241" width="6.28515625" style="55" customWidth="1"/>
    <col min="10242" max="10242" width="81.42578125" style="55" customWidth="1"/>
    <col min="10243" max="10243" width="10" style="55" customWidth="1"/>
    <col min="10244" max="10244" width="15.85546875" style="55" customWidth="1"/>
    <col min="10245" max="10245" width="13.5703125" style="55" customWidth="1"/>
    <col min="10246" max="10246" width="12.7109375" style="55" customWidth="1"/>
    <col min="10247" max="10247" width="11.5703125" style="55" customWidth="1"/>
    <col min="10248" max="10248" width="13" style="55" customWidth="1"/>
    <col min="10249" max="10249" width="0" style="55" hidden="1" customWidth="1"/>
    <col min="10250" max="10250" width="11" style="55" customWidth="1"/>
    <col min="10251" max="10251" width="13.42578125" style="55" customWidth="1"/>
    <col min="10252" max="10252" width="12.5703125" style="55" customWidth="1"/>
    <col min="10253" max="10253" width="11.7109375" style="55" customWidth="1"/>
    <col min="10254" max="10254" width="12" style="55" customWidth="1"/>
    <col min="10255" max="10255" width="0" style="55" hidden="1" customWidth="1"/>
    <col min="10256" max="10256" width="13.28515625" style="55" customWidth="1"/>
    <col min="10257" max="10257" width="11.7109375" style="55" customWidth="1"/>
    <col min="10258" max="10258" width="11.42578125" style="55" customWidth="1"/>
    <col min="10259" max="10259" width="13" style="55" customWidth="1"/>
    <col min="10260" max="10260" width="13.42578125" style="55" customWidth="1"/>
    <col min="10261" max="10261" width="0" style="55" hidden="1" customWidth="1"/>
    <col min="10262" max="10262" width="13.28515625" style="55" customWidth="1"/>
    <col min="10263" max="10263" width="13.140625" style="55" customWidth="1"/>
    <col min="10264" max="10264" width="12.140625" style="55" customWidth="1"/>
    <col min="10265" max="10266" width="11.85546875" style="55" customWidth="1"/>
    <col min="10267" max="10267" width="0" style="55" hidden="1" customWidth="1"/>
    <col min="10268" max="10268" width="12.28515625" style="55" bestFit="1" customWidth="1"/>
    <col min="10269" max="10269" width="10.7109375" style="55" customWidth="1"/>
    <col min="10270" max="10270" width="11.85546875" style="55" customWidth="1"/>
    <col min="10271" max="10271" width="13.140625" style="55" customWidth="1"/>
    <col min="10272" max="10272" width="13" style="55" customWidth="1"/>
    <col min="10273" max="10273" width="0" style="55" hidden="1" customWidth="1"/>
    <col min="10274" max="10274" width="11" style="55" customWidth="1"/>
    <col min="10275" max="10275" width="13" style="55" customWidth="1"/>
    <col min="10276" max="10276" width="12.5703125" style="55" customWidth="1"/>
    <col min="10277" max="10277" width="11.85546875" style="55" customWidth="1"/>
    <col min="10278" max="10278" width="12.28515625" style="55" customWidth="1"/>
    <col min="10279" max="10279" width="0" style="55" hidden="1" customWidth="1"/>
    <col min="10280" max="10280" width="12.85546875" style="55" customWidth="1"/>
    <col min="10281" max="10287" width="0" style="55" hidden="1" customWidth="1"/>
    <col min="10288" max="10288" width="60.85546875" style="55" customWidth="1"/>
    <col min="10289" max="10294" width="27.42578125" style="55" customWidth="1"/>
    <col min="10295" max="10297" width="31.28515625" style="55" customWidth="1"/>
    <col min="10298" max="10298" width="27.42578125" style="55" customWidth="1"/>
    <col min="10299" max="10301" width="34.28515625" style="55" customWidth="1"/>
    <col min="10302" max="10305" width="27.42578125" style="55" customWidth="1"/>
    <col min="10306" max="10306" width="39.42578125" style="55" customWidth="1"/>
    <col min="10307" max="10307" width="41.28515625" style="55" customWidth="1"/>
    <col min="10308" max="10319" width="27.42578125" style="55" customWidth="1"/>
    <col min="10320" max="10321" width="9.140625" style="55"/>
    <col min="10322" max="10322" width="10.28515625" style="55" bestFit="1" customWidth="1"/>
    <col min="10323" max="10324" width="9.140625" style="55"/>
    <col min="10325" max="10325" width="10.28515625" style="55" bestFit="1" customWidth="1"/>
    <col min="10326" max="10327" width="9.140625" style="55"/>
    <col min="10328" max="10328" width="10.28515625" style="55" bestFit="1" customWidth="1"/>
    <col min="10329" max="10330" width="9.140625" style="55"/>
    <col min="10331" max="10331" width="10.28515625" style="55" bestFit="1" customWidth="1"/>
    <col min="10332" max="10333" width="9.140625" style="55"/>
    <col min="10334" max="10334" width="10.28515625" style="55" bestFit="1" customWidth="1"/>
    <col min="10335" max="10336" width="9.140625" style="55"/>
    <col min="10337" max="10337" width="10.28515625" style="55" bestFit="1" customWidth="1"/>
    <col min="10338" max="10339" width="9.140625" style="55"/>
    <col min="10340" max="10340" width="10.28515625" style="55" bestFit="1" customWidth="1"/>
    <col min="10341" max="10342" width="9.140625" style="55"/>
    <col min="10343" max="10343" width="10.28515625" style="55" bestFit="1" customWidth="1"/>
    <col min="10344" max="10345" width="9.140625" style="55"/>
    <col min="10346" max="10346" width="10.28515625" style="55" bestFit="1" customWidth="1"/>
    <col min="10347" max="10348" width="9.140625" style="55"/>
    <col min="10349" max="10349" width="10.28515625" style="55" bestFit="1" customWidth="1"/>
    <col min="10350" max="10351" width="9.140625" style="55"/>
    <col min="10352" max="10352" width="10.28515625" style="55" bestFit="1" customWidth="1"/>
    <col min="10353" max="10354" width="9.140625" style="55"/>
    <col min="10355" max="10355" width="10.28515625" style="55" bestFit="1" customWidth="1"/>
    <col min="10356" max="10357" width="9.140625" style="55"/>
    <col min="10358" max="10358" width="10.28515625" style="55" bestFit="1" customWidth="1"/>
    <col min="10359" max="10360" width="9.140625" style="55"/>
    <col min="10361" max="10361" width="10.28515625" style="55" bestFit="1" customWidth="1"/>
    <col min="10362" max="10363" width="9.140625" style="55"/>
    <col min="10364" max="10364" width="10.28515625" style="55" bestFit="1" customWidth="1"/>
    <col min="10365" max="10366" width="9.140625" style="55"/>
    <col min="10367" max="10367" width="10.28515625" style="55" bestFit="1" customWidth="1"/>
    <col min="10368" max="10369" width="9.140625" style="55"/>
    <col min="10370" max="10370" width="10.28515625" style="55" bestFit="1" customWidth="1"/>
    <col min="10371" max="10372" width="9.140625" style="55"/>
    <col min="10373" max="10373" width="10.28515625" style="55" bestFit="1" customWidth="1"/>
    <col min="10374" max="10375" width="9.140625" style="55"/>
    <col min="10376" max="10376" width="10.28515625" style="55" bestFit="1" customWidth="1"/>
    <col min="10377" max="10378" width="9.140625" style="55"/>
    <col min="10379" max="10379" width="10.28515625" style="55" bestFit="1" customWidth="1"/>
    <col min="10380" max="10381" width="9.140625" style="55"/>
    <col min="10382" max="10382" width="10.28515625" style="55" bestFit="1" customWidth="1"/>
    <col min="10383" max="10384" width="9.140625" style="55"/>
    <col min="10385" max="10385" width="10.28515625" style="55" bestFit="1" customWidth="1"/>
    <col min="10386" max="10387" width="9.140625" style="55"/>
    <col min="10388" max="10388" width="10.28515625" style="55" bestFit="1" customWidth="1"/>
    <col min="10389" max="10390" width="9.140625" style="55"/>
    <col min="10391" max="10391" width="10.28515625" style="55" bestFit="1" customWidth="1"/>
    <col min="10392" max="10393" width="9.140625" style="55"/>
    <col min="10394" max="10394" width="10.28515625" style="55" bestFit="1" customWidth="1"/>
    <col min="10395" max="10396" width="9.140625" style="55"/>
    <col min="10397" max="10397" width="10.28515625" style="55" bestFit="1" customWidth="1"/>
    <col min="10398" max="10399" width="9.140625" style="55"/>
    <col min="10400" max="10400" width="10.28515625" style="55" bestFit="1" customWidth="1"/>
    <col min="10401" max="10402" width="9.140625" style="55"/>
    <col min="10403" max="10403" width="10.28515625" style="55" bestFit="1" customWidth="1"/>
    <col min="10404" max="10405" width="9.140625" style="55"/>
    <col min="10406" max="10406" width="10.28515625" style="55" bestFit="1" customWidth="1"/>
    <col min="10407" max="10408" width="9.140625" style="55"/>
    <col min="10409" max="10409" width="10.28515625" style="55" bestFit="1" customWidth="1"/>
    <col min="10410" max="10411" width="9.140625" style="55"/>
    <col min="10412" max="10412" width="10.28515625" style="55" bestFit="1" customWidth="1"/>
    <col min="10413" max="10414" width="9.140625" style="55"/>
    <col min="10415" max="10415" width="10.28515625" style="55" bestFit="1" customWidth="1"/>
    <col min="10416" max="10417" width="9.140625" style="55"/>
    <col min="10418" max="10418" width="10.28515625" style="55" bestFit="1" customWidth="1"/>
    <col min="10419" max="10420" width="9.140625" style="55"/>
    <col min="10421" max="10421" width="10.28515625" style="55" bestFit="1" customWidth="1"/>
    <col min="10422" max="10423" width="9.140625" style="55"/>
    <col min="10424" max="10424" width="10.28515625" style="55" bestFit="1" customWidth="1"/>
    <col min="10425" max="10426" width="9.140625" style="55"/>
    <col min="10427" max="10427" width="10.28515625" style="55" bestFit="1" customWidth="1"/>
    <col min="10428" max="10429" width="9.140625" style="55"/>
    <col min="10430" max="10430" width="10.28515625" style="55" bestFit="1" customWidth="1"/>
    <col min="10431" max="10432" width="9.140625" style="55"/>
    <col min="10433" max="10433" width="10.28515625" style="55" bestFit="1" customWidth="1"/>
    <col min="10434" max="10435" width="9.140625" style="55"/>
    <col min="10436" max="10436" width="10.28515625" style="55" bestFit="1" customWidth="1"/>
    <col min="10437" max="10438" width="9.140625" style="55"/>
    <col min="10439" max="10439" width="10.28515625" style="55" bestFit="1" customWidth="1"/>
    <col min="10440" max="10441" width="9.140625" style="55"/>
    <col min="10442" max="10442" width="10.28515625" style="55" bestFit="1" customWidth="1"/>
    <col min="10443" max="10444" width="9.140625" style="55"/>
    <col min="10445" max="10445" width="10.28515625" style="55" bestFit="1" customWidth="1"/>
    <col min="10446" max="10447" width="9.140625" style="55"/>
    <col min="10448" max="10448" width="10.28515625" style="55" bestFit="1" customWidth="1"/>
    <col min="10449" max="10450" width="9.140625" style="55"/>
    <col min="10451" max="10451" width="10.28515625" style="55" bestFit="1" customWidth="1"/>
    <col min="10452" max="10453" width="9.140625" style="55"/>
    <col min="10454" max="10454" width="10.28515625" style="55" bestFit="1" customWidth="1"/>
    <col min="10455" max="10456" width="9.140625" style="55"/>
    <col min="10457" max="10457" width="10.28515625" style="55" bestFit="1" customWidth="1"/>
    <col min="10458" max="10459" width="9.140625" style="55"/>
    <col min="10460" max="10460" width="10.28515625" style="55" bestFit="1" customWidth="1"/>
    <col min="10461" max="10496" width="9.140625" style="55"/>
    <col min="10497" max="10497" width="6.28515625" style="55" customWidth="1"/>
    <col min="10498" max="10498" width="81.42578125" style="55" customWidth="1"/>
    <col min="10499" max="10499" width="10" style="55" customWidth="1"/>
    <col min="10500" max="10500" width="15.85546875" style="55" customWidth="1"/>
    <col min="10501" max="10501" width="13.5703125" style="55" customWidth="1"/>
    <col min="10502" max="10502" width="12.7109375" style="55" customWidth="1"/>
    <col min="10503" max="10503" width="11.5703125" style="55" customWidth="1"/>
    <col min="10504" max="10504" width="13" style="55" customWidth="1"/>
    <col min="10505" max="10505" width="0" style="55" hidden="1" customWidth="1"/>
    <col min="10506" max="10506" width="11" style="55" customWidth="1"/>
    <col min="10507" max="10507" width="13.42578125" style="55" customWidth="1"/>
    <col min="10508" max="10508" width="12.5703125" style="55" customWidth="1"/>
    <col min="10509" max="10509" width="11.7109375" style="55" customWidth="1"/>
    <col min="10510" max="10510" width="12" style="55" customWidth="1"/>
    <col min="10511" max="10511" width="0" style="55" hidden="1" customWidth="1"/>
    <col min="10512" max="10512" width="13.28515625" style="55" customWidth="1"/>
    <col min="10513" max="10513" width="11.7109375" style="55" customWidth="1"/>
    <col min="10514" max="10514" width="11.42578125" style="55" customWidth="1"/>
    <col min="10515" max="10515" width="13" style="55" customWidth="1"/>
    <col min="10516" max="10516" width="13.42578125" style="55" customWidth="1"/>
    <col min="10517" max="10517" width="0" style="55" hidden="1" customWidth="1"/>
    <col min="10518" max="10518" width="13.28515625" style="55" customWidth="1"/>
    <col min="10519" max="10519" width="13.140625" style="55" customWidth="1"/>
    <col min="10520" max="10520" width="12.140625" style="55" customWidth="1"/>
    <col min="10521" max="10522" width="11.85546875" style="55" customWidth="1"/>
    <col min="10523" max="10523" width="0" style="55" hidden="1" customWidth="1"/>
    <col min="10524" max="10524" width="12.28515625" style="55" bestFit="1" customWidth="1"/>
    <col min="10525" max="10525" width="10.7109375" style="55" customWidth="1"/>
    <col min="10526" max="10526" width="11.85546875" style="55" customWidth="1"/>
    <col min="10527" max="10527" width="13.140625" style="55" customWidth="1"/>
    <col min="10528" max="10528" width="13" style="55" customWidth="1"/>
    <col min="10529" max="10529" width="0" style="55" hidden="1" customWidth="1"/>
    <col min="10530" max="10530" width="11" style="55" customWidth="1"/>
    <col min="10531" max="10531" width="13" style="55" customWidth="1"/>
    <col min="10532" max="10532" width="12.5703125" style="55" customWidth="1"/>
    <col min="10533" max="10533" width="11.85546875" style="55" customWidth="1"/>
    <col min="10534" max="10534" width="12.28515625" style="55" customWidth="1"/>
    <col min="10535" max="10535" width="0" style="55" hidden="1" customWidth="1"/>
    <col min="10536" max="10536" width="12.85546875" style="55" customWidth="1"/>
    <col min="10537" max="10543" width="0" style="55" hidden="1" customWidth="1"/>
    <col min="10544" max="10544" width="60.85546875" style="55" customWidth="1"/>
    <col min="10545" max="10550" width="27.42578125" style="55" customWidth="1"/>
    <col min="10551" max="10553" width="31.28515625" style="55" customWidth="1"/>
    <col min="10554" max="10554" width="27.42578125" style="55" customWidth="1"/>
    <col min="10555" max="10557" width="34.28515625" style="55" customWidth="1"/>
    <col min="10558" max="10561" width="27.42578125" style="55" customWidth="1"/>
    <col min="10562" max="10562" width="39.42578125" style="55" customWidth="1"/>
    <col min="10563" max="10563" width="41.28515625" style="55" customWidth="1"/>
    <col min="10564" max="10575" width="27.42578125" style="55" customWidth="1"/>
    <col min="10576" max="10577" width="9.140625" style="55"/>
    <col min="10578" max="10578" width="10.28515625" style="55" bestFit="1" customWidth="1"/>
    <col min="10579" max="10580" width="9.140625" style="55"/>
    <col min="10581" max="10581" width="10.28515625" style="55" bestFit="1" customWidth="1"/>
    <col min="10582" max="10583" width="9.140625" style="55"/>
    <col min="10584" max="10584" width="10.28515625" style="55" bestFit="1" customWidth="1"/>
    <col min="10585" max="10586" width="9.140625" style="55"/>
    <col min="10587" max="10587" width="10.28515625" style="55" bestFit="1" customWidth="1"/>
    <col min="10588" max="10589" width="9.140625" style="55"/>
    <col min="10590" max="10590" width="10.28515625" style="55" bestFit="1" customWidth="1"/>
    <col min="10591" max="10592" width="9.140625" style="55"/>
    <col min="10593" max="10593" width="10.28515625" style="55" bestFit="1" customWidth="1"/>
    <col min="10594" max="10595" width="9.140625" style="55"/>
    <col min="10596" max="10596" width="10.28515625" style="55" bestFit="1" customWidth="1"/>
    <col min="10597" max="10598" width="9.140625" style="55"/>
    <col min="10599" max="10599" width="10.28515625" style="55" bestFit="1" customWidth="1"/>
    <col min="10600" max="10601" width="9.140625" style="55"/>
    <col min="10602" max="10602" width="10.28515625" style="55" bestFit="1" customWidth="1"/>
    <col min="10603" max="10604" width="9.140625" style="55"/>
    <col min="10605" max="10605" width="10.28515625" style="55" bestFit="1" customWidth="1"/>
    <col min="10606" max="10607" width="9.140625" style="55"/>
    <col min="10608" max="10608" width="10.28515625" style="55" bestFit="1" customWidth="1"/>
    <col min="10609" max="10610" width="9.140625" style="55"/>
    <col min="10611" max="10611" width="10.28515625" style="55" bestFit="1" customWidth="1"/>
    <col min="10612" max="10613" width="9.140625" style="55"/>
    <col min="10614" max="10614" width="10.28515625" style="55" bestFit="1" customWidth="1"/>
    <col min="10615" max="10616" width="9.140625" style="55"/>
    <col min="10617" max="10617" width="10.28515625" style="55" bestFit="1" customWidth="1"/>
    <col min="10618" max="10619" width="9.140625" style="55"/>
    <col min="10620" max="10620" width="10.28515625" style="55" bestFit="1" customWidth="1"/>
    <col min="10621" max="10622" width="9.140625" style="55"/>
    <col min="10623" max="10623" width="10.28515625" style="55" bestFit="1" customWidth="1"/>
    <col min="10624" max="10625" width="9.140625" style="55"/>
    <col min="10626" max="10626" width="10.28515625" style="55" bestFit="1" customWidth="1"/>
    <col min="10627" max="10628" width="9.140625" style="55"/>
    <col min="10629" max="10629" width="10.28515625" style="55" bestFit="1" customWidth="1"/>
    <col min="10630" max="10631" width="9.140625" style="55"/>
    <col min="10632" max="10632" width="10.28515625" style="55" bestFit="1" customWidth="1"/>
    <col min="10633" max="10634" width="9.140625" style="55"/>
    <col min="10635" max="10635" width="10.28515625" style="55" bestFit="1" customWidth="1"/>
    <col min="10636" max="10637" width="9.140625" style="55"/>
    <col min="10638" max="10638" width="10.28515625" style="55" bestFit="1" customWidth="1"/>
    <col min="10639" max="10640" width="9.140625" style="55"/>
    <col min="10641" max="10641" width="10.28515625" style="55" bestFit="1" customWidth="1"/>
    <col min="10642" max="10643" width="9.140625" style="55"/>
    <col min="10644" max="10644" width="10.28515625" style="55" bestFit="1" customWidth="1"/>
    <col min="10645" max="10646" width="9.140625" style="55"/>
    <col min="10647" max="10647" width="10.28515625" style="55" bestFit="1" customWidth="1"/>
    <col min="10648" max="10649" width="9.140625" style="55"/>
    <col min="10650" max="10650" width="10.28515625" style="55" bestFit="1" customWidth="1"/>
    <col min="10651" max="10652" width="9.140625" style="55"/>
    <col min="10653" max="10653" width="10.28515625" style="55" bestFit="1" customWidth="1"/>
    <col min="10654" max="10655" width="9.140625" style="55"/>
    <col min="10656" max="10656" width="10.28515625" style="55" bestFit="1" customWidth="1"/>
    <col min="10657" max="10658" width="9.140625" style="55"/>
    <col min="10659" max="10659" width="10.28515625" style="55" bestFit="1" customWidth="1"/>
    <col min="10660" max="10661" width="9.140625" style="55"/>
    <col min="10662" max="10662" width="10.28515625" style="55" bestFit="1" customWidth="1"/>
    <col min="10663" max="10664" width="9.140625" style="55"/>
    <col min="10665" max="10665" width="10.28515625" style="55" bestFit="1" customWidth="1"/>
    <col min="10666" max="10667" width="9.140625" style="55"/>
    <col min="10668" max="10668" width="10.28515625" style="55" bestFit="1" customWidth="1"/>
    <col min="10669" max="10670" width="9.140625" style="55"/>
    <col min="10671" max="10671" width="10.28515625" style="55" bestFit="1" customWidth="1"/>
    <col min="10672" max="10673" width="9.140625" style="55"/>
    <col min="10674" max="10674" width="10.28515625" style="55" bestFit="1" customWidth="1"/>
    <col min="10675" max="10676" width="9.140625" style="55"/>
    <col min="10677" max="10677" width="10.28515625" style="55" bestFit="1" customWidth="1"/>
    <col min="10678" max="10679" width="9.140625" style="55"/>
    <col min="10680" max="10680" width="10.28515625" style="55" bestFit="1" customWidth="1"/>
    <col min="10681" max="10682" width="9.140625" style="55"/>
    <col min="10683" max="10683" width="10.28515625" style="55" bestFit="1" customWidth="1"/>
    <col min="10684" max="10685" width="9.140625" style="55"/>
    <col min="10686" max="10686" width="10.28515625" style="55" bestFit="1" customWidth="1"/>
    <col min="10687" max="10688" width="9.140625" style="55"/>
    <col min="10689" max="10689" width="10.28515625" style="55" bestFit="1" customWidth="1"/>
    <col min="10690" max="10691" width="9.140625" style="55"/>
    <col min="10692" max="10692" width="10.28515625" style="55" bestFit="1" customWidth="1"/>
    <col min="10693" max="10694" width="9.140625" style="55"/>
    <col min="10695" max="10695" width="10.28515625" style="55" bestFit="1" customWidth="1"/>
    <col min="10696" max="10697" width="9.140625" style="55"/>
    <col min="10698" max="10698" width="10.28515625" style="55" bestFit="1" customWidth="1"/>
    <col min="10699" max="10700" width="9.140625" style="55"/>
    <col min="10701" max="10701" width="10.28515625" style="55" bestFit="1" customWidth="1"/>
    <col min="10702" max="10703" width="9.140625" style="55"/>
    <col min="10704" max="10704" width="10.28515625" style="55" bestFit="1" customWidth="1"/>
    <col min="10705" max="10706" width="9.140625" style="55"/>
    <col min="10707" max="10707" width="10.28515625" style="55" bestFit="1" customWidth="1"/>
    <col min="10708" max="10709" width="9.140625" style="55"/>
    <col min="10710" max="10710" width="10.28515625" style="55" bestFit="1" customWidth="1"/>
    <col min="10711" max="10712" width="9.140625" style="55"/>
    <col min="10713" max="10713" width="10.28515625" style="55" bestFit="1" customWidth="1"/>
    <col min="10714" max="10715" width="9.140625" style="55"/>
    <col min="10716" max="10716" width="10.28515625" style="55" bestFit="1" customWidth="1"/>
    <col min="10717" max="10752" width="9.140625" style="55"/>
    <col min="10753" max="10753" width="6.28515625" style="55" customWidth="1"/>
    <col min="10754" max="10754" width="81.42578125" style="55" customWidth="1"/>
    <col min="10755" max="10755" width="10" style="55" customWidth="1"/>
    <col min="10756" max="10756" width="15.85546875" style="55" customWidth="1"/>
    <col min="10757" max="10757" width="13.5703125" style="55" customWidth="1"/>
    <col min="10758" max="10758" width="12.7109375" style="55" customWidth="1"/>
    <col min="10759" max="10759" width="11.5703125" style="55" customWidth="1"/>
    <col min="10760" max="10760" width="13" style="55" customWidth="1"/>
    <col min="10761" max="10761" width="0" style="55" hidden="1" customWidth="1"/>
    <col min="10762" max="10762" width="11" style="55" customWidth="1"/>
    <col min="10763" max="10763" width="13.42578125" style="55" customWidth="1"/>
    <col min="10764" max="10764" width="12.5703125" style="55" customWidth="1"/>
    <col min="10765" max="10765" width="11.7109375" style="55" customWidth="1"/>
    <col min="10766" max="10766" width="12" style="55" customWidth="1"/>
    <col min="10767" max="10767" width="0" style="55" hidden="1" customWidth="1"/>
    <col min="10768" max="10768" width="13.28515625" style="55" customWidth="1"/>
    <col min="10769" max="10769" width="11.7109375" style="55" customWidth="1"/>
    <col min="10770" max="10770" width="11.42578125" style="55" customWidth="1"/>
    <col min="10771" max="10771" width="13" style="55" customWidth="1"/>
    <col min="10772" max="10772" width="13.42578125" style="55" customWidth="1"/>
    <col min="10773" max="10773" width="0" style="55" hidden="1" customWidth="1"/>
    <col min="10774" max="10774" width="13.28515625" style="55" customWidth="1"/>
    <col min="10775" max="10775" width="13.140625" style="55" customWidth="1"/>
    <col min="10776" max="10776" width="12.140625" style="55" customWidth="1"/>
    <col min="10777" max="10778" width="11.85546875" style="55" customWidth="1"/>
    <col min="10779" max="10779" width="0" style="55" hidden="1" customWidth="1"/>
    <col min="10780" max="10780" width="12.28515625" style="55" bestFit="1" customWidth="1"/>
    <col min="10781" max="10781" width="10.7109375" style="55" customWidth="1"/>
    <col min="10782" max="10782" width="11.85546875" style="55" customWidth="1"/>
    <col min="10783" max="10783" width="13.140625" style="55" customWidth="1"/>
    <col min="10784" max="10784" width="13" style="55" customWidth="1"/>
    <col min="10785" max="10785" width="0" style="55" hidden="1" customWidth="1"/>
    <col min="10786" max="10786" width="11" style="55" customWidth="1"/>
    <col min="10787" max="10787" width="13" style="55" customWidth="1"/>
    <col min="10788" max="10788" width="12.5703125" style="55" customWidth="1"/>
    <col min="10789" max="10789" width="11.85546875" style="55" customWidth="1"/>
    <col min="10790" max="10790" width="12.28515625" style="55" customWidth="1"/>
    <col min="10791" max="10791" width="0" style="55" hidden="1" customWidth="1"/>
    <col min="10792" max="10792" width="12.85546875" style="55" customWidth="1"/>
    <col min="10793" max="10799" width="0" style="55" hidden="1" customWidth="1"/>
    <col min="10800" max="10800" width="60.85546875" style="55" customWidth="1"/>
    <col min="10801" max="10806" width="27.42578125" style="55" customWidth="1"/>
    <col min="10807" max="10809" width="31.28515625" style="55" customWidth="1"/>
    <col min="10810" max="10810" width="27.42578125" style="55" customWidth="1"/>
    <col min="10811" max="10813" width="34.28515625" style="55" customWidth="1"/>
    <col min="10814" max="10817" width="27.42578125" style="55" customWidth="1"/>
    <col min="10818" max="10818" width="39.42578125" style="55" customWidth="1"/>
    <col min="10819" max="10819" width="41.28515625" style="55" customWidth="1"/>
    <col min="10820" max="10831" width="27.42578125" style="55" customWidth="1"/>
    <col min="10832" max="10833" width="9.140625" style="55"/>
    <col min="10834" max="10834" width="10.28515625" style="55" bestFit="1" customWidth="1"/>
    <col min="10835" max="10836" width="9.140625" style="55"/>
    <col min="10837" max="10837" width="10.28515625" style="55" bestFit="1" customWidth="1"/>
    <col min="10838" max="10839" width="9.140625" style="55"/>
    <col min="10840" max="10840" width="10.28515625" style="55" bestFit="1" customWidth="1"/>
    <col min="10841" max="10842" width="9.140625" style="55"/>
    <col min="10843" max="10843" width="10.28515625" style="55" bestFit="1" customWidth="1"/>
    <col min="10844" max="10845" width="9.140625" style="55"/>
    <col min="10846" max="10846" width="10.28515625" style="55" bestFit="1" customWidth="1"/>
    <col min="10847" max="10848" width="9.140625" style="55"/>
    <col min="10849" max="10849" width="10.28515625" style="55" bestFit="1" customWidth="1"/>
    <col min="10850" max="10851" width="9.140625" style="55"/>
    <col min="10852" max="10852" width="10.28515625" style="55" bestFit="1" customWidth="1"/>
    <col min="10853" max="10854" width="9.140625" style="55"/>
    <col min="10855" max="10855" width="10.28515625" style="55" bestFit="1" customWidth="1"/>
    <col min="10856" max="10857" width="9.140625" style="55"/>
    <col min="10858" max="10858" width="10.28515625" style="55" bestFit="1" customWidth="1"/>
    <col min="10859" max="10860" width="9.140625" style="55"/>
    <col min="10861" max="10861" width="10.28515625" style="55" bestFit="1" customWidth="1"/>
    <col min="10862" max="10863" width="9.140625" style="55"/>
    <col min="10864" max="10864" width="10.28515625" style="55" bestFit="1" customWidth="1"/>
    <col min="10865" max="10866" width="9.140625" style="55"/>
    <col min="10867" max="10867" width="10.28515625" style="55" bestFit="1" customWidth="1"/>
    <col min="10868" max="10869" width="9.140625" style="55"/>
    <col min="10870" max="10870" width="10.28515625" style="55" bestFit="1" customWidth="1"/>
    <col min="10871" max="10872" width="9.140625" style="55"/>
    <col min="10873" max="10873" width="10.28515625" style="55" bestFit="1" customWidth="1"/>
    <col min="10874" max="10875" width="9.140625" style="55"/>
    <col min="10876" max="10876" width="10.28515625" style="55" bestFit="1" customWidth="1"/>
    <col min="10877" max="10878" width="9.140625" style="55"/>
    <col min="10879" max="10879" width="10.28515625" style="55" bestFit="1" customWidth="1"/>
    <col min="10880" max="10881" width="9.140625" style="55"/>
    <col min="10882" max="10882" width="10.28515625" style="55" bestFit="1" customWidth="1"/>
    <col min="10883" max="10884" width="9.140625" style="55"/>
    <col min="10885" max="10885" width="10.28515625" style="55" bestFit="1" customWidth="1"/>
    <col min="10886" max="10887" width="9.140625" style="55"/>
    <col min="10888" max="10888" width="10.28515625" style="55" bestFit="1" customWidth="1"/>
    <col min="10889" max="10890" width="9.140625" style="55"/>
    <col min="10891" max="10891" width="10.28515625" style="55" bestFit="1" customWidth="1"/>
    <col min="10892" max="10893" width="9.140625" style="55"/>
    <col min="10894" max="10894" width="10.28515625" style="55" bestFit="1" customWidth="1"/>
    <col min="10895" max="10896" width="9.140625" style="55"/>
    <col min="10897" max="10897" width="10.28515625" style="55" bestFit="1" customWidth="1"/>
    <col min="10898" max="10899" width="9.140625" style="55"/>
    <col min="10900" max="10900" width="10.28515625" style="55" bestFit="1" customWidth="1"/>
    <col min="10901" max="10902" width="9.140625" style="55"/>
    <col min="10903" max="10903" width="10.28515625" style="55" bestFit="1" customWidth="1"/>
    <col min="10904" max="10905" width="9.140625" style="55"/>
    <col min="10906" max="10906" width="10.28515625" style="55" bestFit="1" customWidth="1"/>
    <col min="10907" max="10908" width="9.140625" style="55"/>
    <col min="10909" max="10909" width="10.28515625" style="55" bestFit="1" customWidth="1"/>
    <col min="10910" max="10911" width="9.140625" style="55"/>
    <col min="10912" max="10912" width="10.28515625" style="55" bestFit="1" customWidth="1"/>
    <col min="10913" max="10914" width="9.140625" style="55"/>
    <col min="10915" max="10915" width="10.28515625" style="55" bestFit="1" customWidth="1"/>
    <col min="10916" max="10917" width="9.140625" style="55"/>
    <col min="10918" max="10918" width="10.28515625" style="55" bestFit="1" customWidth="1"/>
    <col min="10919" max="10920" width="9.140625" style="55"/>
    <col min="10921" max="10921" width="10.28515625" style="55" bestFit="1" customWidth="1"/>
    <col min="10922" max="10923" width="9.140625" style="55"/>
    <col min="10924" max="10924" width="10.28515625" style="55" bestFit="1" customWidth="1"/>
    <col min="10925" max="10926" width="9.140625" style="55"/>
    <col min="10927" max="10927" width="10.28515625" style="55" bestFit="1" customWidth="1"/>
    <col min="10928" max="10929" width="9.140625" style="55"/>
    <col min="10930" max="10930" width="10.28515625" style="55" bestFit="1" customWidth="1"/>
    <col min="10931" max="10932" width="9.140625" style="55"/>
    <col min="10933" max="10933" width="10.28515625" style="55" bestFit="1" customWidth="1"/>
    <col min="10934" max="10935" width="9.140625" style="55"/>
    <col min="10936" max="10936" width="10.28515625" style="55" bestFit="1" customWidth="1"/>
    <col min="10937" max="10938" width="9.140625" style="55"/>
    <col min="10939" max="10939" width="10.28515625" style="55" bestFit="1" customWidth="1"/>
    <col min="10940" max="10941" width="9.140625" style="55"/>
    <col min="10942" max="10942" width="10.28515625" style="55" bestFit="1" customWidth="1"/>
    <col min="10943" max="10944" width="9.140625" style="55"/>
    <col min="10945" max="10945" width="10.28515625" style="55" bestFit="1" customWidth="1"/>
    <col min="10946" max="10947" width="9.140625" style="55"/>
    <col min="10948" max="10948" width="10.28515625" style="55" bestFit="1" customWidth="1"/>
    <col min="10949" max="10950" width="9.140625" style="55"/>
    <col min="10951" max="10951" width="10.28515625" style="55" bestFit="1" customWidth="1"/>
    <col min="10952" max="10953" width="9.140625" style="55"/>
    <col min="10954" max="10954" width="10.28515625" style="55" bestFit="1" customWidth="1"/>
    <col min="10955" max="10956" width="9.140625" style="55"/>
    <col min="10957" max="10957" width="10.28515625" style="55" bestFit="1" customWidth="1"/>
    <col min="10958" max="10959" width="9.140625" style="55"/>
    <col min="10960" max="10960" width="10.28515625" style="55" bestFit="1" customWidth="1"/>
    <col min="10961" max="10962" width="9.140625" style="55"/>
    <col min="10963" max="10963" width="10.28515625" style="55" bestFit="1" customWidth="1"/>
    <col min="10964" max="10965" width="9.140625" style="55"/>
    <col min="10966" max="10966" width="10.28515625" style="55" bestFit="1" customWidth="1"/>
    <col min="10967" max="10968" width="9.140625" style="55"/>
    <col min="10969" max="10969" width="10.28515625" style="55" bestFit="1" customWidth="1"/>
    <col min="10970" max="10971" width="9.140625" style="55"/>
    <col min="10972" max="10972" width="10.28515625" style="55" bestFit="1" customWidth="1"/>
    <col min="10973" max="11008" width="9.140625" style="55"/>
    <col min="11009" max="11009" width="6.28515625" style="55" customWidth="1"/>
    <col min="11010" max="11010" width="81.42578125" style="55" customWidth="1"/>
    <col min="11011" max="11011" width="10" style="55" customWidth="1"/>
    <col min="11012" max="11012" width="15.85546875" style="55" customWidth="1"/>
    <col min="11013" max="11013" width="13.5703125" style="55" customWidth="1"/>
    <col min="11014" max="11014" width="12.7109375" style="55" customWidth="1"/>
    <col min="11015" max="11015" width="11.5703125" style="55" customWidth="1"/>
    <col min="11016" max="11016" width="13" style="55" customWidth="1"/>
    <col min="11017" max="11017" width="0" style="55" hidden="1" customWidth="1"/>
    <col min="11018" max="11018" width="11" style="55" customWidth="1"/>
    <col min="11019" max="11019" width="13.42578125" style="55" customWidth="1"/>
    <col min="11020" max="11020" width="12.5703125" style="55" customWidth="1"/>
    <col min="11021" max="11021" width="11.7109375" style="55" customWidth="1"/>
    <col min="11022" max="11022" width="12" style="55" customWidth="1"/>
    <col min="11023" max="11023" width="0" style="55" hidden="1" customWidth="1"/>
    <col min="11024" max="11024" width="13.28515625" style="55" customWidth="1"/>
    <col min="11025" max="11025" width="11.7109375" style="55" customWidth="1"/>
    <col min="11026" max="11026" width="11.42578125" style="55" customWidth="1"/>
    <col min="11027" max="11027" width="13" style="55" customWidth="1"/>
    <col min="11028" max="11028" width="13.42578125" style="55" customWidth="1"/>
    <col min="11029" max="11029" width="0" style="55" hidden="1" customWidth="1"/>
    <col min="11030" max="11030" width="13.28515625" style="55" customWidth="1"/>
    <col min="11031" max="11031" width="13.140625" style="55" customWidth="1"/>
    <col min="11032" max="11032" width="12.140625" style="55" customWidth="1"/>
    <col min="11033" max="11034" width="11.85546875" style="55" customWidth="1"/>
    <col min="11035" max="11035" width="0" style="55" hidden="1" customWidth="1"/>
    <col min="11036" max="11036" width="12.28515625" style="55" bestFit="1" customWidth="1"/>
    <col min="11037" max="11037" width="10.7109375" style="55" customWidth="1"/>
    <col min="11038" max="11038" width="11.85546875" style="55" customWidth="1"/>
    <col min="11039" max="11039" width="13.140625" style="55" customWidth="1"/>
    <col min="11040" max="11040" width="13" style="55" customWidth="1"/>
    <col min="11041" max="11041" width="0" style="55" hidden="1" customWidth="1"/>
    <col min="11042" max="11042" width="11" style="55" customWidth="1"/>
    <col min="11043" max="11043" width="13" style="55" customWidth="1"/>
    <col min="11044" max="11044" width="12.5703125" style="55" customWidth="1"/>
    <col min="11045" max="11045" width="11.85546875" style="55" customWidth="1"/>
    <col min="11046" max="11046" width="12.28515625" style="55" customWidth="1"/>
    <col min="11047" max="11047" width="0" style="55" hidden="1" customWidth="1"/>
    <col min="11048" max="11048" width="12.85546875" style="55" customWidth="1"/>
    <col min="11049" max="11055" width="0" style="55" hidden="1" customWidth="1"/>
    <col min="11056" max="11056" width="60.85546875" style="55" customWidth="1"/>
    <col min="11057" max="11062" width="27.42578125" style="55" customWidth="1"/>
    <col min="11063" max="11065" width="31.28515625" style="55" customWidth="1"/>
    <col min="11066" max="11066" width="27.42578125" style="55" customWidth="1"/>
    <col min="11067" max="11069" width="34.28515625" style="55" customWidth="1"/>
    <col min="11070" max="11073" width="27.42578125" style="55" customWidth="1"/>
    <col min="11074" max="11074" width="39.42578125" style="55" customWidth="1"/>
    <col min="11075" max="11075" width="41.28515625" style="55" customWidth="1"/>
    <col min="11076" max="11087" width="27.42578125" style="55" customWidth="1"/>
    <col min="11088" max="11089" width="9.140625" style="55"/>
    <col min="11090" max="11090" width="10.28515625" style="55" bestFit="1" customWidth="1"/>
    <col min="11091" max="11092" width="9.140625" style="55"/>
    <col min="11093" max="11093" width="10.28515625" style="55" bestFit="1" customWidth="1"/>
    <col min="11094" max="11095" width="9.140625" style="55"/>
    <col min="11096" max="11096" width="10.28515625" style="55" bestFit="1" customWidth="1"/>
    <col min="11097" max="11098" width="9.140625" style="55"/>
    <col min="11099" max="11099" width="10.28515625" style="55" bestFit="1" customWidth="1"/>
    <col min="11100" max="11101" width="9.140625" style="55"/>
    <col min="11102" max="11102" width="10.28515625" style="55" bestFit="1" customWidth="1"/>
    <col min="11103" max="11104" width="9.140625" style="55"/>
    <col min="11105" max="11105" width="10.28515625" style="55" bestFit="1" customWidth="1"/>
    <col min="11106" max="11107" width="9.140625" style="55"/>
    <col min="11108" max="11108" width="10.28515625" style="55" bestFit="1" customWidth="1"/>
    <col min="11109" max="11110" width="9.140625" style="55"/>
    <col min="11111" max="11111" width="10.28515625" style="55" bestFit="1" customWidth="1"/>
    <col min="11112" max="11113" width="9.140625" style="55"/>
    <col min="11114" max="11114" width="10.28515625" style="55" bestFit="1" customWidth="1"/>
    <col min="11115" max="11116" width="9.140625" style="55"/>
    <col min="11117" max="11117" width="10.28515625" style="55" bestFit="1" customWidth="1"/>
    <col min="11118" max="11119" width="9.140625" style="55"/>
    <col min="11120" max="11120" width="10.28515625" style="55" bestFit="1" customWidth="1"/>
    <col min="11121" max="11122" width="9.140625" style="55"/>
    <col min="11123" max="11123" width="10.28515625" style="55" bestFit="1" customWidth="1"/>
    <col min="11124" max="11125" width="9.140625" style="55"/>
    <col min="11126" max="11126" width="10.28515625" style="55" bestFit="1" customWidth="1"/>
    <col min="11127" max="11128" width="9.140625" style="55"/>
    <col min="11129" max="11129" width="10.28515625" style="55" bestFit="1" customWidth="1"/>
    <col min="11130" max="11131" width="9.140625" style="55"/>
    <col min="11132" max="11132" width="10.28515625" style="55" bestFit="1" customWidth="1"/>
    <col min="11133" max="11134" width="9.140625" style="55"/>
    <col min="11135" max="11135" width="10.28515625" style="55" bestFit="1" customWidth="1"/>
    <col min="11136" max="11137" width="9.140625" style="55"/>
    <col min="11138" max="11138" width="10.28515625" style="55" bestFit="1" customWidth="1"/>
    <col min="11139" max="11140" width="9.140625" style="55"/>
    <col min="11141" max="11141" width="10.28515625" style="55" bestFit="1" customWidth="1"/>
    <col min="11142" max="11143" width="9.140625" style="55"/>
    <col min="11144" max="11144" width="10.28515625" style="55" bestFit="1" customWidth="1"/>
    <col min="11145" max="11146" width="9.140625" style="55"/>
    <col min="11147" max="11147" width="10.28515625" style="55" bestFit="1" customWidth="1"/>
    <col min="11148" max="11149" width="9.140625" style="55"/>
    <col min="11150" max="11150" width="10.28515625" style="55" bestFit="1" customWidth="1"/>
    <col min="11151" max="11152" width="9.140625" style="55"/>
    <col min="11153" max="11153" width="10.28515625" style="55" bestFit="1" customWidth="1"/>
    <col min="11154" max="11155" width="9.140625" style="55"/>
    <col min="11156" max="11156" width="10.28515625" style="55" bestFit="1" customWidth="1"/>
    <col min="11157" max="11158" width="9.140625" style="55"/>
    <col min="11159" max="11159" width="10.28515625" style="55" bestFit="1" customWidth="1"/>
    <col min="11160" max="11161" width="9.140625" style="55"/>
    <col min="11162" max="11162" width="10.28515625" style="55" bestFit="1" customWidth="1"/>
    <col min="11163" max="11164" width="9.140625" style="55"/>
    <col min="11165" max="11165" width="10.28515625" style="55" bestFit="1" customWidth="1"/>
    <col min="11166" max="11167" width="9.140625" style="55"/>
    <col min="11168" max="11168" width="10.28515625" style="55" bestFit="1" customWidth="1"/>
    <col min="11169" max="11170" width="9.140625" style="55"/>
    <col min="11171" max="11171" width="10.28515625" style="55" bestFit="1" customWidth="1"/>
    <col min="11172" max="11173" width="9.140625" style="55"/>
    <col min="11174" max="11174" width="10.28515625" style="55" bestFit="1" customWidth="1"/>
    <col min="11175" max="11176" width="9.140625" style="55"/>
    <col min="11177" max="11177" width="10.28515625" style="55" bestFit="1" customWidth="1"/>
    <col min="11178" max="11179" width="9.140625" style="55"/>
    <col min="11180" max="11180" width="10.28515625" style="55" bestFit="1" customWidth="1"/>
    <col min="11181" max="11182" width="9.140625" style="55"/>
    <col min="11183" max="11183" width="10.28515625" style="55" bestFit="1" customWidth="1"/>
    <col min="11184" max="11185" width="9.140625" style="55"/>
    <col min="11186" max="11186" width="10.28515625" style="55" bestFit="1" customWidth="1"/>
    <col min="11187" max="11188" width="9.140625" style="55"/>
    <col min="11189" max="11189" width="10.28515625" style="55" bestFit="1" customWidth="1"/>
    <col min="11190" max="11191" width="9.140625" style="55"/>
    <col min="11192" max="11192" width="10.28515625" style="55" bestFit="1" customWidth="1"/>
    <col min="11193" max="11194" width="9.140625" style="55"/>
    <col min="11195" max="11195" width="10.28515625" style="55" bestFit="1" customWidth="1"/>
    <col min="11196" max="11197" width="9.140625" style="55"/>
    <col min="11198" max="11198" width="10.28515625" style="55" bestFit="1" customWidth="1"/>
    <col min="11199" max="11200" width="9.140625" style="55"/>
    <col min="11201" max="11201" width="10.28515625" style="55" bestFit="1" customWidth="1"/>
    <col min="11202" max="11203" width="9.140625" style="55"/>
    <col min="11204" max="11204" width="10.28515625" style="55" bestFit="1" customWidth="1"/>
    <col min="11205" max="11206" width="9.140625" style="55"/>
    <col min="11207" max="11207" width="10.28515625" style="55" bestFit="1" customWidth="1"/>
    <col min="11208" max="11209" width="9.140625" style="55"/>
    <col min="11210" max="11210" width="10.28515625" style="55" bestFit="1" customWidth="1"/>
    <col min="11211" max="11212" width="9.140625" style="55"/>
    <col min="11213" max="11213" width="10.28515625" style="55" bestFit="1" customWidth="1"/>
    <col min="11214" max="11215" width="9.140625" style="55"/>
    <col min="11216" max="11216" width="10.28515625" style="55" bestFit="1" customWidth="1"/>
    <col min="11217" max="11218" width="9.140625" style="55"/>
    <col min="11219" max="11219" width="10.28515625" style="55" bestFit="1" customWidth="1"/>
    <col min="11220" max="11221" width="9.140625" style="55"/>
    <col min="11222" max="11222" width="10.28515625" style="55" bestFit="1" customWidth="1"/>
    <col min="11223" max="11224" width="9.140625" style="55"/>
    <col min="11225" max="11225" width="10.28515625" style="55" bestFit="1" customWidth="1"/>
    <col min="11226" max="11227" width="9.140625" style="55"/>
    <col min="11228" max="11228" width="10.28515625" style="55" bestFit="1" customWidth="1"/>
    <col min="11229" max="11264" width="9.140625" style="55"/>
    <col min="11265" max="11265" width="6.28515625" style="55" customWidth="1"/>
    <col min="11266" max="11266" width="81.42578125" style="55" customWidth="1"/>
    <col min="11267" max="11267" width="10" style="55" customWidth="1"/>
    <col min="11268" max="11268" width="15.85546875" style="55" customWidth="1"/>
    <col min="11269" max="11269" width="13.5703125" style="55" customWidth="1"/>
    <col min="11270" max="11270" width="12.7109375" style="55" customWidth="1"/>
    <col min="11271" max="11271" width="11.5703125" style="55" customWidth="1"/>
    <col min="11272" max="11272" width="13" style="55" customWidth="1"/>
    <col min="11273" max="11273" width="0" style="55" hidden="1" customWidth="1"/>
    <col min="11274" max="11274" width="11" style="55" customWidth="1"/>
    <col min="11275" max="11275" width="13.42578125" style="55" customWidth="1"/>
    <col min="11276" max="11276" width="12.5703125" style="55" customWidth="1"/>
    <col min="11277" max="11277" width="11.7109375" style="55" customWidth="1"/>
    <col min="11278" max="11278" width="12" style="55" customWidth="1"/>
    <col min="11279" max="11279" width="0" style="55" hidden="1" customWidth="1"/>
    <col min="11280" max="11280" width="13.28515625" style="55" customWidth="1"/>
    <col min="11281" max="11281" width="11.7109375" style="55" customWidth="1"/>
    <col min="11282" max="11282" width="11.42578125" style="55" customWidth="1"/>
    <col min="11283" max="11283" width="13" style="55" customWidth="1"/>
    <col min="11284" max="11284" width="13.42578125" style="55" customWidth="1"/>
    <col min="11285" max="11285" width="0" style="55" hidden="1" customWidth="1"/>
    <col min="11286" max="11286" width="13.28515625" style="55" customWidth="1"/>
    <col min="11287" max="11287" width="13.140625" style="55" customWidth="1"/>
    <col min="11288" max="11288" width="12.140625" style="55" customWidth="1"/>
    <col min="11289" max="11290" width="11.85546875" style="55" customWidth="1"/>
    <col min="11291" max="11291" width="0" style="55" hidden="1" customWidth="1"/>
    <col min="11292" max="11292" width="12.28515625" style="55" bestFit="1" customWidth="1"/>
    <col min="11293" max="11293" width="10.7109375" style="55" customWidth="1"/>
    <col min="11294" max="11294" width="11.85546875" style="55" customWidth="1"/>
    <col min="11295" max="11295" width="13.140625" style="55" customWidth="1"/>
    <col min="11296" max="11296" width="13" style="55" customWidth="1"/>
    <col min="11297" max="11297" width="0" style="55" hidden="1" customWidth="1"/>
    <col min="11298" max="11298" width="11" style="55" customWidth="1"/>
    <col min="11299" max="11299" width="13" style="55" customWidth="1"/>
    <col min="11300" max="11300" width="12.5703125" style="55" customWidth="1"/>
    <col min="11301" max="11301" width="11.85546875" style="55" customWidth="1"/>
    <col min="11302" max="11302" width="12.28515625" style="55" customWidth="1"/>
    <col min="11303" max="11303" width="0" style="55" hidden="1" customWidth="1"/>
    <col min="11304" max="11304" width="12.85546875" style="55" customWidth="1"/>
    <col min="11305" max="11311" width="0" style="55" hidden="1" customWidth="1"/>
    <col min="11312" max="11312" width="60.85546875" style="55" customWidth="1"/>
    <col min="11313" max="11318" width="27.42578125" style="55" customWidth="1"/>
    <col min="11319" max="11321" width="31.28515625" style="55" customWidth="1"/>
    <col min="11322" max="11322" width="27.42578125" style="55" customWidth="1"/>
    <col min="11323" max="11325" width="34.28515625" style="55" customWidth="1"/>
    <col min="11326" max="11329" width="27.42578125" style="55" customWidth="1"/>
    <col min="11330" max="11330" width="39.42578125" style="55" customWidth="1"/>
    <col min="11331" max="11331" width="41.28515625" style="55" customWidth="1"/>
    <col min="11332" max="11343" width="27.42578125" style="55" customWidth="1"/>
    <col min="11344" max="11345" width="9.140625" style="55"/>
    <col min="11346" max="11346" width="10.28515625" style="55" bestFit="1" customWidth="1"/>
    <col min="11347" max="11348" width="9.140625" style="55"/>
    <col min="11349" max="11349" width="10.28515625" style="55" bestFit="1" customWidth="1"/>
    <col min="11350" max="11351" width="9.140625" style="55"/>
    <col min="11352" max="11352" width="10.28515625" style="55" bestFit="1" customWidth="1"/>
    <col min="11353" max="11354" width="9.140625" style="55"/>
    <col min="11355" max="11355" width="10.28515625" style="55" bestFit="1" customWidth="1"/>
    <col min="11356" max="11357" width="9.140625" style="55"/>
    <col min="11358" max="11358" width="10.28515625" style="55" bestFit="1" customWidth="1"/>
    <col min="11359" max="11360" width="9.140625" style="55"/>
    <col min="11361" max="11361" width="10.28515625" style="55" bestFit="1" customWidth="1"/>
    <col min="11362" max="11363" width="9.140625" style="55"/>
    <col min="11364" max="11364" width="10.28515625" style="55" bestFit="1" customWidth="1"/>
    <col min="11365" max="11366" width="9.140625" style="55"/>
    <col min="11367" max="11367" width="10.28515625" style="55" bestFit="1" customWidth="1"/>
    <col min="11368" max="11369" width="9.140625" style="55"/>
    <col min="11370" max="11370" width="10.28515625" style="55" bestFit="1" customWidth="1"/>
    <col min="11371" max="11372" width="9.140625" style="55"/>
    <col min="11373" max="11373" width="10.28515625" style="55" bestFit="1" customWidth="1"/>
    <col min="11374" max="11375" width="9.140625" style="55"/>
    <col min="11376" max="11376" width="10.28515625" style="55" bestFit="1" customWidth="1"/>
    <col min="11377" max="11378" width="9.140625" style="55"/>
    <col min="11379" max="11379" width="10.28515625" style="55" bestFit="1" customWidth="1"/>
    <col min="11380" max="11381" width="9.140625" style="55"/>
    <col min="11382" max="11382" width="10.28515625" style="55" bestFit="1" customWidth="1"/>
    <col min="11383" max="11384" width="9.140625" style="55"/>
    <col min="11385" max="11385" width="10.28515625" style="55" bestFit="1" customWidth="1"/>
    <col min="11386" max="11387" width="9.140625" style="55"/>
    <col min="11388" max="11388" width="10.28515625" style="55" bestFit="1" customWidth="1"/>
    <col min="11389" max="11390" width="9.140625" style="55"/>
    <col min="11391" max="11391" width="10.28515625" style="55" bestFit="1" customWidth="1"/>
    <col min="11392" max="11393" width="9.140625" style="55"/>
    <col min="11394" max="11394" width="10.28515625" style="55" bestFit="1" customWidth="1"/>
    <col min="11395" max="11396" width="9.140625" style="55"/>
    <col min="11397" max="11397" width="10.28515625" style="55" bestFit="1" customWidth="1"/>
    <col min="11398" max="11399" width="9.140625" style="55"/>
    <col min="11400" max="11400" width="10.28515625" style="55" bestFit="1" customWidth="1"/>
    <col min="11401" max="11402" width="9.140625" style="55"/>
    <col min="11403" max="11403" width="10.28515625" style="55" bestFit="1" customWidth="1"/>
    <col min="11404" max="11405" width="9.140625" style="55"/>
    <col min="11406" max="11406" width="10.28515625" style="55" bestFit="1" customWidth="1"/>
    <col min="11407" max="11408" width="9.140625" style="55"/>
    <col min="11409" max="11409" width="10.28515625" style="55" bestFit="1" customWidth="1"/>
    <col min="11410" max="11411" width="9.140625" style="55"/>
    <col min="11412" max="11412" width="10.28515625" style="55" bestFit="1" customWidth="1"/>
    <col min="11413" max="11414" width="9.140625" style="55"/>
    <col min="11415" max="11415" width="10.28515625" style="55" bestFit="1" customWidth="1"/>
    <col min="11416" max="11417" width="9.140625" style="55"/>
    <col min="11418" max="11418" width="10.28515625" style="55" bestFit="1" customWidth="1"/>
    <col min="11419" max="11420" width="9.140625" style="55"/>
    <col min="11421" max="11421" width="10.28515625" style="55" bestFit="1" customWidth="1"/>
    <col min="11422" max="11423" width="9.140625" style="55"/>
    <col min="11424" max="11424" width="10.28515625" style="55" bestFit="1" customWidth="1"/>
    <col min="11425" max="11426" width="9.140625" style="55"/>
    <col min="11427" max="11427" width="10.28515625" style="55" bestFit="1" customWidth="1"/>
    <col min="11428" max="11429" width="9.140625" style="55"/>
    <col min="11430" max="11430" width="10.28515625" style="55" bestFit="1" customWidth="1"/>
    <col min="11431" max="11432" width="9.140625" style="55"/>
    <col min="11433" max="11433" width="10.28515625" style="55" bestFit="1" customWidth="1"/>
    <col min="11434" max="11435" width="9.140625" style="55"/>
    <col min="11436" max="11436" width="10.28515625" style="55" bestFit="1" customWidth="1"/>
    <col min="11437" max="11438" width="9.140625" style="55"/>
    <col min="11439" max="11439" width="10.28515625" style="55" bestFit="1" customWidth="1"/>
    <col min="11440" max="11441" width="9.140625" style="55"/>
    <col min="11442" max="11442" width="10.28515625" style="55" bestFit="1" customWidth="1"/>
    <col min="11443" max="11444" width="9.140625" style="55"/>
    <col min="11445" max="11445" width="10.28515625" style="55" bestFit="1" customWidth="1"/>
    <col min="11446" max="11447" width="9.140625" style="55"/>
    <col min="11448" max="11448" width="10.28515625" style="55" bestFit="1" customWidth="1"/>
    <col min="11449" max="11450" width="9.140625" style="55"/>
    <col min="11451" max="11451" width="10.28515625" style="55" bestFit="1" customWidth="1"/>
    <col min="11452" max="11453" width="9.140625" style="55"/>
    <col min="11454" max="11454" width="10.28515625" style="55" bestFit="1" customWidth="1"/>
    <col min="11455" max="11456" width="9.140625" style="55"/>
    <col min="11457" max="11457" width="10.28515625" style="55" bestFit="1" customWidth="1"/>
    <col min="11458" max="11459" width="9.140625" style="55"/>
    <col min="11460" max="11460" width="10.28515625" style="55" bestFit="1" customWidth="1"/>
    <col min="11461" max="11462" width="9.140625" style="55"/>
    <col min="11463" max="11463" width="10.28515625" style="55" bestFit="1" customWidth="1"/>
    <col min="11464" max="11465" width="9.140625" style="55"/>
    <col min="11466" max="11466" width="10.28515625" style="55" bestFit="1" customWidth="1"/>
    <col min="11467" max="11468" width="9.140625" style="55"/>
    <col min="11469" max="11469" width="10.28515625" style="55" bestFit="1" customWidth="1"/>
    <col min="11470" max="11471" width="9.140625" style="55"/>
    <col min="11472" max="11472" width="10.28515625" style="55" bestFit="1" customWidth="1"/>
    <col min="11473" max="11474" width="9.140625" style="55"/>
    <col min="11475" max="11475" width="10.28515625" style="55" bestFit="1" customWidth="1"/>
    <col min="11476" max="11477" width="9.140625" style="55"/>
    <col min="11478" max="11478" width="10.28515625" style="55" bestFit="1" customWidth="1"/>
    <col min="11479" max="11480" width="9.140625" style="55"/>
    <col min="11481" max="11481" width="10.28515625" style="55" bestFit="1" customWidth="1"/>
    <col min="11482" max="11483" width="9.140625" style="55"/>
    <col min="11484" max="11484" width="10.28515625" style="55" bestFit="1" customWidth="1"/>
    <col min="11485" max="11520" width="9.140625" style="55"/>
    <col min="11521" max="11521" width="6.28515625" style="55" customWidth="1"/>
    <col min="11522" max="11522" width="81.42578125" style="55" customWidth="1"/>
    <col min="11523" max="11523" width="10" style="55" customWidth="1"/>
    <col min="11524" max="11524" width="15.85546875" style="55" customWidth="1"/>
    <col min="11525" max="11525" width="13.5703125" style="55" customWidth="1"/>
    <col min="11526" max="11526" width="12.7109375" style="55" customWidth="1"/>
    <col min="11527" max="11527" width="11.5703125" style="55" customWidth="1"/>
    <col min="11528" max="11528" width="13" style="55" customWidth="1"/>
    <col min="11529" max="11529" width="0" style="55" hidden="1" customWidth="1"/>
    <col min="11530" max="11530" width="11" style="55" customWidth="1"/>
    <col min="11531" max="11531" width="13.42578125" style="55" customWidth="1"/>
    <col min="11532" max="11532" width="12.5703125" style="55" customWidth="1"/>
    <col min="11533" max="11533" width="11.7109375" style="55" customWidth="1"/>
    <col min="11534" max="11534" width="12" style="55" customWidth="1"/>
    <col min="11535" max="11535" width="0" style="55" hidden="1" customWidth="1"/>
    <col min="11536" max="11536" width="13.28515625" style="55" customWidth="1"/>
    <col min="11537" max="11537" width="11.7109375" style="55" customWidth="1"/>
    <col min="11538" max="11538" width="11.42578125" style="55" customWidth="1"/>
    <col min="11539" max="11539" width="13" style="55" customWidth="1"/>
    <col min="11540" max="11540" width="13.42578125" style="55" customWidth="1"/>
    <col min="11541" max="11541" width="0" style="55" hidden="1" customWidth="1"/>
    <col min="11542" max="11542" width="13.28515625" style="55" customWidth="1"/>
    <col min="11543" max="11543" width="13.140625" style="55" customWidth="1"/>
    <col min="11544" max="11544" width="12.140625" style="55" customWidth="1"/>
    <col min="11545" max="11546" width="11.85546875" style="55" customWidth="1"/>
    <col min="11547" max="11547" width="0" style="55" hidden="1" customWidth="1"/>
    <col min="11548" max="11548" width="12.28515625" style="55" bestFit="1" customWidth="1"/>
    <col min="11549" max="11549" width="10.7109375" style="55" customWidth="1"/>
    <col min="11550" max="11550" width="11.85546875" style="55" customWidth="1"/>
    <col min="11551" max="11551" width="13.140625" style="55" customWidth="1"/>
    <col min="11552" max="11552" width="13" style="55" customWidth="1"/>
    <col min="11553" max="11553" width="0" style="55" hidden="1" customWidth="1"/>
    <col min="11554" max="11554" width="11" style="55" customWidth="1"/>
    <col min="11555" max="11555" width="13" style="55" customWidth="1"/>
    <col min="11556" max="11556" width="12.5703125" style="55" customWidth="1"/>
    <col min="11557" max="11557" width="11.85546875" style="55" customWidth="1"/>
    <col min="11558" max="11558" width="12.28515625" style="55" customWidth="1"/>
    <col min="11559" max="11559" width="0" style="55" hidden="1" customWidth="1"/>
    <col min="11560" max="11560" width="12.85546875" style="55" customWidth="1"/>
    <col min="11561" max="11567" width="0" style="55" hidden="1" customWidth="1"/>
    <col min="11568" max="11568" width="60.85546875" style="55" customWidth="1"/>
    <col min="11569" max="11574" width="27.42578125" style="55" customWidth="1"/>
    <col min="11575" max="11577" width="31.28515625" style="55" customWidth="1"/>
    <col min="11578" max="11578" width="27.42578125" style="55" customWidth="1"/>
    <col min="11579" max="11581" width="34.28515625" style="55" customWidth="1"/>
    <col min="11582" max="11585" width="27.42578125" style="55" customWidth="1"/>
    <col min="11586" max="11586" width="39.42578125" style="55" customWidth="1"/>
    <col min="11587" max="11587" width="41.28515625" style="55" customWidth="1"/>
    <col min="11588" max="11599" width="27.42578125" style="55" customWidth="1"/>
    <col min="11600" max="11601" width="9.140625" style="55"/>
    <col min="11602" max="11602" width="10.28515625" style="55" bestFit="1" customWidth="1"/>
    <col min="11603" max="11604" width="9.140625" style="55"/>
    <col min="11605" max="11605" width="10.28515625" style="55" bestFit="1" customWidth="1"/>
    <col min="11606" max="11607" width="9.140625" style="55"/>
    <col min="11608" max="11608" width="10.28515625" style="55" bestFit="1" customWidth="1"/>
    <col min="11609" max="11610" width="9.140625" style="55"/>
    <col min="11611" max="11611" width="10.28515625" style="55" bestFit="1" customWidth="1"/>
    <col min="11612" max="11613" width="9.140625" style="55"/>
    <col min="11614" max="11614" width="10.28515625" style="55" bestFit="1" customWidth="1"/>
    <col min="11615" max="11616" width="9.140625" style="55"/>
    <col min="11617" max="11617" width="10.28515625" style="55" bestFit="1" customWidth="1"/>
    <col min="11618" max="11619" width="9.140625" style="55"/>
    <col min="11620" max="11620" width="10.28515625" style="55" bestFit="1" customWidth="1"/>
    <col min="11621" max="11622" width="9.140625" style="55"/>
    <col min="11623" max="11623" width="10.28515625" style="55" bestFit="1" customWidth="1"/>
    <col min="11624" max="11625" width="9.140625" style="55"/>
    <col min="11626" max="11626" width="10.28515625" style="55" bestFit="1" customWidth="1"/>
    <col min="11627" max="11628" width="9.140625" style="55"/>
    <col min="11629" max="11629" width="10.28515625" style="55" bestFit="1" customWidth="1"/>
    <col min="11630" max="11631" width="9.140625" style="55"/>
    <col min="11632" max="11632" width="10.28515625" style="55" bestFit="1" customWidth="1"/>
    <col min="11633" max="11634" width="9.140625" style="55"/>
    <col min="11635" max="11635" width="10.28515625" style="55" bestFit="1" customWidth="1"/>
    <col min="11636" max="11637" width="9.140625" style="55"/>
    <col min="11638" max="11638" width="10.28515625" style="55" bestFit="1" customWidth="1"/>
    <col min="11639" max="11640" width="9.140625" style="55"/>
    <col min="11641" max="11641" width="10.28515625" style="55" bestFit="1" customWidth="1"/>
    <col min="11642" max="11643" width="9.140625" style="55"/>
    <col min="11644" max="11644" width="10.28515625" style="55" bestFit="1" customWidth="1"/>
    <col min="11645" max="11646" width="9.140625" style="55"/>
    <col min="11647" max="11647" width="10.28515625" style="55" bestFit="1" customWidth="1"/>
    <col min="11648" max="11649" width="9.140625" style="55"/>
    <col min="11650" max="11650" width="10.28515625" style="55" bestFit="1" customWidth="1"/>
    <col min="11651" max="11652" width="9.140625" style="55"/>
    <col min="11653" max="11653" width="10.28515625" style="55" bestFit="1" customWidth="1"/>
    <col min="11654" max="11655" width="9.140625" style="55"/>
    <col min="11656" max="11656" width="10.28515625" style="55" bestFit="1" customWidth="1"/>
    <col min="11657" max="11658" width="9.140625" style="55"/>
    <col min="11659" max="11659" width="10.28515625" style="55" bestFit="1" customWidth="1"/>
    <col min="11660" max="11661" width="9.140625" style="55"/>
    <col min="11662" max="11662" width="10.28515625" style="55" bestFit="1" customWidth="1"/>
    <col min="11663" max="11664" width="9.140625" style="55"/>
    <col min="11665" max="11665" width="10.28515625" style="55" bestFit="1" customWidth="1"/>
    <col min="11666" max="11667" width="9.140625" style="55"/>
    <col min="11668" max="11668" width="10.28515625" style="55" bestFit="1" customWidth="1"/>
    <col min="11669" max="11670" width="9.140625" style="55"/>
    <col min="11671" max="11671" width="10.28515625" style="55" bestFit="1" customWidth="1"/>
    <col min="11672" max="11673" width="9.140625" style="55"/>
    <col min="11674" max="11674" width="10.28515625" style="55" bestFit="1" customWidth="1"/>
    <col min="11675" max="11676" width="9.140625" style="55"/>
    <col min="11677" max="11677" width="10.28515625" style="55" bestFit="1" customWidth="1"/>
    <col min="11678" max="11679" width="9.140625" style="55"/>
    <col min="11680" max="11680" width="10.28515625" style="55" bestFit="1" customWidth="1"/>
    <col min="11681" max="11682" width="9.140625" style="55"/>
    <col min="11683" max="11683" width="10.28515625" style="55" bestFit="1" customWidth="1"/>
    <col min="11684" max="11685" width="9.140625" style="55"/>
    <col min="11686" max="11686" width="10.28515625" style="55" bestFit="1" customWidth="1"/>
    <col min="11687" max="11688" width="9.140625" style="55"/>
    <col min="11689" max="11689" width="10.28515625" style="55" bestFit="1" customWidth="1"/>
    <col min="11690" max="11691" width="9.140625" style="55"/>
    <col min="11692" max="11692" width="10.28515625" style="55" bestFit="1" customWidth="1"/>
    <col min="11693" max="11694" width="9.140625" style="55"/>
    <col min="11695" max="11695" width="10.28515625" style="55" bestFit="1" customWidth="1"/>
    <col min="11696" max="11697" width="9.140625" style="55"/>
    <col min="11698" max="11698" width="10.28515625" style="55" bestFit="1" customWidth="1"/>
    <col min="11699" max="11700" width="9.140625" style="55"/>
    <col min="11701" max="11701" width="10.28515625" style="55" bestFit="1" customWidth="1"/>
    <col min="11702" max="11703" width="9.140625" style="55"/>
    <col min="11704" max="11704" width="10.28515625" style="55" bestFit="1" customWidth="1"/>
    <col min="11705" max="11706" width="9.140625" style="55"/>
    <col min="11707" max="11707" width="10.28515625" style="55" bestFit="1" customWidth="1"/>
    <col min="11708" max="11709" width="9.140625" style="55"/>
    <col min="11710" max="11710" width="10.28515625" style="55" bestFit="1" customWidth="1"/>
    <col min="11711" max="11712" width="9.140625" style="55"/>
    <col min="11713" max="11713" width="10.28515625" style="55" bestFit="1" customWidth="1"/>
    <col min="11714" max="11715" width="9.140625" style="55"/>
    <col min="11716" max="11716" width="10.28515625" style="55" bestFit="1" customWidth="1"/>
    <col min="11717" max="11718" width="9.140625" style="55"/>
    <col min="11719" max="11719" width="10.28515625" style="55" bestFit="1" customWidth="1"/>
    <col min="11720" max="11721" width="9.140625" style="55"/>
    <col min="11722" max="11722" width="10.28515625" style="55" bestFit="1" customWidth="1"/>
    <col min="11723" max="11724" width="9.140625" style="55"/>
    <col min="11725" max="11725" width="10.28515625" style="55" bestFit="1" customWidth="1"/>
    <col min="11726" max="11727" width="9.140625" style="55"/>
    <col min="11728" max="11728" width="10.28515625" style="55" bestFit="1" customWidth="1"/>
    <col min="11729" max="11730" width="9.140625" style="55"/>
    <col min="11731" max="11731" width="10.28515625" style="55" bestFit="1" customWidth="1"/>
    <col min="11732" max="11733" width="9.140625" style="55"/>
    <col min="11734" max="11734" width="10.28515625" style="55" bestFit="1" customWidth="1"/>
    <col min="11735" max="11736" width="9.140625" style="55"/>
    <col min="11737" max="11737" width="10.28515625" style="55" bestFit="1" customWidth="1"/>
    <col min="11738" max="11739" width="9.140625" style="55"/>
    <col min="11740" max="11740" width="10.28515625" style="55" bestFit="1" customWidth="1"/>
    <col min="11741" max="11776" width="9.140625" style="55"/>
    <col min="11777" max="11777" width="6.28515625" style="55" customWidth="1"/>
    <col min="11778" max="11778" width="81.42578125" style="55" customWidth="1"/>
    <col min="11779" max="11779" width="10" style="55" customWidth="1"/>
    <col min="11780" max="11780" width="15.85546875" style="55" customWidth="1"/>
    <col min="11781" max="11781" width="13.5703125" style="55" customWidth="1"/>
    <col min="11782" max="11782" width="12.7109375" style="55" customWidth="1"/>
    <col min="11783" max="11783" width="11.5703125" style="55" customWidth="1"/>
    <col min="11784" max="11784" width="13" style="55" customWidth="1"/>
    <col min="11785" max="11785" width="0" style="55" hidden="1" customWidth="1"/>
    <col min="11786" max="11786" width="11" style="55" customWidth="1"/>
    <col min="11787" max="11787" width="13.42578125" style="55" customWidth="1"/>
    <col min="11788" max="11788" width="12.5703125" style="55" customWidth="1"/>
    <col min="11789" max="11789" width="11.7109375" style="55" customWidth="1"/>
    <col min="11790" max="11790" width="12" style="55" customWidth="1"/>
    <col min="11791" max="11791" width="0" style="55" hidden="1" customWidth="1"/>
    <col min="11792" max="11792" width="13.28515625" style="55" customWidth="1"/>
    <col min="11793" max="11793" width="11.7109375" style="55" customWidth="1"/>
    <col min="11794" max="11794" width="11.42578125" style="55" customWidth="1"/>
    <col min="11795" max="11795" width="13" style="55" customWidth="1"/>
    <col min="11796" max="11796" width="13.42578125" style="55" customWidth="1"/>
    <col min="11797" max="11797" width="0" style="55" hidden="1" customWidth="1"/>
    <col min="11798" max="11798" width="13.28515625" style="55" customWidth="1"/>
    <col min="11799" max="11799" width="13.140625" style="55" customWidth="1"/>
    <col min="11800" max="11800" width="12.140625" style="55" customWidth="1"/>
    <col min="11801" max="11802" width="11.85546875" style="55" customWidth="1"/>
    <col min="11803" max="11803" width="0" style="55" hidden="1" customWidth="1"/>
    <col min="11804" max="11804" width="12.28515625" style="55" bestFit="1" customWidth="1"/>
    <col min="11805" max="11805" width="10.7109375" style="55" customWidth="1"/>
    <col min="11806" max="11806" width="11.85546875" style="55" customWidth="1"/>
    <col min="11807" max="11807" width="13.140625" style="55" customWidth="1"/>
    <col min="11808" max="11808" width="13" style="55" customWidth="1"/>
    <col min="11809" max="11809" width="0" style="55" hidden="1" customWidth="1"/>
    <col min="11810" max="11810" width="11" style="55" customWidth="1"/>
    <col min="11811" max="11811" width="13" style="55" customWidth="1"/>
    <col min="11812" max="11812" width="12.5703125" style="55" customWidth="1"/>
    <col min="11813" max="11813" width="11.85546875" style="55" customWidth="1"/>
    <col min="11814" max="11814" width="12.28515625" style="55" customWidth="1"/>
    <col min="11815" max="11815" width="0" style="55" hidden="1" customWidth="1"/>
    <col min="11816" max="11816" width="12.85546875" style="55" customWidth="1"/>
    <col min="11817" max="11823" width="0" style="55" hidden="1" customWidth="1"/>
    <col min="11824" max="11824" width="60.85546875" style="55" customWidth="1"/>
    <col min="11825" max="11830" width="27.42578125" style="55" customWidth="1"/>
    <col min="11831" max="11833" width="31.28515625" style="55" customWidth="1"/>
    <col min="11834" max="11834" width="27.42578125" style="55" customWidth="1"/>
    <col min="11835" max="11837" width="34.28515625" style="55" customWidth="1"/>
    <col min="11838" max="11841" width="27.42578125" style="55" customWidth="1"/>
    <col min="11842" max="11842" width="39.42578125" style="55" customWidth="1"/>
    <col min="11843" max="11843" width="41.28515625" style="55" customWidth="1"/>
    <col min="11844" max="11855" width="27.42578125" style="55" customWidth="1"/>
    <col min="11856" max="11857" width="9.140625" style="55"/>
    <col min="11858" max="11858" width="10.28515625" style="55" bestFit="1" customWidth="1"/>
    <col min="11859" max="11860" width="9.140625" style="55"/>
    <col min="11861" max="11861" width="10.28515625" style="55" bestFit="1" customWidth="1"/>
    <col min="11862" max="11863" width="9.140625" style="55"/>
    <col min="11864" max="11864" width="10.28515625" style="55" bestFit="1" customWidth="1"/>
    <col min="11865" max="11866" width="9.140625" style="55"/>
    <col min="11867" max="11867" width="10.28515625" style="55" bestFit="1" customWidth="1"/>
    <col min="11868" max="11869" width="9.140625" style="55"/>
    <col min="11870" max="11870" width="10.28515625" style="55" bestFit="1" customWidth="1"/>
    <col min="11871" max="11872" width="9.140625" style="55"/>
    <col min="11873" max="11873" width="10.28515625" style="55" bestFit="1" customWidth="1"/>
    <col min="11874" max="11875" width="9.140625" style="55"/>
    <col min="11876" max="11876" width="10.28515625" style="55" bestFit="1" customWidth="1"/>
    <col min="11877" max="11878" width="9.140625" style="55"/>
    <col min="11879" max="11879" width="10.28515625" style="55" bestFit="1" customWidth="1"/>
    <col min="11880" max="11881" width="9.140625" style="55"/>
    <col min="11882" max="11882" width="10.28515625" style="55" bestFit="1" customWidth="1"/>
    <col min="11883" max="11884" width="9.140625" style="55"/>
    <col min="11885" max="11885" width="10.28515625" style="55" bestFit="1" customWidth="1"/>
    <col min="11886" max="11887" width="9.140625" style="55"/>
    <col min="11888" max="11888" width="10.28515625" style="55" bestFit="1" customWidth="1"/>
    <col min="11889" max="11890" width="9.140625" style="55"/>
    <col min="11891" max="11891" width="10.28515625" style="55" bestFit="1" customWidth="1"/>
    <col min="11892" max="11893" width="9.140625" style="55"/>
    <col min="11894" max="11894" width="10.28515625" style="55" bestFit="1" customWidth="1"/>
    <col min="11895" max="11896" width="9.140625" style="55"/>
    <col min="11897" max="11897" width="10.28515625" style="55" bestFit="1" customWidth="1"/>
    <col min="11898" max="11899" width="9.140625" style="55"/>
    <col min="11900" max="11900" width="10.28515625" style="55" bestFit="1" customWidth="1"/>
    <col min="11901" max="11902" width="9.140625" style="55"/>
    <col min="11903" max="11903" width="10.28515625" style="55" bestFit="1" customWidth="1"/>
    <col min="11904" max="11905" width="9.140625" style="55"/>
    <col min="11906" max="11906" width="10.28515625" style="55" bestFit="1" customWidth="1"/>
    <col min="11907" max="11908" width="9.140625" style="55"/>
    <col min="11909" max="11909" width="10.28515625" style="55" bestFit="1" customWidth="1"/>
    <col min="11910" max="11911" width="9.140625" style="55"/>
    <col min="11912" max="11912" width="10.28515625" style="55" bestFit="1" customWidth="1"/>
    <col min="11913" max="11914" width="9.140625" style="55"/>
    <col min="11915" max="11915" width="10.28515625" style="55" bestFit="1" customWidth="1"/>
    <col min="11916" max="11917" width="9.140625" style="55"/>
    <col min="11918" max="11918" width="10.28515625" style="55" bestFit="1" customWidth="1"/>
    <col min="11919" max="11920" width="9.140625" style="55"/>
    <col min="11921" max="11921" width="10.28515625" style="55" bestFit="1" customWidth="1"/>
    <col min="11922" max="11923" width="9.140625" style="55"/>
    <col min="11924" max="11924" width="10.28515625" style="55" bestFit="1" customWidth="1"/>
    <col min="11925" max="11926" width="9.140625" style="55"/>
    <col min="11927" max="11927" width="10.28515625" style="55" bestFit="1" customWidth="1"/>
    <col min="11928" max="11929" width="9.140625" style="55"/>
    <col min="11930" max="11930" width="10.28515625" style="55" bestFit="1" customWidth="1"/>
    <col min="11931" max="11932" width="9.140625" style="55"/>
    <col min="11933" max="11933" width="10.28515625" style="55" bestFit="1" customWidth="1"/>
    <col min="11934" max="11935" width="9.140625" style="55"/>
    <col min="11936" max="11936" width="10.28515625" style="55" bestFit="1" customWidth="1"/>
    <col min="11937" max="11938" width="9.140625" style="55"/>
    <col min="11939" max="11939" width="10.28515625" style="55" bestFit="1" customWidth="1"/>
    <col min="11940" max="11941" width="9.140625" style="55"/>
    <col min="11942" max="11942" width="10.28515625" style="55" bestFit="1" customWidth="1"/>
    <col min="11943" max="11944" width="9.140625" style="55"/>
    <col min="11945" max="11945" width="10.28515625" style="55" bestFit="1" customWidth="1"/>
    <col min="11946" max="11947" width="9.140625" style="55"/>
    <col min="11948" max="11948" width="10.28515625" style="55" bestFit="1" customWidth="1"/>
    <col min="11949" max="11950" width="9.140625" style="55"/>
    <col min="11951" max="11951" width="10.28515625" style="55" bestFit="1" customWidth="1"/>
    <col min="11952" max="11953" width="9.140625" style="55"/>
    <col min="11954" max="11954" width="10.28515625" style="55" bestFit="1" customWidth="1"/>
    <col min="11955" max="11956" width="9.140625" style="55"/>
    <col min="11957" max="11957" width="10.28515625" style="55" bestFit="1" customWidth="1"/>
    <col min="11958" max="11959" width="9.140625" style="55"/>
    <col min="11960" max="11960" width="10.28515625" style="55" bestFit="1" customWidth="1"/>
    <col min="11961" max="11962" width="9.140625" style="55"/>
    <col min="11963" max="11963" width="10.28515625" style="55" bestFit="1" customWidth="1"/>
    <col min="11964" max="11965" width="9.140625" style="55"/>
    <col min="11966" max="11966" width="10.28515625" style="55" bestFit="1" customWidth="1"/>
    <col min="11967" max="11968" width="9.140625" style="55"/>
    <col min="11969" max="11969" width="10.28515625" style="55" bestFit="1" customWidth="1"/>
    <col min="11970" max="11971" width="9.140625" style="55"/>
    <col min="11972" max="11972" width="10.28515625" style="55" bestFit="1" customWidth="1"/>
    <col min="11973" max="11974" width="9.140625" style="55"/>
    <col min="11975" max="11975" width="10.28515625" style="55" bestFit="1" customWidth="1"/>
    <col min="11976" max="11977" width="9.140625" style="55"/>
    <col min="11978" max="11978" width="10.28515625" style="55" bestFit="1" customWidth="1"/>
    <col min="11979" max="11980" width="9.140625" style="55"/>
    <col min="11981" max="11981" width="10.28515625" style="55" bestFit="1" customWidth="1"/>
    <col min="11982" max="11983" width="9.140625" style="55"/>
    <col min="11984" max="11984" width="10.28515625" style="55" bestFit="1" customWidth="1"/>
    <col min="11985" max="11986" width="9.140625" style="55"/>
    <col min="11987" max="11987" width="10.28515625" style="55" bestFit="1" customWidth="1"/>
    <col min="11988" max="11989" width="9.140625" style="55"/>
    <col min="11990" max="11990" width="10.28515625" style="55" bestFit="1" customWidth="1"/>
    <col min="11991" max="11992" width="9.140625" style="55"/>
    <col min="11993" max="11993" width="10.28515625" style="55" bestFit="1" customWidth="1"/>
    <col min="11994" max="11995" width="9.140625" style="55"/>
    <col min="11996" max="11996" width="10.28515625" style="55" bestFit="1" customWidth="1"/>
    <col min="11997" max="12032" width="9.140625" style="55"/>
    <col min="12033" max="12033" width="6.28515625" style="55" customWidth="1"/>
    <col min="12034" max="12034" width="81.42578125" style="55" customWidth="1"/>
    <col min="12035" max="12035" width="10" style="55" customWidth="1"/>
    <col min="12036" max="12036" width="15.85546875" style="55" customWidth="1"/>
    <col min="12037" max="12037" width="13.5703125" style="55" customWidth="1"/>
    <col min="12038" max="12038" width="12.7109375" style="55" customWidth="1"/>
    <col min="12039" max="12039" width="11.5703125" style="55" customWidth="1"/>
    <col min="12040" max="12040" width="13" style="55" customWidth="1"/>
    <col min="12041" max="12041" width="0" style="55" hidden="1" customWidth="1"/>
    <col min="12042" max="12042" width="11" style="55" customWidth="1"/>
    <col min="12043" max="12043" width="13.42578125" style="55" customWidth="1"/>
    <col min="12044" max="12044" width="12.5703125" style="55" customWidth="1"/>
    <col min="12045" max="12045" width="11.7109375" style="55" customWidth="1"/>
    <col min="12046" max="12046" width="12" style="55" customWidth="1"/>
    <col min="12047" max="12047" width="0" style="55" hidden="1" customWidth="1"/>
    <col min="12048" max="12048" width="13.28515625" style="55" customWidth="1"/>
    <col min="12049" max="12049" width="11.7109375" style="55" customWidth="1"/>
    <col min="12050" max="12050" width="11.42578125" style="55" customWidth="1"/>
    <col min="12051" max="12051" width="13" style="55" customWidth="1"/>
    <col min="12052" max="12052" width="13.42578125" style="55" customWidth="1"/>
    <col min="12053" max="12053" width="0" style="55" hidden="1" customWidth="1"/>
    <col min="12054" max="12054" width="13.28515625" style="55" customWidth="1"/>
    <col min="12055" max="12055" width="13.140625" style="55" customWidth="1"/>
    <col min="12056" max="12056" width="12.140625" style="55" customWidth="1"/>
    <col min="12057" max="12058" width="11.85546875" style="55" customWidth="1"/>
    <col min="12059" max="12059" width="0" style="55" hidden="1" customWidth="1"/>
    <col min="12060" max="12060" width="12.28515625" style="55" bestFit="1" customWidth="1"/>
    <col min="12061" max="12061" width="10.7109375" style="55" customWidth="1"/>
    <col min="12062" max="12062" width="11.85546875" style="55" customWidth="1"/>
    <col min="12063" max="12063" width="13.140625" style="55" customWidth="1"/>
    <col min="12064" max="12064" width="13" style="55" customWidth="1"/>
    <col min="12065" max="12065" width="0" style="55" hidden="1" customWidth="1"/>
    <col min="12066" max="12066" width="11" style="55" customWidth="1"/>
    <col min="12067" max="12067" width="13" style="55" customWidth="1"/>
    <col min="12068" max="12068" width="12.5703125" style="55" customWidth="1"/>
    <col min="12069" max="12069" width="11.85546875" style="55" customWidth="1"/>
    <col min="12070" max="12070" width="12.28515625" style="55" customWidth="1"/>
    <col min="12071" max="12071" width="0" style="55" hidden="1" customWidth="1"/>
    <col min="12072" max="12072" width="12.85546875" style="55" customWidth="1"/>
    <col min="12073" max="12079" width="0" style="55" hidden="1" customWidth="1"/>
    <col min="12080" max="12080" width="60.85546875" style="55" customWidth="1"/>
    <col min="12081" max="12086" width="27.42578125" style="55" customWidth="1"/>
    <col min="12087" max="12089" width="31.28515625" style="55" customWidth="1"/>
    <col min="12090" max="12090" width="27.42578125" style="55" customWidth="1"/>
    <col min="12091" max="12093" width="34.28515625" style="55" customWidth="1"/>
    <col min="12094" max="12097" width="27.42578125" style="55" customWidth="1"/>
    <col min="12098" max="12098" width="39.42578125" style="55" customWidth="1"/>
    <col min="12099" max="12099" width="41.28515625" style="55" customWidth="1"/>
    <col min="12100" max="12111" width="27.42578125" style="55" customWidth="1"/>
    <col min="12112" max="12113" width="9.140625" style="55"/>
    <col min="12114" max="12114" width="10.28515625" style="55" bestFit="1" customWidth="1"/>
    <col min="12115" max="12116" width="9.140625" style="55"/>
    <col min="12117" max="12117" width="10.28515625" style="55" bestFit="1" customWidth="1"/>
    <col min="12118" max="12119" width="9.140625" style="55"/>
    <col min="12120" max="12120" width="10.28515625" style="55" bestFit="1" customWidth="1"/>
    <col min="12121" max="12122" width="9.140625" style="55"/>
    <col min="12123" max="12123" width="10.28515625" style="55" bestFit="1" customWidth="1"/>
    <col min="12124" max="12125" width="9.140625" style="55"/>
    <col min="12126" max="12126" width="10.28515625" style="55" bestFit="1" customWidth="1"/>
    <col min="12127" max="12128" width="9.140625" style="55"/>
    <col min="12129" max="12129" width="10.28515625" style="55" bestFit="1" customWidth="1"/>
    <col min="12130" max="12131" width="9.140625" style="55"/>
    <col min="12132" max="12132" width="10.28515625" style="55" bestFit="1" customWidth="1"/>
    <col min="12133" max="12134" width="9.140625" style="55"/>
    <col min="12135" max="12135" width="10.28515625" style="55" bestFit="1" customWidth="1"/>
    <col min="12136" max="12137" width="9.140625" style="55"/>
    <col min="12138" max="12138" width="10.28515625" style="55" bestFit="1" customWidth="1"/>
    <col min="12139" max="12140" width="9.140625" style="55"/>
    <col min="12141" max="12141" width="10.28515625" style="55" bestFit="1" customWidth="1"/>
    <col min="12142" max="12143" width="9.140625" style="55"/>
    <col min="12144" max="12144" width="10.28515625" style="55" bestFit="1" customWidth="1"/>
    <col min="12145" max="12146" width="9.140625" style="55"/>
    <col min="12147" max="12147" width="10.28515625" style="55" bestFit="1" customWidth="1"/>
    <col min="12148" max="12149" width="9.140625" style="55"/>
    <col min="12150" max="12150" width="10.28515625" style="55" bestFit="1" customWidth="1"/>
    <col min="12151" max="12152" width="9.140625" style="55"/>
    <col min="12153" max="12153" width="10.28515625" style="55" bestFit="1" customWidth="1"/>
    <col min="12154" max="12155" width="9.140625" style="55"/>
    <col min="12156" max="12156" width="10.28515625" style="55" bestFit="1" customWidth="1"/>
    <col min="12157" max="12158" width="9.140625" style="55"/>
    <col min="12159" max="12159" width="10.28515625" style="55" bestFit="1" customWidth="1"/>
    <col min="12160" max="12161" width="9.140625" style="55"/>
    <col min="12162" max="12162" width="10.28515625" style="55" bestFit="1" customWidth="1"/>
    <col min="12163" max="12164" width="9.140625" style="55"/>
    <col min="12165" max="12165" width="10.28515625" style="55" bestFit="1" customWidth="1"/>
    <col min="12166" max="12167" width="9.140625" style="55"/>
    <col min="12168" max="12168" width="10.28515625" style="55" bestFit="1" customWidth="1"/>
    <col min="12169" max="12170" width="9.140625" style="55"/>
    <col min="12171" max="12171" width="10.28515625" style="55" bestFit="1" customWidth="1"/>
    <col min="12172" max="12173" width="9.140625" style="55"/>
    <col min="12174" max="12174" width="10.28515625" style="55" bestFit="1" customWidth="1"/>
    <col min="12175" max="12176" width="9.140625" style="55"/>
    <col min="12177" max="12177" width="10.28515625" style="55" bestFit="1" customWidth="1"/>
    <col min="12178" max="12179" width="9.140625" style="55"/>
    <col min="12180" max="12180" width="10.28515625" style="55" bestFit="1" customWidth="1"/>
    <col min="12181" max="12182" width="9.140625" style="55"/>
    <col min="12183" max="12183" width="10.28515625" style="55" bestFit="1" customWidth="1"/>
    <col min="12184" max="12185" width="9.140625" style="55"/>
    <col min="12186" max="12186" width="10.28515625" style="55" bestFit="1" customWidth="1"/>
    <col min="12187" max="12188" width="9.140625" style="55"/>
    <col min="12189" max="12189" width="10.28515625" style="55" bestFit="1" customWidth="1"/>
    <col min="12190" max="12191" width="9.140625" style="55"/>
    <col min="12192" max="12192" width="10.28515625" style="55" bestFit="1" customWidth="1"/>
    <col min="12193" max="12194" width="9.140625" style="55"/>
    <col min="12195" max="12195" width="10.28515625" style="55" bestFit="1" customWidth="1"/>
    <col min="12196" max="12197" width="9.140625" style="55"/>
    <col min="12198" max="12198" width="10.28515625" style="55" bestFit="1" customWidth="1"/>
    <col min="12199" max="12200" width="9.140625" style="55"/>
    <col min="12201" max="12201" width="10.28515625" style="55" bestFit="1" customWidth="1"/>
    <col min="12202" max="12203" width="9.140625" style="55"/>
    <col min="12204" max="12204" width="10.28515625" style="55" bestFit="1" customWidth="1"/>
    <col min="12205" max="12206" width="9.140625" style="55"/>
    <col min="12207" max="12207" width="10.28515625" style="55" bestFit="1" customWidth="1"/>
    <col min="12208" max="12209" width="9.140625" style="55"/>
    <col min="12210" max="12210" width="10.28515625" style="55" bestFit="1" customWidth="1"/>
    <col min="12211" max="12212" width="9.140625" style="55"/>
    <col min="12213" max="12213" width="10.28515625" style="55" bestFit="1" customWidth="1"/>
    <col min="12214" max="12215" width="9.140625" style="55"/>
    <col min="12216" max="12216" width="10.28515625" style="55" bestFit="1" customWidth="1"/>
    <col min="12217" max="12218" width="9.140625" style="55"/>
    <col min="12219" max="12219" width="10.28515625" style="55" bestFit="1" customWidth="1"/>
    <col min="12220" max="12221" width="9.140625" style="55"/>
    <col min="12222" max="12222" width="10.28515625" style="55" bestFit="1" customWidth="1"/>
    <col min="12223" max="12224" width="9.140625" style="55"/>
    <col min="12225" max="12225" width="10.28515625" style="55" bestFit="1" customWidth="1"/>
    <col min="12226" max="12227" width="9.140625" style="55"/>
    <col min="12228" max="12228" width="10.28515625" style="55" bestFit="1" customWidth="1"/>
    <col min="12229" max="12230" width="9.140625" style="55"/>
    <col min="12231" max="12231" width="10.28515625" style="55" bestFit="1" customWidth="1"/>
    <col min="12232" max="12233" width="9.140625" style="55"/>
    <col min="12234" max="12234" width="10.28515625" style="55" bestFit="1" customWidth="1"/>
    <col min="12235" max="12236" width="9.140625" style="55"/>
    <col min="12237" max="12237" width="10.28515625" style="55" bestFit="1" customWidth="1"/>
    <col min="12238" max="12239" width="9.140625" style="55"/>
    <col min="12240" max="12240" width="10.28515625" style="55" bestFit="1" customWidth="1"/>
    <col min="12241" max="12242" width="9.140625" style="55"/>
    <col min="12243" max="12243" width="10.28515625" style="55" bestFit="1" customWidth="1"/>
    <col min="12244" max="12245" width="9.140625" style="55"/>
    <col min="12246" max="12246" width="10.28515625" style="55" bestFit="1" customWidth="1"/>
    <col min="12247" max="12248" width="9.140625" style="55"/>
    <col min="12249" max="12249" width="10.28515625" style="55" bestFit="1" customWidth="1"/>
    <col min="12250" max="12251" width="9.140625" style="55"/>
    <col min="12252" max="12252" width="10.28515625" style="55" bestFit="1" customWidth="1"/>
    <col min="12253" max="12288" width="9.140625" style="55"/>
    <col min="12289" max="12289" width="6.28515625" style="55" customWidth="1"/>
    <col min="12290" max="12290" width="81.42578125" style="55" customWidth="1"/>
    <col min="12291" max="12291" width="10" style="55" customWidth="1"/>
    <col min="12292" max="12292" width="15.85546875" style="55" customWidth="1"/>
    <col min="12293" max="12293" width="13.5703125" style="55" customWidth="1"/>
    <col min="12294" max="12294" width="12.7109375" style="55" customWidth="1"/>
    <col min="12295" max="12295" width="11.5703125" style="55" customWidth="1"/>
    <col min="12296" max="12296" width="13" style="55" customWidth="1"/>
    <col min="12297" max="12297" width="0" style="55" hidden="1" customWidth="1"/>
    <col min="12298" max="12298" width="11" style="55" customWidth="1"/>
    <col min="12299" max="12299" width="13.42578125" style="55" customWidth="1"/>
    <col min="12300" max="12300" width="12.5703125" style="55" customWidth="1"/>
    <col min="12301" max="12301" width="11.7109375" style="55" customWidth="1"/>
    <col min="12302" max="12302" width="12" style="55" customWidth="1"/>
    <col min="12303" max="12303" width="0" style="55" hidden="1" customWidth="1"/>
    <col min="12304" max="12304" width="13.28515625" style="55" customWidth="1"/>
    <col min="12305" max="12305" width="11.7109375" style="55" customWidth="1"/>
    <col min="12306" max="12306" width="11.42578125" style="55" customWidth="1"/>
    <col min="12307" max="12307" width="13" style="55" customWidth="1"/>
    <col min="12308" max="12308" width="13.42578125" style="55" customWidth="1"/>
    <col min="12309" max="12309" width="0" style="55" hidden="1" customWidth="1"/>
    <col min="12310" max="12310" width="13.28515625" style="55" customWidth="1"/>
    <col min="12311" max="12311" width="13.140625" style="55" customWidth="1"/>
    <col min="12312" max="12312" width="12.140625" style="55" customWidth="1"/>
    <col min="12313" max="12314" width="11.85546875" style="55" customWidth="1"/>
    <col min="12315" max="12315" width="0" style="55" hidden="1" customWidth="1"/>
    <col min="12316" max="12316" width="12.28515625" style="55" bestFit="1" customWidth="1"/>
    <col min="12317" max="12317" width="10.7109375" style="55" customWidth="1"/>
    <col min="12318" max="12318" width="11.85546875" style="55" customWidth="1"/>
    <col min="12319" max="12319" width="13.140625" style="55" customWidth="1"/>
    <col min="12320" max="12320" width="13" style="55" customWidth="1"/>
    <col min="12321" max="12321" width="0" style="55" hidden="1" customWidth="1"/>
    <col min="12322" max="12322" width="11" style="55" customWidth="1"/>
    <col min="12323" max="12323" width="13" style="55" customWidth="1"/>
    <col min="12324" max="12324" width="12.5703125" style="55" customWidth="1"/>
    <col min="12325" max="12325" width="11.85546875" style="55" customWidth="1"/>
    <col min="12326" max="12326" width="12.28515625" style="55" customWidth="1"/>
    <col min="12327" max="12327" width="0" style="55" hidden="1" customWidth="1"/>
    <col min="12328" max="12328" width="12.85546875" style="55" customWidth="1"/>
    <col min="12329" max="12335" width="0" style="55" hidden="1" customWidth="1"/>
    <col min="12336" max="12336" width="60.85546875" style="55" customWidth="1"/>
    <col min="12337" max="12342" width="27.42578125" style="55" customWidth="1"/>
    <col min="12343" max="12345" width="31.28515625" style="55" customWidth="1"/>
    <col min="12346" max="12346" width="27.42578125" style="55" customWidth="1"/>
    <col min="12347" max="12349" width="34.28515625" style="55" customWidth="1"/>
    <col min="12350" max="12353" width="27.42578125" style="55" customWidth="1"/>
    <col min="12354" max="12354" width="39.42578125" style="55" customWidth="1"/>
    <col min="12355" max="12355" width="41.28515625" style="55" customWidth="1"/>
    <col min="12356" max="12367" width="27.42578125" style="55" customWidth="1"/>
    <col min="12368" max="12369" width="9.140625" style="55"/>
    <col min="12370" max="12370" width="10.28515625" style="55" bestFit="1" customWidth="1"/>
    <col min="12371" max="12372" width="9.140625" style="55"/>
    <col min="12373" max="12373" width="10.28515625" style="55" bestFit="1" customWidth="1"/>
    <col min="12374" max="12375" width="9.140625" style="55"/>
    <col min="12376" max="12376" width="10.28515625" style="55" bestFit="1" customWidth="1"/>
    <col min="12377" max="12378" width="9.140625" style="55"/>
    <col min="12379" max="12379" width="10.28515625" style="55" bestFit="1" customWidth="1"/>
    <col min="12380" max="12381" width="9.140625" style="55"/>
    <col min="12382" max="12382" width="10.28515625" style="55" bestFit="1" customWidth="1"/>
    <col min="12383" max="12384" width="9.140625" style="55"/>
    <col min="12385" max="12385" width="10.28515625" style="55" bestFit="1" customWidth="1"/>
    <col min="12386" max="12387" width="9.140625" style="55"/>
    <col min="12388" max="12388" width="10.28515625" style="55" bestFit="1" customWidth="1"/>
    <col min="12389" max="12390" width="9.140625" style="55"/>
    <col min="12391" max="12391" width="10.28515625" style="55" bestFit="1" customWidth="1"/>
    <col min="12392" max="12393" width="9.140625" style="55"/>
    <col min="12394" max="12394" width="10.28515625" style="55" bestFit="1" customWidth="1"/>
    <col min="12395" max="12396" width="9.140625" style="55"/>
    <col min="12397" max="12397" width="10.28515625" style="55" bestFit="1" customWidth="1"/>
    <col min="12398" max="12399" width="9.140625" style="55"/>
    <col min="12400" max="12400" width="10.28515625" style="55" bestFit="1" customWidth="1"/>
    <col min="12401" max="12402" width="9.140625" style="55"/>
    <col min="12403" max="12403" width="10.28515625" style="55" bestFit="1" customWidth="1"/>
    <col min="12404" max="12405" width="9.140625" style="55"/>
    <col min="12406" max="12406" width="10.28515625" style="55" bestFit="1" customWidth="1"/>
    <col min="12407" max="12408" width="9.140625" style="55"/>
    <col min="12409" max="12409" width="10.28515625" style="55" bestFit="1" customWidth="1"/>
    <col min="12410" max="12411" width="9.140625" style="55"/>
    <col min="12412" max="12412" width="10.28515625" style="55" bestFit="1" customWidth="1"/>
    <col min="12413" max="12414" width="9.140625" style="55"/>
    <col min="12415" max="12415" width="10.28515625" style="55" bestFit="1" customWidth="1"/>
    <col min="12416" max="12417" width="9.140625" style="55"/>
    <col min="12418" max="12418" width="10.28515625" style="55" bestFit="1" customWidth="1"/>
    <col min="12419" max="12420" width="9.140625" style="55"/>
    <col min="12421" max="12421" width="10.28515625" style="55" bestFit="1" customWidth="1"/>
    <col min="12422" max="12423" width="9.140625" style="55"/>
    <col min="12424" max="12424" width="10.28515625" style="55" bestFit="1" customWidth="1"/>
    <col min="12425" max="12426" width="9.140625" style="55"/>
    <col min="12427" max="12427" width="10.28515625" style="55" bestFit="1" customWidth="1"/>
    <col min="12428" max="12429" width="9.140625" style="55"/>
    <col min="12430" max="12430" width="10.28515625" style="55" bestFit="1" customWidth="1"/>
    <col min="12431" max="12432" width="9.140625" style="55"/>
    <col min="12433" max="12433" width="10.28515625" style="55" bestFit="1" customWidth="1"/>
    <col min="12434" max="12435" width="9.140625" style="55"/>
    <col min="12436" max="12436" width="10.28515625" style="55" bestFit="1" customWidth="1"/>
    <col min="12437" max="12438" width="9.140625" style="55"/>
    <col min="12439" max="12439" width="10.28515625" style="55" bestFit="1" customWidth="1"/>
    <col min="12440" max="12441" width="9.140625" style="55"/>
    <col min="12442" max="12442" width="10.28515625" style="55" bestFit="1" customWidth="1"/>
    <col min="12443" max="12444" width="9.140625" style="55"/>
    <col min="12445" max="12445" width="10.28515625" style="55" bestFit="1" customWidth="1"/>
    <col min="12446" max="12447" width="9.140625" style="55"/>
    <col min="12448" max="12448" width="10.28515625" style="55" bestFit="1" customWidth="1"/>
    <col min="12449" max="12450" width="9.140625" style="55"/>
    <col min="12451" max="12451" width="10.28515625" style="55" bestFit="1" customWidth="1"/>
    <col min="12452" max="12453" width="9.140625" style="55"/>
    <col min="12454" max="12454" width="10.28515625" style="55" bestFit="1" customWidth="1"/>
    <col min="12455" max="12456" width="9.140625" style="55"/>
    <col min="12457" max="12457" width="10.28515625" style="55" bestFit="1" customWidth="1"/>
    <col min="12458" max="12459" width="9.140625" style="55"/>
    <col min="12460" max="12460" width="10.28515625" style="55" bestFit="1" customWidth="1"/>
    <col min="12461" max="12462" width="9.140625" style="55"/>
    <col min="12463" max="12463" width="10.28515625" style="55" bestFit="1" customWidth="1"/>
    <col min="12464" max="12465" width="9.140625" style="55"/>
    <col min="12466" max="12466" width="10.28515625" style="55" bestFit="1" customWidth="1"/>
    <col min="12467" max="12468" width="9.140625" style="55"/>
    <col min="12469" max="12469" width="10.28515625" style="55" bestFit="1" customWidth="1"/>
    <col min="12470" max="12471" width="9.140625" style="55"/>
    <col min="12472" max="12472" width="10.28515625" style="55" bestFit="1" customWidth="1"/>
    <col min="12473" max="12474" width="9.140625" style="55"/>
    <col min="12475" max="12475" width="10.28515625" style="55" bestFit="1" customWidth="1"/>
    <col min="12476" max="12477" width="9.140625" style="55"/>
    <col min="12478" max="12478" width="10.28515625" style="55" bestFit="1" customWidth="1"/>
    <col min="12479" max="12480" width="9.140625" style="55"/>
    <col min="12481" max="12481" width="10.28515625" style="55" bestFit="1" customWidth="1"/>
    <col min="12482" max="12483" width="9.140625" style="55"/>
    <col min="12484" max="12484" width="10.28515625" style="55" bestFit="1" customWidth="1"/>
    <col min="12485" max="12486" width="9.140625" style="55"/>
    <col min="12487" max="12487" width="10.28515625" style="55" bestFit="1" customWidth="1"/>
    <col min="12488" max="12489" width="9.140625" style="55"/>
    <col min="12490" max="12490" width="10.28515625" style="55" bestFit="1" customWidth="1"/>
    <col min="12491" max="12492" width="9.140625" style="55"/>
    <col min="12493" max="12493" width="10.28515625" style="55" bestFit="1" customWidth="1"/>
    <col min="12494" max="12495" width="9.140625" style="55"/>
    <col min="12496" max="12496" width="10.28515625" style="55" bestFit="1" customWidth="1"/>
    <col min="12497" max="12498" width="9.140625" style="55"/>
    <col min="12499" max="12499" width="10.28515625" style="55" bestFit="1" customWidth="1"/>
    <col min="12500" max="12501" width="9.140625" style="55"/>
    <col min="12502" max="12502" width="10.28515625" style="55" bestFit="1" customWidth="1"/>
    <col min="12503" max="12504" width="9.140625" style="55"/>
    <col min="12505" max="12505" width="10.28515625" style="55" bestFit="1" customWidth="1"/>
    <col min="12506" max="12507" width="9.140625" style="55"/>
    <col min="12508" max="12508" width="10.28515625" style="55" bestFit="1" customWidth="1"/>
    <col min="12509" max="12544" width="9.140625" style="55"/>
    <col min="12545" max="12545" width="6.28515625" style="55" customWidth="1"/>
    <col min="12546" max="12546" width="81.42578125" style="55" customWidth="1"/>
    <col min="12547" max="12547" width="10" style="55" customWidth="1"/>
    <col min="12548" max="12548" width="15.85546875" style="55" customWidth="1"/>
    <col min="12549" max="12549" width="13.5703125" style="55" customWidth="1"/>
    <col min="12550" max="12550" width="12.7109375" style="55" customWidth="1"/>
    <col min="12551" max="12551" width="11.5703125" style="55" customWidth="1"/>
    <col min="12552" max="12552" width="13" style="55" customWidth="1"/>
    <col min="12553" max="12553" width="0" style="55" hidden="1" customWidth="1"/>
    <col min="12554" max="12554" width="11" style="55" customWidth="1"/>
    <col min="12555" max="12555" width="13.42578125" style="55" customWidth="1"/>
    <col min="12556" max="12556" width="12.5703125" style="55" customWidth="1"/>
    <col min="12557" max="12557" width="11.7109375" style="55" customWidth="1"/>
    <col min="12558" max="12558" width="12" style="55" customWidth="1"/>
    <col min="12559" max="12559" width="0" style="55" hidden="1" customWidth="1"/>
    <col min="12560" max="12560" width="13.28515625" style="55" customWidth="1"/>
    <col min="12561" max="12561" width="11.7109375" style="55" customWidth="1"/>
    <col min="12562" max="12562" width="11.42578125" style="55" customWidth="1"/>
    <col min="12563" max="12563" width="13" style="55" customWidth="1"/>
    <col min="12564" max="12564" width="13.42578125" style="55" customWidth="1"/>
    <col min="12565" max="12565" width="0" style="55" hidden="1" customWidth="1"/>
    <col min="12566" max="12566" width="13.28515625" style="55" customWidth="1"/>
    <col min="12567" max="12567" width="13.140625" style="55" customWidth="1"/>
    <col min="12568" max="12568" width="12.140625" style="55" customWidth="1"/>
    <col min="12569" max="12570" width="11.85546875" style="55" customWidth="1"/>
    <col min="12571" max="12571" width="0" style="55" hidden="1" customWidth="1"/>
    <col min="12572" max="12572" width="12.28515625" style="55" bestFit="1" customWidth="1"/>
    <col min="12573" max="12573" width="10.7109375" style="55" customWidth="1"/>
    <col min="12574" max="12574" width="11.85546875" style="55" customWidth="1"/>
    <col min="12575" max="12575" width="13.140625" style="55" customWidth="1"/>
    <col min="12576" max="12576" width="13" style="55" customWidth="1"/>
    <col min="12577" max="12577" width="0" style="55" hidden="1" customWidth="1"/>
    <col min="12578" max="12578" width="11" style="55" customWidth="1"/>
    <col min="12579" max="12579" width="13" style="55" customWidth="1"/>
    <col min="12580" max="12580" width="12.5703125" style="55" customWidth="1"/>
    <col min="12581" max="12581" width="11.85546875" style="55" customWidth="1"/>
    <col min="12582" max="12582" width="12.28515625" style="55" customWidth="1"/>
    <col min="12583" max="12583" width="0" style="55" hidden="1" customWidth="1"/>
    <col min="12584" max="12584" width="12.85546875" style="55" customWidth="1"/>
    <col min="12585" max="12591" width="0" style="55" hidden="1" customWidth="1"/>
    <col min="12592" max="12592" width="60.85546875" style="55" customWidth="1"/>
    <col min="12593" max="12598" width="27.42578125" style="55" customWidth="1"/>
    <col min="12599" max="12601" width="31.28515625" style="55" customWidth="1"/>
    <col min="12602" max="12602" width="27.42578125" style="55" customWidth="1"/>
    <col min="12603" max="12605" width="34.28515625" style="55" customWidth="1"/>
    <col min="12606" max="12609" width="27.42578125" style="55" customWidth="1"/>
    <col min="12610" max="12610" width="39.42578125" style="55" customWidth="1"/>
    <col min="12611" max="12611" width="41.28515625" style="55" customWidth="1"/>
    <col min="12612" max="12623" width="27.42578125" style="55" customWidth="1"/>
    <col min="12624" max="12625" width="9.140625" style="55"/>
    <col min="12626" max="12626" width="10.28515625" style="55" bestFit="1" customWidth="1"/>
    <col min="12627" max="12628" width="9.140625" style="55"/>
    <col min="12629" max="12629" width="10.28515625" style="55" bestFit="1" customWidth="1"/>
    <col min="12630" max="12631" width="9.140625" style="55"/>
    <col min="12632" max="12632" width="10.28515625" style="55" bestFit="1" customWidth="1"/>
    <col min="12633" max="12634" width="9.140625" style="55"/>
    <col min="12635" max="12635" width="10.28515625" style="55" bestFit="1" customWidth="1"/>
    <col min="12636" max="12637" width="9.140625" style="55"/>
    <col min="12638" max="12638" width="10.28515625" style="55" bestFit="1" customWidth="1"/>
    <col min="12639" max="12640" width="9.140625" style="55"/>
    <col min="12641" max="12641" width="10.28515625" style="55" bestFit="1" customWidth="1"/>
    <col min="12642" max="12643" width="9.140625" style="55"/>
    <col min="12644" max="12644" width="10.28515625" style="55" bestFit="1" customWidth="1"/>
    <col min="12645" max="12646" width="9.140625" style="55"/>
    <col min="12647" max="12647" width="10.28515625" style="55" bestFit="1" customWidth="1"/>
    <col min="12648" max="12649" width="9.140625" style="55"/>
    <col min="12650" max="12650" width="10.28515625" style="55" bestFit="1" customWidth="1"/>
    <col min="12651" max="12652" width="9.140625" style="55"/>
    <col min="12653" max="12653" width="10.28515625" style="55" bestFit="1" customWidth="1"/>
    <col min="12654" max="12655" width="9.140625" style="55"/>
    <col min="12656" max="12656" width="10.28515625" style="55" bestFit="1" customWidth="1"/>
    <col min="12657" max="12658" width="9.140625" style="55"/>
    <col min="12659" max="12659" width="10.28515625" style="55" bestFit="1" customWidth="1"/>
    <col min="12660" max="12661" width="9.140625" style="55"/>
    <col min="12662" max="12662" width="10.28515625" style="55" bestFit="1" customWidth="1"/>
    <col min="12663" max="12664" width="9.140625" style="55"/>
    <col min="12665" max="12665" width="10.28515625" style="55" bestFit="1" customWidth="1"/>
    <col min="12666" max="12667" width="9.140625" style="55"/>
    <col min="12668" max="12668" width="10.28515625" style="55" bestFit="1" customWidth="1"/>
    <col min="12669" max="12670" width="9.140625" style="55"/>
    <col min="12671" max="12671" width="10.28515625" style="55" bestFit="1" customWidth="1"/>
    <col min="12672" max="12673" width="9.140625" style="55"/>
    <col min="12674" max="12674" width="10.28515625" style="55" bestFit="1" customWidth="1"/>
    <col min="12675" max="12676" width="9.140625" style="55"/>
    <col min="12677" max="12677" width="10.28515625" style="55" bestFit="1" customWidth="1"/>
    <col min="12678" max="12679" width="9.140625" style="55"/>
    <col min="12680" max="12680" width="10.28515625" style="55" bestFit="1" customWidth="1"/>
    <col min="12681" max="12682" width="9.140625" style="55"/>
    <col min="12683" max="12683" width="10.28515625" style="55" bestFit="1" customWidth="1"/>
    <col min="12684" max="12685" width="9.140625" style="55"/>
    <col min="12686" max="12686" width="10.28515625" style="55" bestFit="1" customWidth="1"/>
    <col min="12687" max="12688" width="9.140625" style="55"/>
    <col min="12689" max="12689" width="10.28515625" style="55" bestFit="1" customWidth="1"/>
    <col min="12690" max="12691" width="9.140625" style="55"/>
    <col min="12692" max="12692" width="10.28515625" style="55" bestFit="1" customWidth="1"/>
    <col min="12693" max="12694" width="9.140625" style="55"/>
    <col min="12695" max="12695" width="10.28515625" style="55" bestFit="1" customWidth="1"/>
    <col min="12696" max="12697" width="9.140625" style="55"/>
    <col min="12698" max="12698" width="10.28515625" style="55" bestFit="1" customWidth="1"/>
    <col min="12699" max="12700" width="9.140625" style="55"/>
    <col min="12701" max="12701" width="10.28515625" style="55" bestFit="1" customWidth="1"/>
    <col min="12702" max="12703" width="9.140625" style="55"/>
    <col min="12704" max="12704" width="10.28515625" style="55" bestFit="1" customWidth="1"/>
    <col min="12705" max="12706" width="9.140625" style="55"/>
    <col min="12707" max="12707" width="10.28515625" style="55" bestFit="1" customWidth="1"/>
    <col min="12708" max="12709" width="9.140625" style="55"/>
    <col min="12710" max="12710" width="10.28515625" style="55" bestFit="1" customWidth="1"/>
    <col min="12711" max="12712" width="9.140625" style="55"/>
    <col min="12713" max="12713" width="10.28515625" style="55" bestFit="1" customWidth="1"/>
    <col min="12714" max="12715" width="9.140625" style="55"/>
    <col min="12716" max="12716" width="10.28515625" style="55" bestFit="1" customWidth="1"/>
    <col min="12717" max="12718" width="9.140625" style="55"/>
    <col min="12719" max="12719" width="10.28515625" style="55" bestFit="1" customWidth="1"/>
    <col min="12720" max="12721" width="9.140625" style="55"/>
    <col min="12722" max="12722" width="10.28515625" style="55" bestFit="1" customWidth="1"/>
    <col min="12723" max="12724" width="9.140625" style="55"/>
    <col min="12725" max="12725" width="10.28515625" style="55" bestFit="1" customWidth="1"/>
    <col min="12726" max="12727" width="9.140625" style="55"/>
    <col min="12728" max="12728" width="10.28515625" style="55" bestFit="1" customWidth="1"/>
    <col min="12729" max="12730" width="9.140625" style="55"/>
    <col min="12731" max="12731" width="10.28515625" style="55" bestFit="1" customWidth="1"/>
    <col min="12732" max="12733" width="9.140625" style="55"/>
    <col min="12734" max="12734" width="10.28515625" style="55" bestFit="1" customWidth="1"/>
    <col min="12735" max="12736" width="9.140625" style="55"/>
    <col min="12737" max="12737" width="10.28515625" style="55" bestFit="1" customWidth="1"/>
    <col min="12738" max="12739" width="9.140625" style="55"/>
    <col min="12740" max="12740" width="10.28515625" style="55" bestFit="1" customWidth="1"/>
    <col min="12741" max="12742" width="9.140625" style="55"/>
    <col min="12743" max="12743" width="10.28515625" style="55" bestFit="1" customWidth="1"/>
    <col min="12744" max="12745" width="9.140625" style="55"/>
    <col min="12746" max="12746" width="10.28515625" style="55" bestFit="1" customWidth="1"/>
    <col min="12747" max="12748" width="9.140625" style="55"/>
    <col min="12749" max="12749" width="10.28515625" style="55" bestFit="1" customWidth="1"/>
    <col min="12750" max="12751" width="9.140625" style="55"/>
    <col min="12752" max="12752" width="10.28515625" style="55" bestFit="1" customWidth="1"/>
    <col min="12753" max="12754" width="9.140625" style="55"/>
    <col min="12755" max="12755" width="10.28515625" style="55" bestFit="1" customWidth="1"/>
    <col min="12756" max="12757" width="9.140625" style="55"/>
    <col min="12758" max="12758" width="10.28515625" style="55" bestFit="1" customWidth="1"/>
    <col min="12759" max="12760" width="9.140625" style="55"/>
    <col min="12761" max="12761" width="10.28515625" style="55" bestFit="1" customWidth="1"/>
    <col min="12762" max="12763" width="9.140625" style="55"/>
    <col min="12764" max="12764" width="10.28515625" style="55" bestFit="1" customWidth="1"/>
    <col min="12765" max="12800" width="9.140625" style="55"/>
    <col min="12801" max="12801" width="6.28515625" style="55" customWidth="1"/>
    <col min="12802" max="12802" width="81.42578125" style="55" customWidth="1"/>
    <col min="12803" max="12803" width="10" style="55" customWidth="1"/>
    <col min="12804" max="12804" width="15.85546875" style="55" customWidth="1"/>
    <col min="12805" max="12805" width="13.5703125" style="55" customWidth="1"/>
    <col min="12806" max="12806" width="12.7109375" style="55" customWidth="1"/>
    <col min="12807" max="12807" width="11.5703125" style="55" customWidth="1"/>
    <col min="12808" max="12808" width="13" style="55" customWidth="1"/>
    <col min="12809" max="12809" width="0" style="55" hidden="1" customWidth="1"/>
    <col min="12810" max="12810" width="11" style="55" customWidth="1"/>
    <col min="12811" max="12811" width="13.42578125" style="55" customWidth="1"/>
    <col min="12812" max="12812" width="12.5703125" style="55" customWidth="1"/>
    <col min="12813" max="12813" width="11.7109375" style="55" customWidth="1"/>
    <col min="12814" max="12814" width="12" style="55" customWidth="1"/>
    <col min="12815" max="12815" width="0" style="55" hidden="1" customWidth="1"/>
    <col min="12816" max="12816" width="13.28515625" style="55" customWidth="1"/>
    <col min="12817" max="12817" width="11.7109375" style="55" customWidth="1"/>
    <col min="12818" max="12818" width="11.42578125" style="55" customWidth="1"/>
    <col min="12819" max="12819" width="13" style="55" customWidth="1"/>
    <col min="12820" max="12820" width="13.42578125" style="55" customWidth="1"/>
    <col min="12821" max="12821" width="0" style="55" hidden="1" customWidth="1"/>
    <col min="12822" max="12822" width="13.28515625" style="55" customWidth="1"/>
    <col min="12823" max="12823" width="13.140625" style="55" customWidth="1"/>
    <col min="12824" max="12824" width="12.140625" style="55" customWidth="1"/>
    <col min="12825" max="12826" width="11.85546875" style="55" customWidth="1"/>
    <col min="12827" max="12827" width="0" style="55" hidden="1" customWidth="1"/>
    <col min="12828" max="12828" width="12.28515625" style="55" bestFit="1" customWidth="1"/>
    <col min="12829" max="12829" width="10.7109375" style="55" customWidth="1"/>
    <col min="12830" max="12830" width="11.85546875" style="55" customWidth="1"/>
    <col min="12831" max="12831" width="13.140625" style="55" customWidth="1"/>
    <col min="12832" max="12832" width="13" style="55" customWidth="1"/>
    <col min="12833" max="12833" width="0" style="55" hidden="1" customWidth="1"/>
    <col min="12834" max="12834" width="11" style="55" customWidth="1"/>
    <col min="12835" max="12835" width="13" style="55" customWidth="1"/>
    <col min="12836" max="12836" width="12.5703125" style="55" customWidth="1"/>
    <col min="12837" max="12837" width="11.85546875" style="55" customWidth="1"/>
    <col min="12838" max="12838" width="12.28515625" style="55" customWidth="1"/>
    <col min="12839" max="12839" width="0" style="55" hidden="1" customWidth="1"/>
    <col min="12840" max="12840" width="12.85546875" style="55" customWidth="1"/>
    <col min="12841" max="12847" width="0" style="55" hidden="1" customWidth="1"/>
    <col min="12848" max="12848" width="60.85546875" style="55" customWidth="1"/>
    <col min="12849" max="12854" width="27.42578125" style="55" customWidth="1"/>
    <col min="12855" max="12857" width="31.28515625" style="55" customWidth="1"/>
    <col min="12858" max="12858" width="27.42578125" style="55" customWidth="1"/>
    <col min="12859" max="12861" width="34.28515625" style="55" customWidth="1"/>
    <col min="12862" max="12865" width="27.42578125" style="55" customWidth="1"/>
    <col min="12866" max="12866" width="39.42578125" style="55" customWidth="1"/>
    <col min="12867" max="12867" width="41.28515625" style="55" customWidth="1"/>
    <col min="12868" max="12879" width="27.42578125" style="55" customWidth="1"/>
    <col min="12880" max="12881" width="9.140625" style="55"/>
    <col min="12882" max="12882" width="10.28515625" style="55" bestFit="1" customWidth="1"/>
    <col min="12883" max="12884" width="9.140625" style="55"/>
    <col min="12885" max="12885" width="10.28515625" style="55" bestFit="1" customWidth="1"/>
    <col min="12886" max="12887" width="9.140625" style="55"/>
    <col min="12888" max="12888" width="10.28515625" style="55" bestFit="1" customWidth="1"/>
    <col min="12889" max="12890" width="9.140625" style="55"/>
    <col min="12891" max="12891" width="10.28515625" style="55" bestFit="1" customWidth="1"/>
    <col min="12892" max="12893" width="9.140625" style="55"/>
    <col min="12894" max="12894" width="10.28515625" style="55" bestFit="1" customWidth="1"/>
    <col min="12895" max="12896" width="9.140625" style="55"/>
    <col min="12897" max="12897" width="10.28515625" style="55" bestFit="1" customWidth="1"/>
    <col min="12898" max="12899" width="9.140625" style="55"/>
    <col min="12900" max="12900" width="10.28515625" style="55" bestFit="1" customWidth="1"/>
    <col min="12901" max="12902" width="9.140625" style="55"/>
    <col min="12903" max="12903" width="10.28515625" style="55" bestFit="1" customWidth="1"/>
    <col min="12904" max="12905" width="9.140625" style="55"/>
    <col min="12906" max="12906" width="10.28515625" style="55" bestFit="1" customWidth="1"/>
    <col min="12907" max="12908" width="9.140625" style="55"/>
    <col min="12909" max="12909" width="10.28515625" style="55" bestFit="1" customWidth="1"/>
    <col min="12910" max="12911" width="9.140625" style="55"/>
    <col min="12912" max="12912" width="10.28515625" style="55" bestFit="1" customWidth="1"/>
    <col min="12913" max="12914" width="9.140625" style="55"/>
    <col min="12915" max="12915" width="10.28515625" style="55" bestFit="1" customWidth="1"/>
    <col min="12916" max="12917" width="9.140625" style="55"/>
    <col min="12918" max="12918" width="10.28515625" style="55" bestFit="1" customWidth="1"/>
    <col min="12919" max="12920" width="9.140625" style="55"/>
    <col min="12921" max="12921" width="10.28515625" style="55" bestFit="1" customWidth="1"/>
    <col min="12922" max="12923" width="9.140625" style="55"/>
    <col min="12924" max="12924" width="10.28515625" style="55" bestFit="1" customWidth="1"/>
    <col min="12925" max="12926" width="9.140625" style="55"/>
    <col min="12927" max="12927" width="10.28515625" style="55" bestFit="1" customWidth="1"/>
    <col min="12928" max="12929" width="9.140625" style="55"/>
    <col min="12930" max="12930" width="10.28515625" style="55" bestFit="1" customWidth="1"/>
    <col min="12931" max="12932" width="9.140625" style="55"/>
    <col min="12933" max="12933" width="10.28515625" style="55" bestFit="1" customWidth="1"/>
    <col min="12934" max="12935" width="9.140625" style="55"/>
    <col min="12936" max="12936" width="10.28515625" style="55" bestFit="1" customWidth="1"/>
    <col min="12937" max="12938" width="9.140625" style="55"/>
    <col min="12939" max="12939" width="10.28515625" style="55" bestFit="1" customWidth="1"/>
    <col min="12940" max="12941" width="9.140625" style="55"/>
    <col min="12942" max="12942" width="10.28515625" style="55" bestFit="1" customWidth="1"/>
    <col min="12943" max="12944" width="9.140625" style="55"/>
    <col min="12945" max="12945" width="10.28515625" style="55" bestFit="1" customWidth="1"/>
    <col min="12946" max="12947" width="9.140625" style="55"/>
    <col min="12948" max="12948" width="10.28515625" style="55" bestFit="1" customWidth="1"/>
    <col min="12949" max="12950" width="9.140625" style="55"/>
    <col min="12951" max="12951" width="10.28515625" style="55" bestFit="1" customWidth="1"/>
    <col min="12952" max="12953" width="9.140625" style="55"/>
    <col min="12954" max="12954" width="10.28515625" style="55" bestFit="1" customWidth="1"/>
    <col min="12955" max="12956" width="9.140625" style="55"/>
    <col min="12957" max="12957" width="10.28515625" style="55" bestFit="1" customWidth="1"/>
    <col min="12958" max="12959" width="9.140625" style="55"/>
    <col min="12960" max="12960" width="10.28515625" style="55" bestFit="1" customWidth="1"/>
    <col min="12961" max="12962" width="9.140625" style="55"/>
    <col min="12963" max="12963" width="10.28515625" style="55" bestFit="1" customWidth="1"/>
    <col min="12964" max="12965" width="9.140625" style="55"/>
    <col min="12966" max="12966" width="10.28515625" style="55" bestFit="1" customWidth="1"/>
    <col min="12967" max="12968" width="9.140625" style="55"/>
    <col min="12969" max="12969" width="10.28515625" style="55" bestFit="1" customWidth="1"/>
    <col min="12970" max="12971" width="9.140625" style="55"/>
    <col min="12972" max="12972" width="10.28515625" style="55" bestFit="1" customWidth="1"/>
    <col min="12973" max="12974" width="9.140625" style="55"/>
    <col min="12975" max="12975" width="10.28515625" style="55" bestFit="1" customWidth="1"/>
    <col min="12976" max="12977" width="9.140625" style="55"/>
    <col min="12978" max="12978" width="10.28515625" style="55" bestFit="1" customWidth="1"/>
    <col min="12979" max="12980" width="9.140625" style="55"/>
    <col min="12981" max="12981" width="10.28515625" style="55" bestFit="1" customWidth="1"/>
    <col min="12982" max="12983" width="9.140625" style="55"/>
    <col min="12984" max="12984" width="10.28515625" style="55" bestFit="1" customWidth="1"/>
    <col min="12985" max="12986" width="9.140625" style="55"/>
    <col min="12987" max="12987" width="10.28515625" style="55" bestFit="1" customWidth="1"/>
    <col min="12988" max="12989" width="9.140625" style="55"/>
    <col min="12990" max="12990" width="10.28515625" style="55" bestFit="1" customWidth="1"/>
    <col min="12991" max="12992" width="9.140625" style="55"/>
    <col min="12993" max="12993" width="10.28515625" style="55" bestFit="1" customWidth="1"/>
    <col min="12994" max="12995" width="9.140625" style="55"/>
    <col min="12996" max="12996" width="10.28515625" style="55" bestFit="1" customWidth="1"/>
    <col min="12997" max="12998" width="9.140625" style="55"/>
    <col min="12999" max="12999" width="10.28515625" style="55" bestFit="1" customWidth="1"/>
    <col min="13000" max="13001" width="9.140625" style="55"/>
    <col min="13002" max="13002" width="10.28515625" style="55" bestFit="1" customWidth="1"/>
    <col min="13003" max="13004" width="9.140625" style="55"/>
    <col min="13005" max="13005" width="10.28515625" style="55" bestFit="1" customWidth="1"/>
    <col min="13006" max="13007" width="9.140625" style="55"/>
    <col min="13008" max="13008" width="10.28515625" style="55" bestFit="1" customWidth="1"/>
    <col min="13009" max="13010" width="9.140625" style="55"/>
    <col min="13011" max="13011" width="10.28515625" style="55" bestFit="1" customWidth="1"/>
    <col min="13012" max="13013" width="9.140625" style="55"/>
    <col min="13014" max="13014" width="10.28515625" style="55" bestFit="1" customWidth="1"/>
    <col min="13015" max="13016" width="9.140625" style="55"/>
    <col min="13017" max="13017" width="10.28515625" style="55" bestFit="1" customWidth="1"/>
    <col min="13018" max="13019" width="9.140625" style="55"/>
    <col min="13020" max="13020" width="10.28515625" style="55" bestFit="1" customWidth="1"/>
    <col min="13021" max="13056" width="9.140625" style="55"/>
    <col min="13057" max="13057" width="6.28515625" style="55" customWidth="1"/>
    <col min="13058" max="13058" width="81.42578125" style="55" customWidth="1"/>
    <col min="13059" max="13059" width="10" style="55" customWidth="1"/>
    <col min="13060" max="13060" width="15.85546875" style="55" customWidth="1"/>
    <col min="13061" max="13061" width="13.5703125" style="55" customWidth="1"/>
    <col min="13062" max="13062" width="12.7109375" style="55" customWidth="1"/>
    <col min="13063" max="13063" width="11.5703125" style="55" customWidth="1"/>
    <col min="13064" max="13064" width="13" style="55" customWidth="1"/>
    <col min="13065" max="13065" width="0" style="55" hidden="1" customWidth="1"/>
    <col min="13066" max="13066" width="11" style="55" customWidth="1"/>
    <col min="13067" max="13067" width="13.42578125" style="55" customWidth="1"/>
    <col min="13068" max="13068" width="12.5703125" style="55" customWidth="1"/>
    <col min="13069" max="13069" width="11.7109375" style="55" customWidth="1"/>
    <col min="13070" max="13070" width="12" style="55" customWidth="1"/>
    <col min="13071" max="13071" width="0" style="55" hidden="1" customWidth="1"/>
    <col min="13072" max="13072" width="13.28515625" style="55" customWidth="1"/>
    <col min="13073" max="13073" width="11.7109375" style="55" customWidth="1"/>
    <col min="13074" max="13074" width="11.42578125" style="55" customWidth="1"/>
    <col min="13075" max="13075" width="13" style="55" customWidth="1"/>
    <col min="13076" max="13076" width="13.42578125" style="55" customWidth="1"/>
    <col min="13077" max="13077" width="0" style="55" hidden="1" customWidth="1"/>
    <col min="13078" max="13078" width="13.28515625" style="55" customWidth="1"/>
    <col min="13079" max="13079" width="13.140625" style="55" customWidth="1"/>
    <col min="13080" max="13080" width="12.140625" style="55" customWidth="1"/>
    <col min="13081" max="13082" width="11.85546875" style="55" customWidth="1"/>
    <col min="13083" max="13083" width="0" style="55" hidden="1" customWidth="1"/>
    <col min="13084" max="13084" width="12.28515625" style="55" bestFit="1" customWidth="1"/>
    <col min="13085" max="13085" width="10.7109375" style="55" customWidth="1"/>
    <col min="13086" max="13086" width="11.85546875" style="55" customWidth="1"/>
    <col min="13087" max="13087" width="13.140625" style="55" customWidth="1"/>
    <col min="13088" max="13088" width="13" style="55" customWidth="1"/>
    <col min="13089" max="13089" width="0" style="55" hidden="1" customWidth="1"/>
    <col min="13090" max="13090" width="11" style="55" customWidth="1"/>
    <col min="13091" max="13091" width="13" style="55" customWidth="1"/>
    <col min="13092" max="13092" width="12.5703125" style="55" customWidth="1"/>
    <col min="13093" max="13093" width="11.85546875" style="55" customWidth="1"/>
    <col min="13094" max="13094" width="12.28515625" style="55" customWidth="1"/>
    <col min="13095" max="13095" width="0" style="55" hidden="1" customWidth="1"/>
    <col min="13096" max="13096" width="12.85546875" style="55" customWidth="1"/>
    <col min="13097" max="13103" width="0" style="55" hidden="1" customWidth="1"/>
    <col min="13104" max="13104" width="60.85546875" style="55" customWidth="1"/>
    <col min="13105" max="13110" width="27.42578125" style="55" customWidth="1"/>
    <col min="13111" max="13113" width="31.28515625" style="55" customWidth="1"/>
    <col min="13114" max="13114" width="27.42578125" style="55" customWidth="1"/>
    <col min="13115" max="13117" width="34.28515625" style="55" customWidth="1"/>
    <col min="13118" max="13121" width="27.42578125" style="55" customWidth="1"/>
    <col min="13122" max="13122" width="39.42578125" style="55" customWidth="1"/>
    <col min="13123" max="13123" width="41.28515625" style="55" customWidth="1"/>
    <col min="13124" max="13135" width="27.42578125" style="55" customWidth="1"/>
    <col min="13136" max="13137" width="9.140625" style="55"/>
    <col min="13138" max="13138" width="10.28515625" style="55" bestFit="1" customWidth="1"/>
    <col min="13139" max="13140" width="9.140625" style="55"/>
    <col min="13141" max="13141" width="10.28515625" style="55" bestFit="1" customWidth="1"/>
    <col min="13142" max="13143" width="9.140625" style="55"/>
    <col min="13144" max="13144" width="10.28515625" style="55" bestFit="1" customWidth="1"/>
    <col min="13145" max="13146" width="9.140625" style="55"/>
    <col min="13147" max="13147" width="10.28515625" style="55" bestFit="1" customWidth="1"/>
    <col min="13148" max="13149" width="9.140625" style="55"/>
    <col min="13150" max="13150" width="10.28515625" style="55" bestFit="1" customWidth="1"/>
    <col min="13151" max="13152" width="9.140625" style="55"/>
    <col min="13153" max="13153" width="10.28515625" style="55" bestFit="1" customWidth="1"/>
    <col min="13154" max="13155" width="9.140625" style="55"/>
    <col min="13156" max="13156" width="10.28515625" style="55" bestFit="1" customWidth="1"/>
    <col min="13157" max="13158" width="9.140625" style="55"/>
    <col min="13159" max="13159" width="10.28515625" style="55" bestFit="1" customWidth="1"/>
    <col min="13160" max="13161" width="9.140625" style="55"/>
    <col min="13162" max="13162" width="10.28515625" style="55" bestFit="1" customWidth="1"/>
    <col min="13163" max="13164" width="9.140625" style="55"/>
    <col min="13165" max="13165" width="10.28515625" style="55" bestFit="1" customWidth="1"/>
    <col min="13166" max="13167" width="9.140625" style="55"/>
    <col min="13168" max="13168" width="10.28515625" style="55" bestFit="1" customWidth="1"/>
    <col min="13169" max="13170" width="9.140625" style="55"/>
    <col min="13171" max="13171" width="10.28515625" style="55" bestFit="1" customWidth="1"/>
    <col min="13172" max="13173" width="9.140625" style="55"/>
    <col min="13174" max="13174" width="10.28515625" style="55" bestFit="1" customWidth="1"/>
    <col min="13175" max="13176" width="9.140625" style="55"/>
    <col min="13177" max="13177" width="10.28515625" style="55" bestFit="1" customWidth="1"/>
    <col min="13178" max="13179" width="9.140625" style="55"/>
    <col min="13180" max="13180" width="10.28515625" style="55" bestFit="1" customWidth="1"/>
    <col min="13181" max="13182" width="9.140625" style="55"/>
    <col min="13183" max="13183" width="10.28515625" style="55" bestFit="1" customWidth="1"/>
    <col min="13184" max="13185" width="9.140625" style="55"/>
    <col min="13186" max="13186" width="10.28515625" style="55" bestFit="1" customWidth="1"/>
    <col min="13187" max="13188" width="9.140625" style="55"/>
    <col min="13189" max="13189" width="10.28515625" style="55" bestFit="1" customWidth="1"/>
    <col min="13190" max="13191" width="9.140625" style="55"/>
    <col min="13192" max="13192" width="10.28515625" style="55" bestFit="1" customWidth="1"/>
    <col min="13193" max="13194" width="9.140625" style="55"/>
    <col min="13195" max="13195" width="10.28515625" style="55" bestFit="1" customWidth="1"/>
    <col min="13196" max="13197" width="9.140625" style="55"/>
    <col min="13198" max="13198" width="10.28515625" style="55" bestFit="1" customWidth="1"/>
    <col min="13199" max="13200" width="9.140625" style="55"/>
    <col min="13201" max="13201" width="10.28515625" style="55" bestFit="1" customWidth="1"/>
    <col min="13202" max="13203" width="9.140625" style="55"/>
    <col min="13204" max="13204" width="10.28515625" style="55" bestFit="1" customWidth="1"/>
    <col min="13205" max="13206" width="9.140625" style="55"/>
    <col min="13207" max="13207" width="10.28515625" style="55" bestFit="1" customWidth="1"/>
    <col min="13208" max="13209" width="9.140625" style="55"/>
    <col min="13210" max="13210" width="10.28515625" style="55" bestFit="1" customWidth="1"/>
    <col min="13211" max="13212" width="9.140625" style="55"/>
    <col min="13213" max="13213" width="10.28515625" style="55" bestFit="1" customWidth="1"/>
    <col min="13214" max="13215" width="9.140625" style="55"/>
    <col min="13216" max="13216" width="10.28515625" style="55" bestFit="1" customWidth="1"/>
    <col min="13217" max="13218" width="9.140625" style="55"/>
    <col min="13219" max="13219" width="10.28515625" style="55" bestFit="1" customWidth="1"/>
    <col min="13220" max="13221" width="9.140625" style="55"/>
    <col min="13222" max="13222" width="10.28515625" style="55" bestFit="1" customWidth="1"/>
    <col min="13223" max="13224" width="9.140625" style="55"/>
    <col min="13225" max="13225" width="10.28515625" style="55" bestFit="1" customWidth="1"/>
    <col min="13226" max="13227" width="9.140625" style="55"/>
    <col min="13228" max="13228" width="10.28515625" style="55" bestFit="1" customWidth="1"/>
    <col min="13229" max="13230" width="9.140625" style="55"/>
    <col min="13231" max="13231" width="10.28515625" style="55" bestFit="1" customWidth="1"/>
    <col min="13232" max="13233" width="9.140625" style="55"/>
    <col min="13234" max="13234" width="10.28515625" style="55" bestFit="1" customWidth="1"/>
    <col min="13235" max="13236" width="9.140625" style="55"/>
    <col min="13237" max="13237" width="10.28515625" style="55" bestFit="1" customWidth="1"/>
    <col min="13238" max="13239" width="9.140625" style="55"/>
    <col min="13240" max="13240" width="10.28515625" style="55" bestFit="1" customWidth="1"/>
    <col min="13241" max="13242" width="9.140625" style="55"/>
    <col min="13243" max="13243" width="10.28515625" style="55" bestFit="1" customWidth="1"/>
    <col min="13244" max="13245" width="9.140625" style="55"/>
    <col min="13246" max="13246" width="10.28515625" style="55" bestFit="1" customWidth="1"/>
    <col min="13247" max="13248" width="9.140625" style="55"/>
    <col min="13249" max="13249" width="10.28515625" style="55" bestFit="1" customWidth="1"/>
    <col min="13250" max="13251" width="9.140625" style="55"/>
    <col min="13252" max="13252" width="10.28515625" style="55" bestFit="1" customWidth="1"/>
    <col min="13253" max="13254" width="9.140625" style="55"/>
    <col min="13255" max="13255" width="10.28515625" style="55" bestFit="1" customWidth="1"/>
    <col min="13256" max="13257" width="9.140625" style="55"/>
    <col min="13258" max="13258" width="10.28515625" style="55" bestFit="1" customWidth="1"/>
    <col min="13259" max="13260" width="9.140625" style="55"/>
    <col min="13261" max="13261" width="10.28515625" style="55" bestFit="1" customWidth="1"/>
    <col min="13262" max="13263" width="9.140625" style="55"/>
    <col min="13264" max="13264" width="10.28515625" style="55" bestFit="1" customWidth="1"/>
    <col min="13265" max="13266" width="9.140625" style="55"/>
    <col min="13267" max="13267" width="10.28515625" style="55" bestFit="1" customWidth="1"/>
    <col min="13268" max="13269" width="9.140625" style="55"/>
    <col min="13270" max="13270" width="10.28515625" style="55" bestFit="1" customWidth="1"/>
    <col min="13271" max="13272" width="9.140625" style="55"/>
    <col min="13273" max="13273" width="10.28515625" style="55" bestFit="1" customWidth="1"/>
    <col min="13274" max="13275" width="9.140625" style="55"/>
    <col min="13276" max="13276" width="10.28515625" style="55" bestFit="1" customWidth="1"/>
    <col min="13277" max="13312" width="9.140625" style="55"/>
    <col min="13313" max="13313" width="6.28515625" style="55" customWidth="1"/>
    <col min="13314" max="13314" width="81.42578125" style="55" customWidth="1"/>
    <col min="13315" max="13315" width="10" style="55" customWidth="1"/>
    <col min="13316" max="13316" width="15.85546875" style="55" customWidth="1"/>
    <col min="13317" max="13317" width="13.5703125" style="55" customWidth="1"/>
    <col min="13318" max="13318" width="12.7109375" style="55" customWidth="1"/>
    <col min="13319" max="13319" width="11.5703125" style="55" customWidth="1"/>
    <col min="13320" max="13320" width="13" style="55" customWidth="1"/>
    <col min="13321" max="13321" width="0" style="55" hidden="1" customWidth="1"/>
    <col min="13322" max="13322" width="11" style="55" customWidth="1"/>
    <col min="13323" max="13323" width="13.42578125" style="55" customWidth="1"/>
    <col min="13324" max="13324" width="12.5703125" style="55" customWidth="1"/>
    <col min="13325" max="13325" width="11.7109375" style="55" customWidth="1"/>
    <col min="13326" max="13326" width="12" style="55" customWidth="1"/>
    <col min="13327" max="13327" width="0" style="55" hidden="1" customWidth="1"/>
    <col min="13328" max="13328" width="13.28515625" style="55" customWidth="1"/>
    <col min="13329" max="13329" width="11.7109375" style="55" customWidth="1"/>
    <col min="13330" max="13330" width="11.42578125" style="55" customWidth="1"/>
    <col min="13331" max="13331" width="13" style="55" customWidth="1"/>
    <col min="13332" max="13332" width="13.42578125" style="55" customWidth="1"/>
    <col min="13333" max="13333" width="0" style="55" hidden="1" customWidth="1"/>
    <col min="13334" max="13334" width="13.28515625" style="55" customWidth="1"/>
    <col min="13335" max="13335" width="13.140625" style="55" customWidth="1"/>
    <col min="13336" max="13336" width="12.140625" style="55" customWidth="1"/>
    <col min="13337" max="13338" width="11.85546875" style="55" customWidth="1"/>
    <col min="13339" max="13339" width="0" style="55" hidden="1" customWidth="1"/>
    <col min="13340" max="13340" width="12.28515625" style="55" bestFit="1" customWidth="1"/>
    <col min="13341" max="13341" width="10.7109375" style="55" customWidth="1"/>
    <col min="13342" max="13342" width="11.85546875" style="55" customWidth="1"/>
    <col min="13343" max="13343" width="13.140625" style="55" customWidth="1"/>
    <col min="13344" max="13344" width="13" style="55" customWidth="1"/>
    <col min="13345" max="13345" width="0" style="55" hidden="1" customWidth="1"/>
    <col min="13346" max="13346" width="11" style="55" customWidth="1"/>
    <col min="13347" max="13347" width="13" style="55" customWidth="1"/>
    <col min="13348" max="13348" width="12.5703125" style="55" customWidth="1"/>
    <col min="13349" max="13349" width="11.85546875" style="55" customWidth="1"/>
    <col min="13350" max="13350" width="12.28515625" style="55" customWidth="1"/>
    <col min="13351" max="13351" width="0" style="55" hidden="1" customWidth="1"/>
    <col min="13352" max="13352" width="12.85546875" style="55" customWidth="1"/>
    <col min="13353" max="13359" width="0" style="55" hidden="1" customWidth="1"/>
    <col min="13360" max="13360" width="60.85546875" style="55" customWidth="1"/>
    <col min="13361" max="13366" width="27.42578125" style="55" customWidth="1"/>
    <col min="13367" max="13369" width="31.28515625" style="55" customWidth="1"/>
    <col min="13370" max="13370" width="27.42578125" style="55" customWidth="1"/>
    <col min="13371" max="13373" width="34.28515625" style="55" customWidth="1"/>
    <col min="13374" max="13377" width="27.42578125" style="55" customWidth="1"/>
    <col min="13378" max="13378" width="39.42578125" style="55" customWidth="1"/>
    <col min="13379" max="13379" width="41.28515625" style="55" customWidth="1"/>
    <col min="13380" max="13391" width="27.42578125" style="55" customWidth="1"/>
    <col min="13392" max="13393" width="9.140625" style="55"/>
    <col min="13394" max="13394" width="10.28515625" style="55" bestFit="1" customWidth="1"/>
    <col min="13395" max="13396" width="9.140625" style="55"/>
    <col min="13397" max="13397" width="10.28515625" style="55" bestFit="1" customWidth="1"/>
    <col min="13398" max="13399" width="9.140625" style="55"/>
    <col min="13400" max="13400" width="10.28515625" style="55" bestFit="1" customWidth="1"/>
    <col min="13401" max="13402" width="9.140625" style="55"/>
    <col min="13403" max="13403" width="10.28515625" style="55" bestFit="1" customWidth="1"/>
    <col min="13404" max="13405" width="9.140625" style="55"/>
    <col min="13406" max="13406" width="10.28515625" style="55" bestFit="1" customWidth="1"/>
    <col min="13407" max="13408" width="9.140625" style="55"/>
    <col min="13409" max="13409" width="10.28515625" style="55" bestFit="1" customWidth="1"/>
    <col min="13410" max="13411" width="9.140625" style="55"/>
    <col min="13412" max="13412" width="10.28515625" style="55" bestFit="1" customWidth="1"/>
    <col min="13413" max="13414" width="9.140625" style="55"/>
    <col min="13415" max="13415" width="10.28515625" style="55" bestFit="1" customWidth="1"/>
    <col min="13416" max="13417" width="9.140625" style="55"/>
    <col min="13418" max="13418" width="10.28515625" style="55" bestFit="1" customWidth="1"/>
    <col min="13419" max="13420" width="9.140625" style="55"/>
    <col min="13421" max="13421" width="10.28515625" style="55" bestFit="1" customWidth="1"/>
    <col min="13422" max="13423" width="9.140625" style="55"/>
    <col min="13424" max="13424" width="10.28515625" style="55" bestFit="1" customWidth="1"/>
    <col min="13425" max="13426" width="9.140625" style="55"/>
    <col min="13427" max="13427" width="10.28515625" style="55" bestFit="1" customWidth="1"/>
    <col min="13428" max="13429" width="9.140625" style="55"/>
    <col min="13430" max="13430" width="10.28515625" style="55" bestFit="1" customWidth="1"/>
    <col min="13431" max="13432" width="9.140625" style="55"/>
    <col min="13433" max="13433" width="10.28515625" style="55" bestFit="1" customWidth="1"/>
    <col min="13434" max="13435" width="9.140625" style="55"/>
    <col min="13436" max="13436" width="10.28515625" style="55" bestFit="1" customWidth="1"/>
    <col min="13437" max="13438" width="9.140625" style="55"/>
    <col min="13439" max="13439" width="10.28515625" style="55" bestFit="1" customWidth="1"/>
    <col min="13440" max="13441" width="9.140625" style="55"/>
    <col min="13442" max="13442" width="10.28515625" style="55" bestFit="1" customWidth="1"/>
    <col min="13443" max="13444" width="9.140625" style="55"/>
    <col min="13445" max="13445" width="10.28515625" style="55" bestFit="1" customWidth="1"/>
    <col min="13446" max="13447" width="9.140625" style="55"/>
    <col min="13448" max="13448" width="10.28515625" style="55" bestFit="1" customWidth="1"/>
    <col min="13449" max="13450" width="9.140625" style="55"/>
    <col min="13451" max="13451" width="10.28515625" style="55" bestFit="1" customWidth="1"/>
    <col min="13452" max="13453" width="9.140625" style="55"/>
    <col min="13454" max="13454" width="10.28515625" style="55" bestFit="1" customWidth="1"/>
    <col min="13455" max="13456" width="9.140625" style="55"/>
    <col min="13457" max="13457" width="10.28515625" style="55" bestFit="1" customWidth="1"/>
    <col min="13458" max="13459" width="9.140625" style="55"/>
    <col min="13460" max="13460" width="10.28515625" style="55" bestFit="1" customWidth="1"/>
    <col min="13461" max="13462" width="9.140625" style="55"/>
    <col min="13463" max="13463" width="10.28515625" style="55" bestFit="1" customWidth="1"/>
    <col min="13464" max="13465" width="9.140625" style="55"/>
    <col min="13466" max="13466" width="10.28515625" style="55" bestFit="1" customWidth="1"/>
    <col min="13467" max="13468" width="9.140625" style="55"/>
    <col min="13469" max="13469" width="10.28515625" style="55" bestFit="1" customWidth="1"/>
    <col min="13470" max="13471" width="9.140625" style="55"/>
    <col min="13472" max="13472" width="10.28515625" style="55" bestFit="1" customWidth="1"/>
    <col min="13473" max="13474" width="9.140625" style="55"/>
    <col min="13475" max="13475" width="10.28515625" style="55" bestFit="1" customWidth="1"/>
    <col min="13476" max="13477" width="9.140625" style="55"/>
    <col min="13478" max="13478" width="10.28515625" style="55" bestFit="1" customWidth="1"/>
    <col min="13479" max="13480" width="9.140625" style="55"/>
    <col min="13481" max="13481" width="10.28515625" style="55" bestFit="1" customWidth="1"/>
    <col min="13482" max="13483" width="9.140625" style="55"/>
    <col min="13484" max="13484" width="10.28515625" style="55" bestFit="1" customWidth="1"/>
    <col min="13485" max="13486" width="9.140625" style="55"/>
    <col min="13487" max="13487" width="10.28515625" style="55" bestFit="1" customWidth="1"/>
    <col min="13488" max="13489" width="9.140625" style="55"/>
    <col min="13490" max="13490" width="10.28515625" style="55" bestFit="1" customWidth="1"/>
    <col min="13491" max="13492" width="9.140625" style="55"/>
    <col min="13493" max="13493" width="10.28515625" style="55" bestFit="1" customWidth="1"/>
    <col min="13494" max="13495" width="9.140625" style="55"/>
    <col min="13496" max="13496" width="10.28515625" style="55" bestFit="1" customWidth="1"/>
    <col min="13497" max="13498" width="9.140625" style="55"/>
    <col min="13499" max="13499" width="10.28515625" style="55" bestFit="1" customWidth="1"/>
    <col min="13500" max="13501" width="9.140625" style="55"/>
    <col min="13502" max="13502" width="10.28515625" style="55" bestFit="1" customWidth="1"/>
    <col min="13503" max="13504" width="9.140625" style="55"/>
    <col min="13505" max="13505" width="10.28515625" style="55" bestFit="1" customWidth="1"/>
    <col min="13506" max="13507" width="9.140625" style="55"/>
    <col min="13508" max="13508" width="10.28515625" style="55" bestFit="1" customWidth="1"/>
    <col min="13509" max="13510" width="9.140625" style="55"/>
    <col min="13511" max="13511" width="10.28515625" style="55" bestFit="1" customWidth="1"/>
    <col min="13512" max="13513" width="9.140625" style="55"/>
    <col min="13514" max="13514" width="10.28515625" style="55" bestFit="1" customWidth="1"/>
    <col min="13515" max="13516" width="9.140625" style="55"/>
    <col min="13517" max="13517" width="10.28515625" style="55" bestFit="1" customWidth="1"/>
    <col min="13518" max="13519" width="9.140625" style="55"/>
    <col min="13520" max="13520" width="10.28515625" style="55" bestFit="1" customWidth="1"/>
    <col min="13521" max="13522" width="9.140625" style="55"/>
    <col min="13523" max="13523" width="10.28515625" style="55" bestFit="1" customWidth="1"/>
    <col min="13524" max="13525" width="9.140625" style="55"/>
    <col min="13526" max="13526" width="10.28515625" style="55" bestFit="1" customWidth="1"/>
    <col min="13527" max="13528" width="9.140625" style="55"/>
    <col min="13529" max="13529" width="10.28515625" style="55" bestFit="1" customWidth="1"/>
    <col min="13530" max="13531" width="9.140625" style="55"/>
    <col min="13532" max="13532" width="10.28515625" style="55" bestFit="1" customWidth="1"/>
    <col min="13533" max="13568" width="9.140625" style="55"/>
    <col min="13569" max="13569" width="6.28515625" style="55" customWidth="1"/>
    <col min="13570" max="13570" width="81.42578125" style="55" customWidth="1"/>
    <col min="13571" max="13571" width="10" style="55" customWidth="1"/>
    <col min="13572" max="13572" width="15.85546875" style="55" customWidth="1"/>
    <col min="13573" max="13573" width="13.5703125" style="55" customWidth="1"/>
    <col min="13574" max="13574" width="12.7109375" style="55" customWidth="1"/>
    <col min="13575" max="13575" width="11.5703125" style="55" customWidth="1"/>
    <col min="13576" max="13576" width="13" style="55" customWidth="1"/>
    <col min="13577" max="13577" width="0" style="55" hidden="1" customWidth="1"/>
    <col min="13578" max="13578" width="11" style="55" customWidth="1"/>
    <col min="13579" max="13579" width="13.42578125" style="55" customWidth="1"/>
    <col min="13580" max="13580" width="12.5703125" style="55" customWidth="1"/>
    <col min="13581" max="13581" width="11.7109375" style="55" customWidth="1"/>
    <col min="13582" max="13582" width="12" style="55" customWidth="1"/>
    <col min="13583" max="13583" width="0" style="55" hidden="1" customWidth="1"/>
    <col min="13584" max="13584" width="13.28515625" style="55" customWidth="1"/>
    <col min="13585" max="13585" width="11.7109375" style="55" customWidth="1"/>
    <col min="13586" max="13586" width="11.42578125" style="55" customWidth="1"/>
    <col min="13587" max="13587" width="13" style="55" customWidth="1"/>
    <col min="13588" max="13588" width="13.42578125" style="55" customWidth="1"/>
    <col min="13589" max="13589" width="0" style="55" hidden="1" customWidth="1"/>
    <col min="13590" max="13590" width="13.28515625" style="55" customWidth="1"/>
    <col min="13591" max="13591" width="13.140625" style="55" customWidth="1"/>
    <col min="13592" max="13592" width="12.140625" style="55" customWidth="1"/>
    <col min="13593" max="13594" width="11.85546875" style="55" customWidth="1"/>
    <col min="13595" max="13595" width="0" style="55" hidden="1" customWidth="1"/>
    <col min="13596" max="13596" width="12.28515625" style="55" bestFit="1" customWidth="1"/>
    <col min="13597" max="13597" width="10.7109375" style="55" customWidth="1"/>
    <col min="13598" max="13598" width="11.85546875" style="55" customWidth="1"/>
    <col min="13599" max="13599" width="13.140625" style="55" customWidth="1"/>
    <col min="13600" max="13600" width="13" style="55" customWidth="1"/>
    <col min="13601" max="13601" width="0" style="55" hidden="1" customWidth="1"/>
    <col min="13602" max="13602" width="11" style="55" customWidth="1"/>
    <col min="13603" max="13603" width="13" style="55" customWidth="1"/>
    <col min="13604" max="13604" width="12.5703125" style="55" customWidth="1"/>
    <col min="13605" max="13605" width="11.85546875" style="55" customWidth="1"/>
    <col min="13606" max="13606" width="12.28515625" style="55" customWidth="1"/>
    <col min="13607" max="13607" width="0" style="55" hidden="1" customWidth="1"/>
    <col min="13608" max="13608" width="12.85546875" style="55" customWidth="1"/>
    <col min="13609" max="13615" width="0" style="55" hidden="1" customWidth="1"/>
    <col min="13616" max="13616" width="60.85546875" style="55" customWidth="1"/>
    <col min="13617" max="13622" width="27.42578125" style="55" customWidth="1"/>
    <col min="13623" max="13625" width="31.28515625" style="55" customWidth="1"/>
    <col min="13626" max="13626" width="27.42578125" style="55" customWidth="1"/>
    <col min="13627" max="13629" width="34.28515625" style="55" customWidth="1"/>
    <col min="13630" max="13633" width="27.42578125" style="55" customWidth="1"/>
    <col min="13634" max="13634" width="39.42578125" style="55" customWidth="1"/>
    <col min="13635" max="13635" width="41.28515625" style="55" customWidth="1"/>
    <col min="13636" max="13647" width="27.42578125" style="55" customWidth="1"/>
    <col min="13648" max="13649" width="9.140625" style="55"/>
    <col min="13650" max="13650" width="10.28515625" style="55" bestFit="1" customWidth="1"/>
    <col min="13651" max="13652" width="9.140625" style="55"/>
    <col min="13653" max="13653" width="10.28515625" style="55" bestFit="1" customWidth="1"/>
    <col min="13654" max="13655" width="9.140625" style="55"/>
    <col min="13656" max="13656" width="10.28515625" style="55" bestFit="1" customWidth="1"/>
    <col min="13657" max="13658" width="9.140625" style="55"/>
    <col min="13659" max="13659" width="10.28515625" style="55" bestFit="1" customWidth="1"/>
    <col min="13660" max="13661" width="9.140625" style="55"/>
    <col min="13662" max="13662" width="10.28515625" style="55" bestFit="1" customWidth="1"/>
    <col min="13663" max="13664" width="9.140625" style="55"/>
    <col min="13665" max="13665" width="10.28515625" style="55" bestFit="1" customWidth="1"/>
    <col min="13666" max="13667" width="9.140625" style="55"/>
    <col min="13668" max="13668" width="10.28515625" style="55" bestFit="1" customWidth="1"/>
    <col min="13669" max="13670" width="9.140625" style="55"/>
    <col min="13671" max="13671" width="10.28515625" style="55" bestFit="1" customWidth="1"/>
    <col min="13672" max="13673" width="9.140625" style="55"/>
    <col min="13674" max="13674" width="10.28515625" style="55" bestFit="1" customWidth="1"/>
    <col min="13675" max="13676" width="9.140625" style="55"/>
    <col min="13677" max="13677" width="10.28515625" style="55" bestFit="1" customWidth="1"/>
    <col min="13678" max="13679" width="9.140625" style="55"/>
    <col min="13680" max="13680" width="10.28515625" style="55" bestFit="1" customWidth="1"/>
    <col min="13681" max="13682" width="9.140625" style="55"/>
    <col min="13683" max="13683" width="10.28515625" style="55" bestFit="1" customWidth="1"/>
    <col min="13684" max="13685" width="9.140625" style="55"/>
    <col min="13686" max="13686" width="10.28515625" style="55" bestFit="1" customWidth="1"/>
    <col min="13687" max="13688" width="9.140625" style="55"/>
    <col min="13689" max="13689" width="10.28515625" style="55" bestFit="1" customWidth="1"/>
    <col min="13690" max="13691" width="9.140625" style="55"/>
    <col min="13692" max="13692" width="10.28515625" style="55" bestFit="1" customWidth="1"/>
    <col min="13693" max="13694" width="9.140625" style="55"/>
    <col min="13695" max="13695" width="10.28515625" style="55" bestFit="1" customWidth="1"/>
    <col min="13696" max="13697" width="9.140625" style="55"/>
    <col min="13698" max="13698" width="10.28515625" style="55" bestFit="1" customWidth="1"/>
    <col min="13699" max="13700" width="9.140625" style="55"/>
    <col min="13701" max="13701" width="10.28515625" style="55" bestFit="1" customWidth="1"/>
    <col min="13702" max="13703" width="9.140625" style="55"/>
    <col min="13704" max="13704" width="10.28515625" style="55" bestFit="1" customWidth="1"/>
    <col min="13705" max="13706" width="9.140625" style="55"/>
    <col min="13707" max="13707" width="10.28515625" style="55" bestFit="1" customWidth="1"/>
    <col min="13708" max="13709" width="9.140625" style="55"/>
    <col min="13710" max="13710" width="10.28515625" style="55" bestFit="1" customWidth="1"/>
    <col min="13711" max="13712" width="9.140625" style="55"/>
    <col min="13713" max="13713" width="10.28515625" style="55" bestFit="1" customWidth="1"/>
    <col min="13714" max="13715" width="9.140625" style="55"/>
    <col min="13716" max="13716" width="10.28515625" style="55" bestFit="1" customWidth="1"/>
    <col min="13717" max="13718" width="9.140625" style="55"/>
    <col min="13719" max="13719" width="10.28515625" style="55" bestFit="1" customWidth="1"/>
    <col min="13720" max="13721" width="9.140625" style="55"/>
    <col min="13722" max="13722" width="10.28515625" style="55" bestFit="1" customWidth="1"/>
    <col min="13723" max="13724" width="9.140625" style="55"/>
    <col min="13725" max="13725" width="10.28515625" style="55" bestFit="1" customWidth="1"/>
    <col min="13726" max="13727" width="9.140625" style="55"/>
    <col min="13728" max="13728" width="10.28515625" style="55" bestFit="1" customWidth="1"/>
    <col min="13729" max="13730" width="9.140625" style="55"/>
    <col min="13731" max="13731" width="10.28515625" style="55" bestFit="1" customWidth="1"/>
    <col min="13732" max="13733" width="9.140625" style="55"/>
    <col min="13734" max="13734" width="10.28515625" style="55" bestFit="1" customWidth="1"/>
    <col min="13735" max="13736" width="9.140625" style="55"/>
    <col min="13737" max="13737" width="10.28515625" style="55" bestFit="1" customWidth="1"/>
    <col min="13738" max="13739" width="9.140625" style="55"/>
    <col min="13740" max="13740" width="10.28515625" style="55" bestFit="1" customWidth="1"/>
    <col min="13741" max="13742" width="9.140625" style="55"/>
    <col min="13743" max="13743" width="10.28515625" style="55" bestFit="1" customWidth="1"/>
    <col min="13744" max="13745" width="9.140625" style="55"/>
    <col min="13746" max="13746" width="10.28515625" style="55" bestFit="1" customWidth="1"/>
    <col min="13747" max="13748" width="9.140625" style="55"/>
    <col min="13749" max="13749" width="10.28515625" style="55" bestFit="1" customWidth="1"/>
    <col min="13750" max="13751" width="9.140625" style="55"/>
    <col min="13752" max="13752" width="10.28515625" style="55" bestFit="1" customWidth="1"/>
    <col min="13753" max="13754" width="9.140625" style="55"/>
    <col min="13755" max="13755" width="10.28515625" style="55" bestFit="1" customWidth="1"/>
    <col min="13756" max="13757" width="9.140625" style="55"/>
    <col min="13758" max="13758" width="10.28515625" style="55" bestFit="1" customWidth="1"/>
    <col min="13759" max="13760" width="9.140625" style="55"/>
    <col min="13761" max="13761" width="10.28515625" style="55" bestFit="1" customWidth="1"/>
    <col min="13762" max="13763" width="9.140625" style="55"/>
    <col min="13764" max="13764" width="10.28515625" style="55" bestFit="1" customWidth="1"/>
    <col min="13765" max="13766" width="9.140625" style="55"/>
    <col min="13767" max="13767" width="10.28515625" style="55" bestFit="1" customWidth="1"/>
    <col min="13768" max="13769" width="9.140625" style="55"/>
    <col min="13770" max="13770" width="10.28515625" style="55" bestFit="1" customWidth="1"/>
    <col min="13771" max="13772" width="9.140625" style="55"/>
    <col min="13773" max="13773" width="10.28515625" style="55" bestFit="1" customWidth="1"/>
    <col min="13774" max="13775" width="9.140625" style="55"/>
    <col min="13776" max="13776" width="10.28515625" style="55" bestFit="1" customWidth="1"/>
    <col min="13777" max="13778" width="9.140625" style="55"/>
    <col min="13779" max="13779" width="10.28515625" style="55" bestFit="1" customWidth="1"/>
    <col min="13780" max="13781" width="9.140625" style="55"/>
    <col min="13782" max="13782" width="10.28515625" style="55" bestFit="1" customWidth="1"/>
    <col min="13783" max="13784" width="9.140625" style="55"/>
    <col min="13785" max="13785" width="10.28515625" style="55" bestFit="1" customWidth="1"/>
    <col min="13786" max="13787" width="9.140625" style="55"/>
    <col min="13788" max="13788" width="10.28515625" style="55" bestFit="1" customWidth="1"/>
    <col min="13789" max="13824" width="9.140625" style="55"/>
    <col min="13825" max="13825" width="6.28515625" style="55" customWidth="1"/>
    <col min="13826" max="13826" width="81.42578125" style="55" customWidth="1"/>
    <col min="13827" max="13827" width="10" style="55" customWidth="1"/>
    <col min="13828" max="13828" width="15.85546875" style="55" customWidth="1"/>
    <col min="13829" max="13829" width="13.5703125" style="55" customWidth="1"/>
    <col min="13830" max="13830" width="12.7109375" style="55" customWidth="1"/>
    <col min="13831" max="13831" width="11.5703125" style="55" customWidth="1"/>
    <col min="13832" max="13832" width="13" style="55" customWidth="1"/>
    <col min="13833" max="13833" width="0" style="55" hidden="1" customWidth="1"/>
    <col min="13834" max="13834" width="11" style="55" customWidth="1"/>
    <col min="13835" max="13835" width="13.42578125" style="55" customWidth="1"/>
    <col min="13836" max="13836" width="12.5703125" style="55" customWidth="1"/>
    <col min="13837" max="13837" width="11.7109375" style="55" customWidth="1"/>
    <col min="13838" max="13838" width="12" style="55" customWidth="1"/>
    <col min="13839" max="13839" width="0" style="55" hidden="1" customWidth="1"/>
    <col min="13840" max="13840" width="13.28515625" style="55" customWidth="1"/>
    <col min="13841" max="13841" width="11.7109375" style="55" customWidth="1"/>
    <col min="13842" max="13842" width="11.42578125" style="55" customWidth="1"/>
    <col min="13843" max="13843" width="13" style="55" customWidth="1"/>
    <col min="13844" max="13844" width="13.42578125" style="55" customWidth="1"/>
    <col min="13845" max="13845" width="0" style="55" hidden="1" customWidth="1"/>
    <col min="13846" max="13846" width="13.28515625" style="55" customWidth="1"/>
    <col min="13847" max="13847" width="13.140625" style="55" customWidth="1"/>
    <col min="13848" max="13848" width="12.140625" style="55" customWidth="1"/>
    <col min="13849" max="13850" width="11.85546875" style="55" customWidth="1"/>
    <col min="13851" max="13851" width="0" style="55" hidden="1" customWidth="1"/>
    <col min="13852" max="13852" width="12.28515625" style="55" bestFit="1" customWidth="1"/>
    <col min="13853" max="13853" width="10.7109375" style="55" customWidth="1"/>
    <col min="13854" max="13854" width="11.85546875" style="55" customWidth="1"/>
    <col min="13855" max="13855" width="13.140625" style="55" customWidth="1"/>
    <col min="13856" max="13856" width="13" style="55" customWidth="1"/>
    <col min="13857" max="13857" width="0" style="55" hidden="1" customWidth="1"/>
    <col min="13858" max="13858" width="11" style="55" customWidth="1"/>
    <col min="13859" max="13859" width="13" style="55" customWidth="1"/>
    <col min="13860" max="13860" width="12.5703125" style="55" customWidth="1"/>
    <col min="13861" max="13861" width="11.85546875" style="55" customWidth="1"/>
    <col min="13862" max="13862" width="12.28515625" style="55" customWidth="1"/>
    <col min="13863" max="13863" width="0" style="55" hidden="1" customWidth="1"/>
    <col min="13864" max="13864" width="12.85546875" style="55" customWidth="1"/>
    <col min="13865" max="13871" width="0" style="55" hidden="1" customWidth="1"/>
    <col min="13872" max="13872" width="60.85546875" style="55" customWidth="1"/>
    <col min="13873" max="13878" width="27.42578125" style="55" customWidth="1"/>
    <col min="13879" max="13881" width="31.28515625" style="55" customWidth="1"/>
    <col min="13882" max="13882" width="27.42578125" style="55" customWidth="1"/>
    <col min="13883" max="13885" width="34.28515625" style="55" customWidth="1"/>
    <col min="13886" max="13889" width="27.42578125" style="55" customWidth="1"/>
    <col min="13890" max="13890" width="39.42578125" style="55" customWidth="1"/>
    <col min="13891" max="13891" width="41.28515625" style="55" customWidth="1"/>
    <col min="13892" max="13903" width="27.42578125" style="55" customWidth="1"/>
    <col min="13904" max="13905" width="9.140625" style="55"/>
    <col min="13906" max="13906" width="10.28515625" style="55" bestFit="1" customWidth="1"/>
    <col min="13907" max="13908" width="9.140625" style="55"/>
    <col min="13909" max="13909" width="10.28515625" style="55" bestFit="1" customWidth="1"/>
    <col min="13910" max="13911" width="9.140625" style="55"/>
    <col min="13912" max="13912" width="10.28515625" style="55" bestFit="1" customWidth="1"/>
    <col min="13913" max="13914" width="9.140625" style="55"/>
    <col min="13915" max="13915" width="10.28515625" style="55" bestFit="1" customWidth="1"/>
    <col min="13916" max="13917" width="9.140625" style="55"/>
    <col min="13918" max="13918" width="10.28515625" style="55" bestFit="1" customWidth="1"/>
    <col min="13919" max="13920" width="9.140625" style="55"/>
    <col min="13921" max="13921" width="10.28515625" style="55" bestFit="1" customWidth="1"/>
    <col min="13922" max="13923" width="9.140625" style="55"/>
    <col min="13924" max="13924" width="10.28515625" style="55" bestFit="1" customWidth="1"/>
    <col min="13925" max="13926" width="9.140625" style="55"/>
    <col min="13927" max="13927" width="10.28515625" style="55" bestFit="1" customWidth="1"/>
    <col min="13928" max="13929" width="9.140625" style="55"/>
    <col min="13930" max="13930" width="10.28515625" style="55" bestFit="1" customWidth="1"/>
    <col min="13931" max="13932" width="9.140625" style="55"/>
    <col min="13933" max="13933" width="10.28515625" style="55" bestFit="1" customWidth="1"/>
    <col min="13934" max="13935" width="9.140625" style="55"/>
    <col min="13936" max="13936" width="10.28515625" style="55" bestFit="1" customWidth="1"/>
    <col min="13937" max="13938" width="9.140625" style="55"/>
    <col min="13939" max="13939" width="10.28515625" style="55" bestFit="1" customWidth="1"/>
    <col min="13940" max="13941" width="9.140625" style="55"/>
    <col min="13942" max="13942" width="10.28515625" style="55" bestFit="1" customWidth="1"/>
    <col min="13943" max="13944" width="9.140625" style="55"/>
    <col min="13945" max="13945" width="10.28515625" style="55" bestFit="1" customWidth="1"/>
    <col min="13946" max="13947" width="9.140625" style="55"/>
    <col min="13948" max="13948" width="10.28515625" style="55" bestFit="1" customWidth="1"/>
    <col min="13949" max="13950" width="9.140625" style="55"/>
    <col min="13951" max="13951" width="10.28515625" style="55" bestFit="1" customWidth="1"/>
    <col min="13952" max="13953" width="9.140625" style="55"/>
    <col min="13954" max="13954" width="10.28515625" style="55" bestFit="1" customWidth="1"/>
    <col min="13955" max="13956" width="9.140625" style="55"/>
    <col min="13957" max="13957" width="10.28515625" style="55" bestFit="1" customWidth="1"/>
    <col min="13958" max="13959" width="9.140625" style="55"/>
    <col min="13960" max="13960" width="10.28515625" style="55" bestFit="1" customWidth="1"/>
    <col min="13961" max="13962" width="9.140625" style="55"/>
    <col min="13963" max="13963" width="10.28515625" style="55" bestFit="1" customWidth="1"/>
    <col min="13964" max="13965" width="9.140625" style="55"/>
    <col min="13966" max="13966" width="10.28515625" style="55" bestFit="1" customWidth="1"/>
    <col min="13967" max="13968" width="9.140625" style="55"/>
    <col min="13969" max="13969" width="10.28515625" style="55" bestFit="1" customWidth="1"/>
    <col min="13970" max="13971" width="9.140625" style="55"/>
    <col min="13972" max="13972" width="10.28515625" style="55" bestFit="1" customWidth="1"/>
    <col min="13973" max="13974" width="9.140625" style="55"/>
    <col min="13975" max="13975" width="10.28515625" style="55" bestFit="1" customWidth="1"/>
    <col min="13976" max="13977" width="9.140625" style="55"/>
    <col min="13978" max="13978" width="10.28515625" style="55" bestFit="1" customWidth="1"/>
    <col min="13979" max="13980" width="9.140625" style="55"/>
    <col min="13981" max="13981" width="10.28515625" style="55" bestFit="1" customWidth="1"/>
    <col min="13982" max="13983" width="9.140625" style="55"/>
    <col min="13984" max="13984" width="10.28515625" style="55" bestFit="1" customWidth="1"/>
    <col min="13985" max="13986" width="9.140625" style="55"/>
    <col min="13987" max="13987" width="10.28515625" style="55" bestFit="1" customWidth="1"/>
    <col min="13988" max="13989" width="9.140625" style="55"/>
    <col min="13990" max="13990" width="10.28515625" style="55" bestFit="1" customWidth="1"/>
    <col min="13991" max="13992" width="9.140625" style="55"/>
    <col min="13993" max="13993" width="10.28515625" style="55" bestFit="1" customWidth="1"/>
    <col min="13994" max="13995" width="9.140625" style="55"/>
    <col min="13996" max="13996" width="10.28515625" style="55" bestFit="1" customWidth="1"/>
    <col min="13997" max="13998" width="9.140625" style="55"/>
    <col min="13999" max="13999" width="10.28515625" style="55" bestFit="1" customWidth="1"/>
    <col min="14000" max="14001" width="9.140625" style="55"/>
    <col min="14002" max="14002" width="10.28515625" style="55" bestFit="1" customWidth="1"/>
    <col min="14003" max="14004" width="9.140625" style="55"/>
    <col min="14005" max="14005" width="10.28515625" style="55" bestFit="1" customWidth="1"/>
    <col min="14006" max="14007" width="9.140625" style="55"/>
    <col min="14008" max="14008" width="10.28515625" style="55" bestFit="1" customWidth="1"/>
    <col min="14009" max="14010" width="9.140625" style="55"/>
    <col min="14011" max="14011" width="10.28515625" style="55" bestFit="1" customWidth="1"/>
    <col min="14012" max="14013" width="9.140625" style="55"/>
    <col min="14014" max="14014" width="10.28515625" style="55" bestFit="1" customWidth="1"/>
    <col min="14015" max="14016" width="9.140625" style="55"/>
    <col min="14017" max="14017" width="10.28515625" style="55" bestFit="1" customWidth="1"/>
    <col min="14018" max="14019" width="9.140625" style="55"/>
    <col min="14020" max="14020" width="10.28515625" style="55" bestFit="1" customWidth="1"/>
    <col min="14021" max="14022" width="9.140625" style="55"/>
    <col min="14023" max="14023" width="10.28515625" style="55" bestFit="1" customWidth="1"/>
    <col min="14024" max="14025" width="9.140625" style="55"/>
    <col min="14026" max="14026" width="10.28515625" style="55" bestFit="1" customWidth="1"/>
    <col min="14027" max="14028" width="9.140625" style="55"/>
    <col min="14029" max="14029" width="10.28515625" style="55" bestFit="1" customWidth="1"/>
    <col min="14030" max="14031" width="9.140625" style="55"/>
    <col min="14032" max="14032" width="10.28515625" style="55" bestFit="1" customWidth="1"/>
    <col min="14033" max="14034" width="9.140625" style="55"/>
    <col min="14035" max="14035" width="10.28515625" style="55" bestFit="1" customWidth="1"/>
    <col min="14036" max="14037" width="9.140625" style="55"/>
    <col min="14038" max="14038" width="10.28515625" style="55" bestFit="1" customWidth="1"/>
    <col min="14039" max="14040" width="9.140625" style="55"/>
    <col min="14041" max="14041" width="10.28515625" style="55" bestFit="1" customWidth="1"/>
    <col min="14042" max="14043" width="9.140625" style="55"/>
    <col min="14044" max="14044" width="10.28515625" style="55" bestFit="1" customWidth="1"/>
    <col min="14045" max="14080" width="9.140625" style="55"/>
    <col min="14081" max="14081" width="6.28515625" style="55" customWidth="1"/>
    <col min="14082" max="14082" width="81.42578125" style="55" customWidth="1"/>
    <col min="14083" max="14083" width="10" style="55" customWidth="1"/>
    <col min="14084" max="14084" width="15.85546875" style="55" customWidth="1"/>
    <col min="14085" max="14085" width="13.5703125" style="55" customWidth="1"/>
    <col min="14086" max="14086" width="12.7109375" style="55" customWidth="1"/>
    <col min="14087" max="14087" width="11.5703125" style="55" customWidth="1"/>
    <col min="14088" max="14088" width="13" style="55" customWidth="1"/>
    <col min="14089" max="14089" width="0" style="55" hidden="1" customWidth="1"/>
    <col min="14090" max="14090" width="11" style="55" customWidth="1"/>
    <col min="14091" max="14091" width="13.42578125" style="55" customWidth="1"/>
    <col min="14092" max="14092" width="12.5703125" style="55" customWidth="1"/>
    <col min="14093" max="14093" width="11.7109375" style="55" customWidth="1"/>
    <col min="14094" max="14094" width="12" style="55" customWidth="1"/>
    <col min="14095" max="14095" width="0" style="55" hidden="1" customWidth="1"/>
    <col min="14096" max="14096" width="13.28515625" style="55" customWidth="1"/>
    <col min="14097" max="14097" width="11.7109375" style="55" customWidth="1"/>
    <col min="14098" max="14098" width="11.42578125" style="55" customWidth="1"/>
    <col min="14099" max="14099" width="13" style="55" customWidth="1"/>
    <col min="14100" max="14100" width="13.42578125" style="55" customWidth="1"/>
    <col min="14101" max="14101" width="0" style="55" hidden="1" customWidth="1"/>
    <col min="14102" max="14102" width="13.28515625" style="55" customWidth="1"/>
    <col min="14103" max="14103" width="13.140625" style="55" customWidth="1"/>
    <col min="14104" max="14104" width="12.140625" style="55" customWidth="1"/>
    <col min="14105" max="14106" width="11.85546875" style="55" customWidth="1"/>
    <col min="14107" max="14107" width="0" style="55" hidden="1" customWidth="1"/>
    <col min="14108" max="14108" width="12.28515625" style="55" bestFit="1" customWidth="1"/>
    <col min="14109" max="14109" width="10.7109375" style="55" customWidth="1"/>
    <col min="14110" max="14110" width="11.85546875" style="55" customWidth="1"/>
    <col min="14111" max="14111" width="13.140625" style="55" customWidth="1"/>
    <col min="14112" max="14112" width="13" style="55" customWidth="1"/>
    <col min="14113" max="14113" width="0" style="55" hidden="1" customWidth="1"/>
    <col min="14114" max="14114" width="11" style="55" customWidth="1"/>
    <col min="14115" max="14115" width="13" style="55" customWidth="1"/>
    <col min="14116" max="14116" width="12.5703125" style="55" customWidth="1"/>
    <col min="14117" max="14117" width="11.85546875" style="55" customWidth="1"/>
    <col min="14118" max="14118" width="12.28515625" style="55" customWidth="1"/>
    <col min="14119" max="14119" width="0" style="55" hidden="1" customWidth="1"/>
    <col min="14120" max="14120" width="12.85546875" style="55" customWidth="1"/>
    <col min="14121" max="14127" width="0" style="55" hidden="1" customWidth="1"/>
    <col min="14128" max="14128" width="60.85546875" style="55" customWidth="1"/>
    <col min="14129" max="14134" width="27.42578125" style="55" customWidth="1"/>
    <col min="14135" max="14137" width="31.28515625" style="55" customWidth="1"/>
    <col min="14138" max="14138" width="27.42578125" style="55" customWidth="1"/>
    <col min="14139" max="14141" width="34.28515625" style="55" customWidth="1"/>
    <col min="14142" max="14145" width="27.42578125" style="55" customWidth="1"/>
    <col min="14146" max="14146" width="39.42578125" style="55" customWidth="1"/>
    <col min="14147" max="14147" width="41.28515625" style="55" customWidth="1"/>
    <col min="14148" max="14159" width="27.42578125" style="55" customWidth="1"/>
    <col min="14160" max="14161" width="9.140625" style="55"/>
    <col min="14162" max="14162" width="10.28515625" style="55" bestFit="1" customWidth="1"/>
    <col min="14163" max="14164" width="9.140625" style="55"/>
    <col min="14165" max="14165" width="10.28515625" style="55" bestFit="1" customWidth="1"/>
    <col min="14166" max="14167" width="9.140625" style="55"/>
    <col min="14168" max="14168" width="10.28515625" style="55" bestFit="1" customWidth="1"/>
    <col min="14169" max="14170" width="9.140625" style="55"/>
    <col min="14171" max="14171" width="10.28515625" style="55" bestFit="1" customWidth="1"/>
    <col min="14172" max="14173" width="9.140625" style="55"/>
    <col min="14174" max="14174" width="10.28515625" style="55" bestFit="1" customWidth="1"/>
    <col min="14175" max="14176" width="9.140625" style="55"/>
    <col min="14177" max="14177" width="10.28515625" style="55" bestFit="1" customWidth="1"/>
    <col min="14178" max="14179" width="9.140625" style="55"/>
    <col min="14180" max="14180" width="10.28515625" style="55" bestFit="1" customWidth="1"/>
    <col min="14181" max="14182" width="9.140625" style="55"/>
    <col min="14183" max="14183" width="10.28515625" style="55" bestFit="1" customWidth="1"/>
    <col min="14184" max="14185" width="9.140625" style="55"/>
    <col min="14186" max="14186" width="10.28515625" style="55" bestFit="1" customWidth="1"/>
    <col min="14187" max="14188" width="9.140625" style="55"/>
    <col min="14189" max="14189" width="10.28515625" style="55" bestFit="1" customWidth="1"/>
    <col min="14190" max="14191" width="9.140625" style="55"/>
    <col min="14192" max="14192" width="10.28515625" style="55" bestFit="1" customWidth="1"/>
    <col min="14193" max="14194" width="9.140625" style="55"/>
    <col min="14195" max="14195" width="10.28515625" style="55" bestFit="1" customWidth="1"/>
    <col min="14196" max="14197" width="9.140625" style="55"/>
    <col min="14198" max="14198" width="10.28515625" style="55" bestFit="1" customWidth="1"/>
    <col min="14199" max="14200" width="9.140625" style="55"/>
    <col min="14201" max="14201" width="10.28515625" style="55" bestFit="1" customWidth="1"/>
    <col min="14202" max="14203" width="9.140625" style="55"/>
    <col min="14204" max="14204" width="10.28515625" style="55" bestFit="1" customWidth="1"/>
    <col min="14205" max="14206" width="9.140625" style="55"/>
    <col min="14207" max="14207" width="10.28515625" style="55" bestFit="1" customWidth="1"/>
    <col min="14208" max="14209" width="9.140625" style="55"/>
    <col min="14210" max="14210" width="10.28515625" style="55" bestFit="1" customWidth="1"/>
    <col min="14211" max="14212" width="9.140625" style="55"/>
    <col min="14213" max="14213" width="10.28515625" style="55" bestFit="1" customWidth="1"/>
    <col min="14214" max="14215" width="9.140625" style="55"/>
    <col min="14216" max="14216" width="10.28515625" style="55" bestFit="1" customWidth="1"/>
    <col min="14217" max="14218" width="9.140625" style="55"/>
    <col min="14219" max="14219" width="10.28515625" style="55" bestFit="1" customWidth="1"/>
    <col min="14220" max="14221" width="9.140625" style="55"/>
    <col min="14222" max="14222" width="10.28515625" style="55" bestFit="1" customWidth="1"/>
    <col min="14223" max="14224" width="9.140625" style="55"/>
    <col min="14225" max="14225" width="10.28515625" style="55" bestFit="1" customWidth="1"/>
    <col min="14226" max="14227" width="9.140625" style="55"/>
    <col min="14228" max="14228" width="10.28515625" style="55" bestFit="1" customWidth="1"/>
    <col min="14229" max="14230" width="9.140625" style="55"/>
    <col min="14231" max="14231" width="10.28515625" style="55" bestFit="1" customWidth="1"/>
    <col min="14232" max="14233" width="9.140625" style="55"/>
    <col min="14234" max="14234" width="10.28515625" style="55" bestFit="1" customWidth="1"/>
    <col min="14235" max="14236" width="9.140625" style="55"/>
    <col min="14237" max="14237" width="10.28515625" style="55" bestFit="1" customWidth="1"/>
    <col min="14238" max="14239" width="9.140625" style="55"/>
    <col min="14240" max="14240" width="10.28515625" style="55" bestFit="1" customWidth="1"/>
    <col min="14241" max="14242" width="9.140625" style="55"/>
    <col min="14243" max="14243" width="10.28515625" style="55" bestFit="1" customWidth="1"/>
    <col min="14244" max="14245" width="9.140625" style="55"/>
    <col min="14246" max="14246" width="10.28515625" style="55" bestFit="1" customWidth="1"/>
    <col min="14247" max="14248" width="9.140625" style="55"/>
    <col min="14249" max="14249" width="10.28515625" style="55" bestFit="1" customWidth="1"/>
    <col min="14250" max="14251" width="9.140625" style="55"/>
    <col min="14252" max="14252" width="10.28515625" style="55" bestFit="1" customWidth="1"/>
    <col min="14253" max="14254" width="9.140625" style="55"/>
    <col min="14255" max="14255" width="10.28515625" style="55" bestFit="1" customWidth="1"/>
    <col min="14256" max="14257" width="9.140625" style="55"/>
    <col min="14258" max="14258" width="10.28515625" style="55" bestFit="1" customWidth="1"/>
    <col min="14259" max="14260" width="9.140625" style="55"/>
    <col min="14261" max="14261" width="10.28515625" style="55" bestFit="1" customWidth="1"/>
    <col min="14262" max="14263" width="9.140625" style="55"/>
    <col min="14264" max="14264" width="10.28515625" style="55" bestFit="1" customWidth="1"/>
    <col min="14265" max="14266" width="9.140625" style="55"/>
    <col min="14267" max="14267" width="10.28515625" style="55" bestFit="1" customWidth="1"/>
    <col min="14268" max="14269" width="9.140625" style="55"/>
    <col min="14270" max="14270" width="10.28515625" style="55" bestFit="1" customWidth="1"/>
    <col min="14271" max="14272" width="9.140625" style="55"/>
    <col min="14273" max="14273" width="10.28515625" style="55" bestFit="1" customWidth="1"/>
    <col min="14274" max="14275" width="9.140625" style="55"/>
    <col min="14276" max="14276" width="10.28515625" style="55" bestFit="1" customWidth="1"/>
    <col min="14277" max="14278" width="9.140625" style="55"/>
    <col min="14279" max="14279" width="10.28515625" style="55" bestFit="1" customWidth="1"/>
    <col min="14280" max="14281" width="9.140625" style="55"/>
    <col min="14282" max="14282" width="10.28515625" style="55" bestFit="1" customWidth="1"/>
    <col min="14283" max="14284" width="9.140625" style="55"/>
    <col min="14285" max="14285" width="10.28515625" style="55" bestFit="1" customWidth="1"/>
    <col min="14286" max="14287" width="9.140625" style="55"/>
    <col min="14288" max="14288" width="10.28515625" style="55" bestFit="1" customWidth="1"/>
    <col min="14289" max="14290" width="9.140625" style="55"/>
    <col min="14291" max="14291" width="10.28515625" style="55" bestFit="1" customWidth="1"/>
    <col min="14292" max="14293" width="9.140625" style="55"/>
    <col min="14294" max="14294" width="10.28515625" style="55" bestFit="1" customWidth="1"/>
    <col min="14295" max="14296" width="9.140625" style="55"/>
    <col min="14297" max="14297" width="10.28515625" style="55" bestFit="1" customWidth="1"/>
    <col min="14298" max="14299" width="9.140625" style="55"/>
    <col min="14300" max="14300" width="10.28515625" style="55" bestFit="1" customWidth="1"/>
    <col min="14301" max="14336" width="9.140625" style="55"/>
    <col min="14337" max="14337" width="6.28515625" style="55" customWidth="1"/>
    <col min="14338" max="14338" width="81.42578125" style="55" customWidth="1"/>
    <col min="14339" max="14339" width="10" style="55" customWidth="1"/>
    <col min="14340" max="14340" width="15.85546875" style="55" customWidth="1"/>
    <col min="14341" max="14341" width="13.5703125" style="55" customWidth="1"/>
    <col min="14342" max="14342" width="12.7109375" style="55" customWidth="1"/>
    <col min="14343" max="14343" width="11.5703125" style="55" customWidth="1"/>
    <col min="14344" max="14344" width="13" style="55" customWidth="1"/>
    <col min="14345" max="14345" width="0" style="55" hidden="1" customWidth="1"/>
    <col min="14346" max="14346" width="11" style="55" customWidth="1"/>
    <col min="14347" max="14347" width="13.42578125" style="55" customWidth="1"/>
    <col min="14348" max="14348" width="12.5703125" style="55" customWidth="1"/>
    <col min="14349" max="14349" width="11.7109375" style="55" customWidth="1"/>
    <col min="14350" max="14350" width="12" style="55" customWidth="1"/>
    <col min="14351" max="14351" width="0" style="55" hidden="1" customWidth="1"/>
    <col min="14352" max="14352" width="13.28515625" style="55" customWidth="1"/>
    <col min="14353" max="14353" width="11.7109375" style="55" customWidth="1"/>
    <col min="14354" max="14354" width="11.42578125" style="55" customWidth="1"/>
    <col min="14355" max="14355" width="13" style="55" customWidth="1"/>
    <col min="14356" max="14356" width="13.42578125" style="55" customWidth="1"/>
    <col min="14357" max="14357" width="0" style="55" hidden="1" customWidth="1"/>
    <col min="14358" max="14358" width="13.28515625" style="55" customWidth="1"/>
    <col min="14359" max="14359" width="13.140625" style="55" customWidth="1"/>
    <col min="14360" max="14360" width="12.140625" style="55" customWidth="1"/>
    <col min="14361" max="14362" width="11.85546875" style="55" customWidth="1"/>
    <col min="14363" max="14363" width="0" style="55" hidden="1" customWidth="1"/>
    <col min="14364" max="14364" width="12.28515625" style="55" bestFit="1" customWidth="1"/>
    <col min="14365" max="14365" width="10.7109375" style="55" customWidth="1"/>
    <col min="14366" max="14366" width="11.85546875" style="55" customWidth="1"/>
    <col min="14367" max="14367" width="13.140625" style="55" customWidth="1"/>
    <col min="14368" max="14368" width="13" style="55" customWidth="1"/>
    <col min="14369" max="14369" width="0" style="55" hidden="1" customWidth="1"/>
    <col min="14370" max="14370" width="11" style="55" customWidth="1"/>
    <col min="14371" max="14371" width="13" style="55" customWidth="1"/>
    <col min="14372" max="14372" width="12.5703125" style="55" customWidth="1"/>
    <col min="14373" max="14373" width="11.85546875" style="55" customWidth="1"/>
    <col min="14374" max="14374" width="12.28515625" style="55" customWidth="1"/>
    <col min="14375" max="14375" width="0" style="55" hidden="1" customWidth="1"/>
    <col min="14376" max="14376" width="12.85546875" style="55" customWidth="1"/>
    <col min="14377" max="14383" width="0" style="55" hidden="1" customWidth="1"/>
    <col min="14384" max="14384" width="60.85546875" style="55" customWidth="1"/>
    <col min="14385" max="14390" width="27.42578125" style="55" customWidth="1"/>
    <col min="14391" max="14393" width="31.28515625" style="55" customWidth="1"/>
    <col min="14394" max="14394" width="27.42578125" style="55" customWidth="1"/>
    <col min="14395" max="14397" width="34.28515625" style="55" customWidth="1"/>
    <col min="14398" max="14401" width="27.42578125" style="55" customWidth="1"/>
    <col min="14402" max="14402" width="39.42578125" style="55" customWidth="1"/>
    <col min="14403" max="14403" width="41.28515625" style="55" customWidth="1"/>
    <col min="14404" max="14415" width="27.42578125" style="55" customWidth="1"/>
    <col min="14416" max="14417" width="9.140625" style="55"/>
    <col min="14418" max="14418" width="10.28515625" style="55" bestFit="1" customWidth="1"/>
    <col min="14419" max="14420" width="9.140625" style="55"/>
    <col min="14421" max="14421" width="10.28515625" style="55" bestFit="1" customWidth="1"/>
    <col min="14422" max="14423" width="9.140625" style="55"/>
    <col min="14424" max="14424" width="10.28515625" style="55" bestFit="1" customWidth="1"/>
    <col min="14425" max="14426" width="9.140625" style="55"/>
    <col min="14427" max="14427" width="10.28515625" style="55" bestFit="1" customWidth="1"/>
    <col min="14428" max="14429" width="9.140625" style="55"/>
    <col min="14430" max="14430" width="10.28515625" style="55" bestFit="1" customWidth="1"/>
    <col min="14431" max="14432" width="9.140625" style="55"/>
    <col min="14433" max="14433" width="10.28515625" style="55" bestFit="1" customWidth="1"/>
    <col min="14434" max="14435" width="9.140625" style="55"/>
    <col min="14436" max="14436" width="10.28515625" style="55" bestFit="1" customWidth="1"/>
    <col min="14437" max="14438" width="9.140625" style="55"/>
    <col min="14439" max="14439" width="10.28515625" style="55" bestFit="1" customWidth="1"/>
    <col min="14440" max="14441" width="9.140625" style="55"/>
    <col min="14442" max="14442" width="10.28515625" style="55" bestFit="1" customWidth="1"/>
    <col min="14443" max="14444" width="9.140625" style="55"/>
    <col min="14445" max="14445" width="10.28515625" style="55" bestFit="1" customWidth="1"/>
    <col min="14446" max="14447" width="9.140625" style="55"/>
    <col min="14448" max="14448" width="10.28515625" style="55" bestFit="1" customWidth="1"/>
    <col min="14449" max="14450" width="9.140625" style="55"/>
    <col min="14451" max="14451" width="10.28515625" style="55" bestFit="1" customWidth="1"/>
    <col min="14452" max="14453" width="9.140625" style="55"/>
    <col min="14454" max="14454" width="10.28515625" style="55" bestFit="1" customWidth="1"/>
    <col min="14455" max="14456" width="9.140625" style="55"/>
    <col min="14457" max="14457" width="10.28515625" style="55" bestFit="1" customWidth="1"/>
    <col min="14458" max="14459" width="9.140625" style="55"/>
    <col min="14460" max="14460" width="10.28515625" style="55" bestFit="1" customWidth="1"/>
    <col min="14461" max="14462" width="9.140625" style="55"/>
    <col min="14463" max="14463" width="10.28515625" style="55" bestFit="1" customWidth="1"/>
    <col min="14464" max="14465" width="9.140625" style="55"/>
    <col min="14466" max="14466" width="10.28515625" style="55" bestFit="1" customWidth="1"/>
    <col min="14467" max="14468" width="9.140625" style="55"/>
    <col min="14469" max="14469" width="10.28515625" style="55" bestFit="1" customWidth="1"/>
    <col min="14470" max="14471" width="9.140625" style="55"/>
    <col min="14472" max="14472" width="10.28515625" style="55" bestFit="1" customWidth="1"/>
    <col min="14473" max="14474" width="9.140625" style="55"/>
    <col min="14475" max="14475" width="10.28515625" style="55" bestFit="1" customWidth="1"/>
    <col min="14476" max="14477" width="9.140625" style="55"/>
    <col min="14478" max="14478" width="10.28515625" style="55" bestFit="1" customWidth="1"/>
    <col min="14479" max="14480" width="9.140625" style="55"/>
    <col min="14481" max="14481" width="10.28515625" style="55" bestFit="1" customWidth="1"/>
    <col min="14482" max="14483" width="9.140625" style="55"/>
    <col min="14484" max="14484" width="10.28515625" style="55" bestFit="1" customWidth="1"/>
    <col min="14485" max="14486" width="9.140625" style="55"/>
    <col min="14487" max="14487" width="10.28515625" style="55" bestFit="1" customWidth="1"/>
    <col min="14488" max="14489" width="9.140625" style="55"/>
    <col min="14490" max="14490" width="10.28515625" style="55" bestFit="1" customWidth="1"/>
    <col min="14491" max="14492" width="9.140625" style="55"/>
    <col min="14493" max="14493" width="10.28515625" style="55" bestFit="1" customWidth="1"/>
    <col min="14494" max="14495" width="9.140625" style="55"/>
    <col min="14496" max="14496" width="10.28515625" style="55" bestFit="1" customWidth="1"/>
    <col min="14497" max="14498" width="9.140625" style="55"/>
    <col min="14499" max="14499" width="10.28515625" style="55" bestFit="1" customWidth="1"/>
    <col min="14500" max="14501" width="9.140625" style="55"/>
    <col min="14502" max="14502" width="10.28515625" style="55" bestFit="1" customWidth="1"/>
    <col min="14503" max="14504" width="9.140625" style="55"/>
    <col min="14505" max="14505" width="10.28515625" style="55" bestFit="1" customWidth="1"/>
    <col min="14506" max="14507" width="9.140625" style="55"/>
    <col min="14508" max="14508" width="10.28515625" style="55" bestFit="1" customWidth="1"/>
    <col min="14509" max="14510" width="9.140625" style="55"/>
    <col min="14511" max="14511" width="10.28515625" style="55" bestFit="1" customWidth="1"/>
    <col min="14512" max="14513" width="9.140625" style="55"/>
    <col min="14514" max="14514" width="10.28515625" style="55" bestFit="1" customWidth="1"/>
    <col min="14515" max="14516" width="9.140625" style="55"/>
    <col min="14517" max="14517" width="10.28515625" style="55" bestFit="1" customWidth="1"/>
    <col min="14518" max="14519" width="9.140625" style="55"/>
    <col min="14520" max="14520" width="10.28515625" style="55" bestFit="1" customWidth="1"/>
    <col min="14521" max="14522" width="9.140625" style="55"/>
    <col min="14523" max="14523" width="10.28515625" style="55" bestFit="1" customWidth="1"/>
    <col min="14524" max="14525" width="9.140625" style="55"/>
    <col min="14526" max="14526" width="10.28515625" style="55" bestFit="1" customWidth="1"/>
    <col min="14527" max="14528" width="9.140625" style="55"/>
    <col min="14529" max="14529" width="10.28515625" style="55" bestFit="1" customWidth="1"/>
    <col min="14530" max="14531" width="9.140625" style="55"/>
    <col min="14532" max="14532" width="10.28515625" style="55" bestFit="1" customWidth="1"/>
    <col min="14533" max="14534" width="9.140625" style="55"/>
    <col min="14535" max="14535" width="10.28515625" style="55" bestFit="1" customWidth="1"/>
    <col min="14536" max="14537" width="9.140625" style="55"/>
    <col min="14538" max="14538" width="10.28515625" style="55" bestFit="1" customWidth="1"/>
    <col min="14539" max="14540" width="9.140625" style="55"/>
    <col min="14541" max="14541" width="10.28515625" style="55" bestFit="1" customWidth="1"/>
    <col min="14542" max="14543" width="9.140625" style="55"/>
    <col min="14544" max="14544" width="10.28515625" style="55" bestFit="1" customWidth="1"/>
    <col min="14545" max="14546" width="9.140625" style="55"/>
    <col min="14547" max="14547" width="10.28515625" style="55" bestFit="1" customWidth="1"/>
    <col min="14548" max="14549" width="9.140625" style="55"/>
    <col min="14550" max="14550" width="10.28515625" style="55" bestFit="1" customWidth="1"/>
    <col min="14551" max="14552" width="9.140625" style="55"/>
    <col min="14553" max="14553" width="10.28515625" style="55" bestFit="1" customWidth="1"/>
    <col min="14554" max="14555" width="9.140625" style="55"/>
    <col min="14556" max="14556" width="10.28515625" style="55" bestFit="1" customWidth="1"/>
    <col min="14557" max="14592" width="9.140625" style="55"/>
    <col min="14593" max="14593" width="6.28515625" style="55" customWidth="1"/>
    <col min="14594" max="14594" width="81.42578125" style="55" customWidth="1"/>
    <col min="14595" max="14595" width="10" style="55" customWidth="1"/>
    <col min="14596" max="14596" width="15.85546875" style="55" customWidth="1"/>
    <col min="14597" max="14597" width="13.5703125" style="55" customWidth="1"/>
    <col min="14598" max="14598" width="12.7109375" style="55" customWidth="1"/>
    <col min="14599" max="14599" width="11.5703125" style="55" customWidth="1"/>
    <col min="14600" max="14600" width="13" style="55" customWidth="1"/>
    <col min="14601" max="14601" width="0" style="55" hidden="1" customWidth="1"/>
    <col min="14602" max="14602" width="11" style="55" customWidth="1"/>
    <col min="14603" max="14603" width="13.42578125" style="55" customWidth="1"/>
    <col min="14604" max="14604" width="12.5703125" style="55" customWidth="1"/>
    <col min="14605" max="14605" width="11.7109375" style="55" customWidth="1"/>
    <col min="14606" max="14606" width="12" style="55" customWidth="1"/>
    <col min="14607" max="14607" width="0" style="55" hidden="1" customWidth="1"/>
    <col min="14608" max="14608" width="13.28515625" style="55" customWidth="1"/>
    <col min="14609" max="14609" width="11.7109375" style="55" customWidth="1"/>
    <col min="14610" max="14610" width="11.42578125" style="55" customWidth="1"/>
    <col min="14611" max="14611" width="13" style="55" customWidth="1"/>
    <col min="14612" max="14612" width="13.42578125" style="55" customWidth="1"/>
    <col min="14613" max="14613" width="0" style="55" hidden="1" customWidth="1"/>
    <col min="14614" max="14614" width="13.28515625" style="55" customWidth="1"/>
    <col min="14615" max="14615" width="13.140625" style="55" customWidth="1"/>
    <col min="14616" max="14616" width="12.140625" style="55" customWidth="1"/>
    <col min="14617" max="14618" width="11.85546875" style="55" customWidth="1"/>
    <col min="14619" max="14619" width="0" style="55" hidden="1" customWidth="1"/>
    <col min="14620" max="14620" width="12.28515625" style="55" bestFit="1" customWidth="1"/>
    <col min="14621" max="14621" width="10.7109375" style="55" customWidth="1"/>
    <col min="14622" max="14622" width="11.85546875" style="55" customWidth="1"/>
    <col min="14623" max="14623" width="13.140625" style="55" customWidth="1"/>
    <col min="14624" max="14624" width="13" style="55" customWidth="1"/>
    <col min="14625" max="14625" width="0" style="55" hidden="1" customWidth="1"/>
    <col min="14626" max="14626" width="11" style="55" customWidth="1"/>
    <col min="14627" max="14627" width="13" style="55" customWidth="1"/>
    <col min="14628" max="14628" width="12.5703125" style="55" customWidth="1"/>
    <col min="14629" max="14629" width="11.85546875" style="55" customWidth="1"/>
    <col min="14630" max="14630" width="12.28515625" style="55" customWidth="1"/>
    <col min="14631" max="14631" width="0" style="55" hidden="1" customWidth="1"/>
    <col min="14632" max="14632" width="12.85546875" style="55" customWidth="1"/>
    <col min="14633" max="14639" width="0" style="55" hidden="1" customWidth="1"/>
    <col min="14640" max="14640" width="60.85546875" style="55" customWidth="1"/>
    <col min="14641" max="14646" width="27.42578125" style="55" customWidth="1"/>
    <col min="14647" max="14649" width="31.28515625" style="55" customWidth="1"/>
    <col min="14650" max="14650" width="27.42578125" style="55" customWidth="1"/>
    <col min="14651" max="14653" width="34.28515625" style="55" customWidth="1"/>
    <col min="14654" max="14657" width="27.42578125" style="55" customWidth="1"/>
    <col min="14658" max="14658" width="39.42578125" style="55" customWidth="1"/>
    <col min="14659" max="14659" width="41.28515625" style="55" customWidth="1"/>
    <col min="14660" max="14671" width="27.42578125" style="55" customWidth="1"/>
    <col min="14672" max="14673" width="9.140625" style="55"/>
    <col min="14674" max="14674" width="10.28515625" style="55" bestFit="1" customWidth="1"/>
    <col min="14675" max="14676" width="9.140625" style="55"/>
    <col min="14677" max="14677" width="10.28515625" style="55" bestFit="1" customWidth="1"/>
    <col min="14678" max="14679" width="9.140625" style="55"/>
    <col min="14680" max="14680" width="10.28515625" style="55" bestFit="1" customWidth="1"/>
    <col min="14681" max="14682" width="9.140625" style="55"/>
    <col min="14683" max="14683" width="10.28515625" style="55" bestFit="1" customWidth="1"/>
    <col min="14684" max="14685" width="9.140625" style="55"/>
    <col min="14686" max="14686" width="10.28515625" style="55" bestFit="1" customWidth="1"/>
    <col min="14687" max="14688" width="9.140625" style="55"/>
    <col min="14689" max="14689" width="10.28515625" style="55" bestFit="1" customWidth="1"/>
    <col min="14690" max="14691" width="9.140625" style="55"/>
    <col min="14692" max="14692" width="10.28515625" style="55" bestFit="1" customWidth="1"/>
    <col min="14693" max="14694" width="9.140625" style="55"/>
    <col min="14695" max="14695" width="10.28515625" style="55" bestFit="1" customWidth="1"/>
    <col min="14696" max="14697" width="9.140625" style="55"/>
    <col min="14698" max="14698" width="10.28515625" style="55" bestFit="1" customWidth="1"/>
    <col min="14699" max="14700" width="9.140625" style="55"/>
    <col min="14701" max="14701" width="10.28515625" style="55" bestFit="1" customWidth="1"/>
    <col min="14702" max="14703" width="9.140625" style="55"/>
    <col min="14704" max="14704" width="10.28515625" style="55" bestFit="1" customWidth="1"/>
    <col min="14705" max="14706" width="9.140625" style="55"/>
    <col min="14707" max="14707" width="10.28515625" style="55" bestFit="1" customWidth="1"/>
    <col min="14708" max="14709" width="9.140625" style="55"/>
    <col min="14710" max="14710" width="10.28515625" style="55" bestFit="1" customWidth="1"/>
    <col min="14711" max="14712" width="9.140625" style="55"/>
    <col min="14713" max="14713" width="10.28515625" style="55" bestFit="1" customWidth="1"/>
    <col min="14714" max="14715" width="9.140625" style="55"/>
    <col min="14716" max="14716" width="10.28515625" style="55" bestFit="1" customWidth="1"/>
    <col min="14717" max="14718" width="9.140625" style="55"/>
    <col min="14719" max="14719" width="10.28515625" style="55" bestFit="1" customWidth="1"/>
    <col min="14720" max="14721" width="9.140625" style="55"/>
    <col min="14722" max="14722" width="10.28515625" style="55" bestFit="1" customWidth="1"/>
    <col min="14723" max="14724" width="9.140625" style="55"/>
    <col min="14725" max="14725" width="10.28515625" style="55" bestFit="1" customWidth="1"/>
    <col min="14726" max="14727" width="9.140625" style="55"/>
    <col min="14728" max="14728" width="10.28515625" style="55" bestFit="1" customWidth="1"/>
    <col min="14729" max="14730" width="9.140625" style="55"/>
    <col min="14731" max="14731" width="10.28515625" style="55" bestFit="1" customWidth="1"/>
    <col min="14732" max="14733" width="9.140625" style="55"/>
    <col min="14734" max="14734" width="10.28515625" style="55" bestFit="1" customWidth="1"/>
    <col min="14735" max="14736" width="9.140625" style="55"/>
    <col min="14737" max="14737" width="10.28515625" style="55" bestFit="1" customWidth="1"/>
    <col min="14738" max="14739" width="9.140625" style="55"/>
    <col min="14740" max="14740" width="10.28515625" style="55" bestFit="1" customWidth="1"/>
    <col min="14741" max="14742" width="9.140625" style="55"/>
    <col min="14743" max="14743" width="10.28515625" style="55" bestFit="1" customWidth="1"/>
    <col min="14744" max="14745" width="9.140625" style="55"/>
    <col min="14746" max="14746" width="10.28515625" style="55" bestFit="1" customWidth="1"/>
    <col min="14747" max="14748" width="9.140625" style="55"/>
    <col min="14749" max="14749" width="10.28515625" style="55" bestFit="1" customWidth="1"/>
    <col min="14750" max="14751" width="9.140625" style="55"/>
    <col min="14752" max="14752" width="10.28515625" style="55" bestFit="1" customWidth="1"/>
    <col min="14753" max="14754" width="9.140625" style="55"/>
    <col min="14755" max="14755" width="10.28515625" style="55" bestFit="1" customWidth="1"/>
    <col min="14756" max="14757" width="9.140625" style="55"/>
    <col min="14758" max="14758" width="10.28515625" style="55" bestFit="1" customWidth="1"/>
    <col min="14759" max="14760" width="9.140625" style="55"/>
    <col min="14761" max="14761" width="10.28515625" style="55" bestFit="1" customWidth="1"/>
    <col min="14762" max="14763" width="9.140625" style="55"/>
    <col min="14764" max="14764" width="10.28515625" style="55" bestFit="1" customWidth="1"/>
    <col min="14765" max="14766" width="9.140625" style="55"/>
    <col min="14767" max="14767" width="10.28515625" style="55" bestFit="1" customWidth="1"/>
    <col min="14768" max="14769" width="9.140625" style="55"/>
    <col min="14770" max="14770" width="10.28515625" style="55" bestFit="1" customWidth="1"/>
    <col min="14771" max="14772" width="9.140625" style="55"/>
    <col min="14773" max="14773" width="10.28515625" style="55" bestFit="1" customWidth="1"/>
    <col min="14774" max="14775" width="9.140625" style="55"/>
    <col min="14776" max="14776" width="10.28515625" style="55" bestFit="1" customWidth="1"/>
    <col min="14777" max="14778" width="9.140625" style="55"/>
    <col min="14779" max="14779" width="10.28515625" style="55" bestFit="1" customWidth="1"/>
    <col min="14780" max="14781" width="9.140625" style="55"/>
    <col min="14782" max="14782" width="10.28515625" style="55" bestFit="1" customWidth="1"/>
    <col min="14783" max="14784" width="9.140625" style="55"/>
    <col min="14785" max="14785" width="10.28515625" style="55" bestFit="1" customWidth="1"/>
    <col min="14786" max="14787" width="9.140625" style="55"/>
    <col min="14788" max="14788" width="10.28515625" style="55" bestFit="1" customWidth="1"/>
    <col min="14789" max="14790" width="9.140625" style="55"/>
    <col min="14791" max="14791" width="10.28515625" style="55" bestFit="1" customWidth="1"/>
    <col min="14792" max="14793" width="9.140625" style="55"/>
    <col min="14794" max="14794" width="10.28515625" style="55" bestFit="1" customWidth="1"/>
    <col min="14795" max="14796" width="9.140625" style="55"/>
    <col min="14797" max="14797" width="10.28515625" style="55" bestFit="1" customWidth="1"/>
    <col min="14798" max="14799" width="9.140625" style="55"/>
    <col min="14800" max="14800" width="10.28515625" style="55" bestFit="1" customWidth="1"/>
    <col min="14801" max="14802" width="9.140625" style="55"/>
    <col min="14803" max="14803" width="10.28515625" style="55" bestFit="1" customWidth="1"/>
    <col min="14804" max="14805" width="9.140625" style="55"/>
    <col min="14806" max="14806" width="10.28515625" style="55" bestFit="1" customWidth="1"/>
    <col min="14807" max="14808" width="9.140625" style="55"/>
    <col min="14809" max="14809" width="10.28515625" style="55" bestFit="1" customWidth="1"/>
    <col min="14810" max="14811" width="9.140625" style="55"/>
    <col min="14812" max="14812" width="10.28515625" style="55" bestFit="1" customWidth="1"/>
    <col min="14813" max="14848" width="9.140625" style="55"/>
    <col min="14849" max="14849" width="6.28515625" style="55" customWidth="1"/>
    <col min="14850" max="14850" width="81.42578125" style="55" customWidth="1"/>
    <col min="14851" max="14851" width="10" style="55" customWidth="1"/>
    <col min="14852" max="14852" width="15.85546875" style="55" customWidth="1"/>
    <col min="14853" max="14853" width="13.5703125" style="55" customWidth="1"/>
    <col min="14854" max="14854" width="12.7109375" style="55" customWidth="1"/>
    <col min="14855" max="14855" width="11.5703125" style="55" customWidth="1"/>
    <col min="14856" max="14856" width="13" style="55" customWidth="1"/>
    <col min="14857" max="14857" width="0" style="55" hidden="1" customWidth="1"/>
    <col min="14858" max="14858" width="11" style="55" customWidth="1"/>
    <col min="14859" max="14859" width="13.42578125" style="55" customWidth="1"/>
    <col min="14860" max="14860" width="12.5703125" style="55" customWidth="1"/>
    <col min="14861" max="14861" width="11.7109375" style="55" customWidth="1"/>
    <col min="14862" max="14862" width="12" style="55" customWidth="1"/>
    <col min="14863" max="14863" width="0" style="55" hidden="1" customWidth="1"/>
    <col min="14864" max="14864" width="13.28515625" style="55" customWidth="1"/>
    <col min="14865" max="14865" width="11.7109375" style="55" customWidth="1"/>
    <col min="14866" max="14866" width="11.42578125" style="55" customWidth="1"/>
    <col min="14867" max="14867" width="13" style="55" customWidth="1"/>
    <col min="14868" max="14868" width="13.42578125" style="55" customWidth="1"/>
    <col min="14869" max="14869" width="0" style="55" hidden="1" customWidth="1"/>
    <col min="14870" max="14870" width="13.28515625" style="55" customWidth="1"/>
    <col min="14871" max="14871" width="13.140625" style="55" customWidth="1"/>
    <col min="14872" max="14872" width="12.140625" style="55" customWidth="1"/>
    <col min="14873" max="14874" width="11.85546875" style="55" customWidth="1"/>
    <col min="14875" max="14875" width="0" style="55" hidden="1" customWidth="1"/>
    <col min="14876" max="14876" width="12.28515625" style="55" bestFit="1" customWidth="1"/>
    <col min="14877" max="14877" width="10.7109375" style="55" customWidth="1"/>
    <col min="14878" max="14878" width="11.85546875" style="55" customWidth="1"/>
    <col min="14879" max="14879" width="13.140625" style="55" customWidth="1"/>
    <col min="14880" max="14880" width="13" style="55" customWidth="1"/>
    <col min="14881" max="14881" width="0" style="55" hidden="1" customWidth="1"/>
    <col min="14882" max="14882" width="11" style="55" customWidth="1"/>
    <col min="14883" max="14883" width="13" style="55" customWidth="1"/>
    <col min="14884" max="14884" width="12.5703125" style="55" customWidth="1"/>
    <col min="14885" max="14885" width="11.85546875" style="55" customWidth="1"/>
    <col min="14886" max="14886" width="12.28515625" style="55" customWidth="1"/>
    <col min="14887" max="14887" width="0" style="55" hidden="1" customWidth="1"/>
    <col min="14888" max="14888" width="12.85546875" style="55" customWidth="1"/>
    <col min="14889" max="14895" width="0" style="55" hidden="1" customWidth="1"/>
    <col min="14896" max="14896" width="60.85546875" style="55" customWidth="1"/>
    <col min="14897" max="14902" width="27.42578125" style="55" customWidth="1"/>
    <col min="14903" max="14905" width="31.28515625" style="55" customWidth="1"/>
    <col min="14906" max="14906" width="27.42578125" style="55" customWidth="1"/>
    <col min="14907" max="14909" width="34.28515625" style="55" customWidth="1"/>
    <col min="14910" max="14913" width="27.42578125" style="55" customWidth="1"/>
    <col min="14914" max="14914" width="39.42578125" style="55" customWidth="1"/>
    <col min="14915" max="14915" width="41.28515625" style="55" customWidth="1"/>
    <col min="14916" max="14927" width="27.42578125" style="55" customWidth="1"/>
    <col min="14928" max="14929" width="9.140625" style="55"/>
    <col min="14930" max="14930" width="10.28515625" style="55" bestFit="1" customWidth="1"/>
    <col min="14931" max="14932" width="9.140625" style="55"/>
    <col min="14933" max="14933" width="10.28515625" style="55" bestFit="1" customWidth="1"/>
    <col min="14934" max="14935" width="9.140625" style="55"/>
    <col min="14936" max="14936" width="10.28515625" style="55" bestFit="1" customWidth="1"/>
    <col min="14937" max="14938" width="9.140625" style="55"/>
    <col min="14939" max="14939" width="10.28515625" style="55" bestFit="1" customWidth="1"/>
    <col min="14940" max="14941" width="9.140625" style="55"/>
    <col min="14942" max="14942" width="10.28515625" style="55" bestFit="1" customWidth="1"/>
    <col min="14943" max="14944" width="9.140625" style="55"/>
    <col min="14945" max="14945" width="10.28515625" style="55" bestFit="1" customWidth="1"/>
    <col min="14946" max="14947" width="9.140625" style="55"/>
    <col min="14948" max="14948" width="10.28515625" style="55" bestFit="1" customWidth="1"/>
    <col min="14949" max="14950" width="9.140625" style="55"/>
    <col min="14951" max="14951" width="10.28515625" style="55" bestFit="1" customWidth="1"/>
    <col min="14952" max="14953" width="9.140625" style="55"/>
    <col min="14954" max="14954" width="10.28515625" style="55" bestFit="1" customWidth="1"/>
    <col min="14955" max="14956" width="9.140625" style="55"/>
    <col min="14957" max="14957" width="10.28515625" style="55" bestFit="1" customWidth="1"/>
    <col min="14958" max="14959" width="9.140625" style="55"/>
    <col min="14960" max="14960" width="10.28515625" style="55" bestFit="1" customWidth="1"/>
    <col min="14961" max="14962" width="9.140625" style="55"/>
    <col min="14963" max="14963" width="10.28515625" style="55" bestFit="1" customWidth="1"/>
    <col min="14964" max="14965" width="9.140625" style="55"/>
    <col min="14966" max="14966" width="10.28515625" style="55" bestFit="1" customWidth="1"/>
    <col min="14967" max="14968" width="9.140625" style="55"/>
    <col min="14969" max="14969" width="10.28515625" style="55" bestFit="1" customWidth="1"/>
    <col min="14970" max="14971" width="9.140625" style="55"/>
    <col min="14972" max="14972" width="10.28515625" style="55" bestFit="1" customWidth="1"/>
    <col min="14973" max="14974" width="9.140625" style="55"/>
    <col min="14975" max="14975" width="10.28515625" style="55" bestFit="1" customWidth="1"/>
    <col min="14976" max="14977" width="9.140625" style="55"/>
    <col min="14978" max="14978" width="10.28515625" style="55" bestFit="1" customWidth="1"/>
    <col min="14979" max="14980" width="9.140625" style="55"/>
    <col min="14981" max="14981" width="10.28515625" style="55" bestFit="1" customWidth="1"/>
    <col min="14982" max="14983" width="9.140625" style="55"/>
    <col min="14984" max="14984" width="10.28515625" style="55" bestFit="1" customWidth="1"/>
    <col min="14985" max="14986" width="9.140625" style="55"/>
    <col min="14987" max="14987" width="10.28515625" style="55" bestFit="1" customWidth="1"/>
    <col min="14988" max="14989" width="9.140625" style="55"/>
    <col min="14990" max="14990" width="10.28515625" style="55" bestFit="1" customWidth="1"/>
    <col min="14991" max="14992" width="9.140625" style="55"/>
    <col min="14993" max="14993" width="10.28515625" style="55" bestFit="1" customWidth="1"/>
    <col min="14994" max="14995" width="9.140625" style="55"/>
    <col min="14996" max="14996" width="10.28515625" style="55" bestFit="1" customWidth="1"/>
    <col min="14997" max="14998" width="9.140625" style="55"/>
    <col min="14999" max="14999" width="10.28515625" style="55" bestFit="1" customWidth="1"/>
    <col min="15000" max="15001" width="9.140625" style="55"/>
    <col min="15002" max="15002" width="10.28515625" style="55" bestFit="1" customWidth="1"/>
    <col min="15003" max="15004" width="9.140625" style="55"/>
    <col min="15005" max="15005" width="10.28515625" style="55" bestFit="1" customWidth="1"/>
    <col min="15006" max="15007" width="9.140625" style="55"/>
    <col min="15008" max="15008" width="10.28515625" style="55" bestFit="1" customWidth="1"/>
    <col min="15009" max="15010" width="9.140625" style="55"/>
    <col min="15011" max="15011" width="10.28515625" style="55" bestFit="1" customWidth="1"/>
    <col min="15012" max="15013" width="9.140625" style="55"/>
    <col min="15014" max="15014" width="10.28515625" style="55" bestFit="1" customWidth="1"/>
    <col min="15015" max="15016" width="9.140625" style="55"/>
    <col min="15017" max="15017" width="10.28515625" style="55" bestFit="1" customWidth="1"/>
    <col min="15018" max="15019" width="9.140625" style="55"/>
    <col min="15020" max="15020" width="10.28515625" style="55" bestFit="1" customWidth="1"/>
    <col min="15021" max="15022" width="9.140625" style="55"/>
    <col min="15023" max="15023" width="10.28515625" style="55" bestFit="1" customWidth="1"/>
    <col min="15024" max="15025" width="9.140625" style="55"/>
    <col min="15026" max="15026" width="10.28515625" style="55" bestFit="1" customWidth="1"/>
    <col min="15027" max="15028" width="9.140625" style="55"/>
    <col min="15029" max="15029" width="10.28515625" style="55" bestFit="1" customWidth="1"/>
    <col min="15030" max="15031" width="9.140625" style="55"/>
    <col min="15032" max="15032" width="10.28515625" style="55" bestFit="1" customWidth="1"/>
    <col min="15033" max="15034" width="9.140625" style="55"/>
    <col min="15035" max="15035" width="10.28515625" style="55" bestFit="1" customWidth="1"/>
    <col min="15036" max="15037" width="9.140625" style="55"/>
    <col min="15038" max="15038" width="10.28515625" style="55" bestFit="1" customWidth="1"/>
    <col min="15039" max="15040" width="9.140625" style="55"/>
    <col min="15041" max="15041" width="10.28515625" style="55" bestFit="1" customWidth="1"/>
    <col min="15042" max="15043" width="9.140625" style="55"/>
    <col min="15044" max="15044" width="10.28515625" style="55" bestFit="1" customWidth="1"/>
    <col min="15045" max="15046" width="9.140625" style="55"/>
    <col min="15047" max="15047" width="10.28515625" style="55" bestFit="1" customWidth="1"/>
    <col min="15048" max="15049" width="9.140625" style="55"/>
    <col min="15050" max="15050" width="10.28515625" style="55" bestFit="1" customWidth="1"/>
    <col min="15051" max="15052" width="9.140625" style="55"/>
    <col min="15053" max="15053" width="10.28515625" style="55" bestFit="1" customWidth="1"/>
    <col min="15054" max="15055" width="9.140625" style="55"/>
    <col min="15056" max="15056" width="10.28515625" style="55" bestFit="1" customWidth="1"/>
    <col min="15057" max="15058" width="9.140625" style="55"/>
    <col min="15059" max="15059" width="10.28515625" style="55" bestFit="1" customWidth="1"/>
    <col min="15060" max="15061" width="9.140625" style="55"/>
    <col min="15062" max="15062" width="10.28515625" style="55" bestFit="1" customWidth="1"/>
    <col min="15063" max="15064" width="9.140625" style="55"/>
    <col min="15065" max="15065" width="10.28515625" style="55" bestFit="1" customWidth="1"/>
    <col min="15066" max="15067" width="9.140625" style="55"/>
    <col min="15068" max="15068" width="10.28515625" style="55" bestFit="1" customWidth="1"/>
    <col min="15069" max="15104" width="9.140625" style="55"/>
    <col min="15105" max="15105" width="6.28515625" style="55" customWidth="1"/>
    <col min="15106" max="15106" width="81.42578125" style="55" customWidth="1"/>
    <col min="15107" max="15107" width="10" style="55" customWidth="1"/>
    <col min="15108" max="15108" width="15.85546875" style="55" customWidth="1"/>
    <col min="15109" max="15109" width="13.5703125" style="55" customWidth="1"/>
    <col min="15110" max="15110" width="12.7109375" style="55" customWidth="1"/>
    <col min="15111" max="15111" width="11.5703125" style="55" customWidth="1"/>
    <col min="15112" max="15112" width="13" style="55" customWidth="1"/>
    <col min="15113" max="15113" width="0" style="55" hidden="1" customWidth="1"/>
    <col min="15114" max="15114" width="11" style="55" customWidth="1"/>
    <col min="15115" max="15115" width="13.42578125" style="55" customWidth="1"/>
    <col min="15116" max="15116" width="12.5703125" style="55" customWidth="1"/>
    <col min="15117" max="15117" width="11.7109375" style="55" customWidth="1"/>
    <col min="15118" max="15118" width="12" style="55" customWidth="1"/>
    <col min="15119" max="15119" width="0" style="55" hidden="1" customWidth="1"/>
    <col min="15120" max="15120" width="13.28515625" style="55" customWidth="1"/>
    <col min="15121" max="15121" width="11.7109375" style="55" customWidth="1"/>
    <col min="15122" max="15122" width="11.42578125" style="55" customWidth="1"/>
    <col min="15123" max="15123" width="13" style="55" customWidth="1"/>
    <col min="15124" max="15124" width="13.42578125" style="55" customWidth="1"/>
    <col min="15125" max="15125" width="0" style="55" hidden="1" customWidth="1"/>
    <col min="15126" max="15126" width="13.28515625" style="55" customWidth="1"/>
    <col min="15127" max="15127" width="13.140625" style="55" customWidth="1"/>
    <col min="15128" max="15128" width="12.140625" style="55" customWidth="1"/>
    <col min="15129" max="15130" width="11.85546875" style="55" customWidth="1"/>
    <col min="15131" max="15131" width="0" style="55" hidden="1" customWidth="1"/>
    <col min="15132" max="15132" width="12.28515625" style="55" bestFit="1" customWidth="1"/>
    <col min="15133" max="15133" width="10.7109375" style="55" customWidth="1"/>
    <col min="15134" max="15134" width="11.85546875" style="55" customWidth="1"/>
    <col min="15135" max="15135" width="13.140625" style="55" customWidth="1"/>
    <col min="15136" max="15136" width="13" style="55" customWidth="1"/>
    <col min="15137" max="15137" width="0" style="55" hidden="1" customWidth="1"/>
    <col min="15138" max="15138" width="11" style="55" customWidth="1"/>
    <col min="15139" max="15139" width="13" style="55" customWidth="1"/>
    <col min="15140" max="15140" width="12.5703125" style="55" customWidth="1"/>
    <col min="15141" max="15141" width="11.85546875" style="55" customWidth="1"/>
    <col min="15142" max="15142" width="12.28515625" style="55" customWidth="1"/>
    <col min="15143" max="15143" width="0" style="55" hidden="1" customWidth="1"/>
    <col min="15144" max="15144" width="12.85546875" style="55" customWidth="1"/>
    <col min="15145" max="15151" width="0" style="55" hidden="1" customWidth="1"/>
    <col min="15152" max="15152" width="60.85546875" style="55" customWidth="1"/>
    <col min="15153" max="15158" width="27.42578125" style="55" customWidth="1"/>
    <col min="15159" max="15161" width="31.28515625" style="55" customWidth="1"/>
    <col min="15162" max="15162" width="27.42578125" style="55" customWidth="1"/>
    <col min="15163" max="15165" width="34.28515625" style="55" customWidth="1"/>
    <col min="15166" max="15169" width="27.42578125" style="55" customWidth="1"/>
    <col min="15170" max="15170" width="39.42578125" style="55" customWidth="1"/>
    <col min="15171" max="15171" width="41.28515625" style="55" customWidth="1"/>
    <col min="15172" max="15183" width="27.42578125" style="55" customWidth="1"/>
    <col min="15184" max="15185" width="9.140625" style="55"/>
    <col min="15186" max="15186" width="10.28515625" style="55" bestFit="1" customWidth="1"/>
    <col min="15187" max="15188" width="9.140625" style="55"/>
    <col min="15189" max="15189" width="10.28515625" style="55" bestFit="1" customWidth="1"/>
    <col min="15190" max="15191" width="9.140625" style="55"/>
    <col min="15192" max="15192" width="10.28515625" style="55" bestFit="1" customWidth="1"/>
    <col min="15193" max="15194" width="9.140625" style="55"/>
    <col min="15195" max="15195" width="10.28515625" style="55" bestFit="1" customWidth="1"/>
    <col min="15196" max="15197" width="9.140625" style="55"/>
    <col min="15198" max="15198" width="10.28515625" style="55" bestFit="1" customWidth="1"/>
    <col min="15199" max="15200" width="9.140625" style="55"/>
    <col min="15201" max="15201" width="10.28515625" style="55" bestFit="1" customWidth="1"/>
    <col min="15202" max="15203" width="9.140625" style="55"/>
    <col min="15204" max="15204" width="10.28515625" style="55" bestFit="1" customWidth="1"/>
    <col min="15205" max="15206" width="9.140625" style="55"/>
    <col min="15207" max="15207" width="10.28515625" style="55" bestFit="1" customWidth="1"/>
    <col min="15208" max="15209" width="9.140625" style="55"/>
    <col min="15210" max="15210" width="10.28515625" style="55" bestFit="1" customWidth="1"/>
    <col min="15211" max="15212" width="9.140625" style="55"/>
    <col min="15213" max="15213" width="10.28515625" style="55" bestFit="1" customWidth="1"/>
    <col min="15214" max="15215" width="9.140625" style="55"/>
    <col min="15216" max="15216" width="10.28515625" style="55" bestFit="1" customWidth="1"/>
    <col min="15217" max="15218" width="9.140625" style="55"/>
    <col min="15219" max="15219" width="10.28515625" style="55" bestFit="1" customWidth="1"/>
    <col min="15220" max="15221" width="9.140625" style="55"/>
    <col min="15222" max="15222" width="10.28515625" style="55" bestFit="1" customWidth="1"/>
    <col min="15223" max="15224" width="9.140625" style="55"/>
    <col min="15225" max="15225" width="10.28515625" style="55" bestFit="1" customWidth="1"/>
    <col min="15226" max="15227" width="9.140625" style="55"/>
    <col min="15228" max="15228" width="10.28515625" style="55" bestFit="1" customWidth="1"/>
    <col min="15229" max="15230" width="9.140625" style="55"/>
    <col min="15231" max="15231" width="10.28515625" style="55" bestFit="1" customWidth="1"/>
    <col min="15232" max="15233" width="9.140625" style="55"/>
    <col min="15234" max="15234" width="10.28515625" style="55" bestFit="1" customWidth="1"/>
    <col min="15235" max="15236" width="9.140625" style="55"/>
    <col min="15237" max="15237" width="10.28515625" style="55" bestFit="1" customWidth="1"/>
    <col min="15238" max="15239" width="9.140625" style="55"/>
    <col min="15240" max="15240" width="10.28515625" style="55" bestFit="1" customWidth="1"/>
    <col min="15241" max="15242" width="9.140625" style="55"/>
    <col min="15243" max="15243" width="10.28515625" style="55" bestFit="1" customWidth="1"/>
    <col min="15244" max="15245" width="9.140625" style="55"/>
    <col min="15246" max="15246" width="10.28515625" style="55" bestFit="1" customWidth="1"/>
    <col min="15247" max="15248" width="9.140625" style="55"/>
    <col min="15249" max="15249" width="10.28515625" style="55" bestFit="1" customWidth="1"/>
    <col min="15250" max="15251" width="9.140625" style="55"/>
    <col min="15252" max="15252" width="10.28515625" style="55" bestFit="1" customWidth="1"/>
    <col min="15253" max="15254" width="9.140625" style="55"/>
    <col min="15255" max="15255" width="10.28515625" style="55" bestFit="1" customWidth="1"/>
    <col min="15256" max="15257" width="9.140625" style="55"/>
    <col min="15258" max="15258" width="10.28515625" style="55" bestFit="1" customWidth="1"/>
    <col min="15259" max="15260" width="9.140625" style="55"/>
    <col min="15261" max="15261" width="10.28515625" style="55" bestFit="1" customWidth="1"/>
    <col min="15262" max="15263" width="9.140625" style="55"/>
    <col min="15264" max="15264" width="10.28515625" style="55" bestFit="1" customWidth="1"/>
    <col min="15265" max="15266" width="9.140625" style="55"/>
    <col min="15267" max="15267" width="10.28515625" style="55" bestFit="1" customWidth="1"/>
    <col min="15268" max="15269" width="9.140625" style="55"/>
    <col min="15270" max="15270" width="10.28515625" style="55" bestFit="1" customWidth="1"/>
    <col min="15271" max="15272" width="9.140625" style="55"/>
    <col min="15273" max="15273" width="10.28515625" style="55" bestFit="1" customWidth="1"/>
    <col min="15274" max="15275" width="9.140625" style="55"/>
    <col min="15276" max="15276" width="10.28515625" style="55" bestFit="1" customWidth="1"/>
    <col min="15277" max="15278" width="9.140625" style="55"/>
    <col min="15279" max="15279" width="10.28515625" style="55" bestFit="1" customWidth="1"/>
    <col min="15280" max="15281" width="9.140625" style="55"/>
    <col min="15282" max="15282" width="10.28515625" style="55" bestFit="1" customWidth="1"/>
    <col min="15283" max="15284" width="9.140625" style="55"/>
    <col min="15285" max="15285" width="10.28515625" style="55" bestFit="1" customWidth="1"/>
    <col min="15286" max="15287" width="9.140625" style="55"/>
    <col min="15288" max="15288" width="10.28515625" style="55" bestFit="1" customWidth="1"/>
    <col min="15289" max="15290" width="9.140625" style="55"/>
    <col min="15291" max="15291" width="10.28515625" style="55" bestFit="1" customWidth="1"/>
    <col min="15292" max="15293" width="9.140625" style="55"/>
    <col min="15294" max="15294" width="10.28515625" style="55" bestFit="1" customWidth="1"/>
    <col min="15295" max="15296" width="9.140625" style="55"/>
    <col min="15297" max="15297" width="10.28515625" style="55" bestFit="1" customWidth="1"/>
    <col min="15298" max="15299" width="9.140625" style="55"/>
    <col min="15300" max="15300" width="10.28515625" style="55" bestFit="1" customWidth="1"/>
    <col min="15301" max="15302" width="9.140625" style="55"/>
    <col min="15303" max="15303" width="10.28515625" style="55" bestFit="1" customWidth="1"/>
    <col min="15304" max="15305" width="9.140625" style="55"/>
    <col min="15306" max="15306" width="10.28515625" style="55" bestFit="1" customWidth="1"/>
    <col min="15307" max="15308" width="9.140625" style="55"/>
    <col min="15309" max="15309" width="10.28515625" style="55" bestFit="1" customWidth="1"/>
    <col min="15310" max="15311" width="9.140625" style="55"/>
    <col min="15312" max="15312" width="10.28515625" style="55" bestFit="1" customWidth="1"/>
    <col min="15313" max="15314" width="9.140625" style="55"/>
    <col min="15315" max="15315" width="10.28515625" style="55" bestFit="1" customWidth="1"/>
    <col min="15316" max="15317" width="9.140625" style="55"/>
    <col min="15318" max="15318" width="10.28515625" style="55" bestFit="1" customWidth="1"/>
    <col min="15319" max="15320" width="9.140625" style="55"/>
    <col min="15321" max="15321" width="10.28515625" style="55" bestFit="1" customWidth="1"/>
    <col min="15322" max="15323" width="9.140625" style="55"/>
    <col min="15324" max="15324" width="10.28515625" style="55" bestFit="1" customWidth="1"/>
    <col min="15325" max="15360" width="9.140625" style="55"/>
    <col min="15361" max="15361" width="6.28515625" style="55" customWidth="1"/>
    <col min="15362" max="15362" width="81.42578125" style="55" customWidth="1"/>
    <col min="15363" max="15363" width="10" style="55" customWidth="1"/>
    <col min="15364" max="15364" width="15.85546875" style="55" customWidth="1"/>
    <col min="15365" max="15365" width="13.5703125" style="55" customWidth="1"/>
    <col min="15366" max="15366" width="12.7109375" style="55" customWidth="1"/>
    <col min="15367" max="15367" width="11.5703125" style="55" customWidth="1"/>
    <col min="15368" max="15368" width="13" style="55" customWidth="1"/>
    <col min="15369" max="15369" width="0" style="55" hidden="1" customWidth="1"/>
    <col min="15370" max="15370" width="11" style="55" customWidth="1"/>
    <col min="15371" max="15371" width="13.42578125" style="55" customWidth="1"/>
    <col min="15372" max="15372" width="12.5703125" style="55" customWidth="1"/>
    <col min="15373" max="15373" width="11.7109375" style="55" customWidth="1"/>
    <col min="15374" max="15374" width="12" style="55" customWidth="1"/>
    <col min="15375" max="15375" width="0" style="55" hidden="1" customWidth="1"/>
    <col min="15376" max="15376" width="13.28515625" style="55" customWidth="1"/>
    <col min="15377" max="15377" width="11.7109375" style="55" customWidth="1"/>
    <col min="15378" max="15378" width="11.42578125" style="55" customWidth="1"/>
    <col min="15379" max="15379" width="13" style="55" customWidth="1"/>
    <col min="15380" max="15380" width="13.42578125" style="55" customWidth="1"/>
    <col min="15381" max="15381" width="0" style="55" hidden="1" customWidth="1"/>
    <col min="15382" max="15382" width="13.28515625" style="55" customWidth="1"/>
    <col min="15383" max="15383" width="13.140625" style="55" customWidth="1"/>
    <col min="15384" max="15384" width="12.140625" style="55" customWidth="1"/>
    <col min="15385" max="15386" width="11.85546875" style="55" customWidth="1"/>
    <col min="15387" max="15387" width="0" style="55" hidden="1" customWidth="1"/>
    <col min="15388" max="15388" width="12.28515625" style="55" bestFit="1" customWidth="1"/>
    <col min="15389" max="15389" width="10.7109375" style="55" customWidth="1"/>
    <col min="15390" max="15390" width="11.85546875" style="55" customWidth="1"/>
    <col min="15391" max="15391" width="13.140625" style="55" customWidth="1"/>
    <col min="15392" max="15392" width="13" style="55" customWidth="1"/>
    <col min="15393" max="15393" width="0" style="55" hidden="1" customWidth="1"/>
    <col min="15394" max="15394" width="11" style="55" customWidth="1"/>
    <col min="15395" max="15395" width="13" style="55" customWidth="1"/>
    <col min="15396" max="15396" width="12.5703125" style="55" customWidth="1"/>
    <col min="15397" max="15397" width="11.85546875" style="55" customWidth="1"/>
    <col min="15398" max="15398" width="12.28515625" style="55" customWidth="1"/>
    <col min="15399" max="15399" width="0" style="55" hidden="1" customWidth="1"/>
    <col min="15400" max="15400" width="12.85546875" style="55" customWidth="1"/>
    <col min="15401" max="15407" width="0" style="55" hidden="1" customWidth="1"/>
    <col min="15408" max="15408" width="60.85546875" style="55" customWidth="1"/>
    <col min="15409" max="15414" width="27.42578125" style="55" customWidth="1"/>
    <col min="15415" max="15417" width="31.28515625" style="55" customWidth="1"/>
    <col min="15418" max="15418" width="27.42578125" style="55" customWidth="1"/>
    <col min="15419" max="15421" width="34.28515625" style="55" customWidth="1"/>
    <col min="15422" max="15425" width="27.42578125" style="55" customWidth="1"/>
    <col min="15426" max="15426" width="39.42578125" style="55" customWidth="1"/>
    <col min="15427" max="15427" width="41.28515625" style="55" customWidth="1"/>
    <col min="15428" max="15439" width="27.42578125" style="55" customWidth="1"/>
    <col min="15440" max="15441" width="9.140625" style="55"/>
    <col min="15442" max="15442" width="10.28515625" style="55" bestFit="1" customWidth="1"/>
    <col min="15443" max="15444" width="9.140625" style="55"/>
    <col min="15445" max="15445" width="10.28515625" style="55" bestFit="1" customWidth="1"/>
    <col min="15446" max="15447" width="9.140625" style="55"/>
    <col min="15448" max="15448" width="10.28515625" style="55" bestFit="1" customWidth="1"/>
    <col min="15449" max="15450" width="9.140625" style="55"/>
    <col min="15451" max="15451" width="10.28515625" style="55" bestFit="1" customWidth="1"/>
    <col min="15452" max="15453" width="9.140625" style="55"/>
    <col min="15454" max="15454" width="10.28515625" style="55" bestFit="1" customWidth="1"/>
    <col min="15455" max="15456" width="9.140625" style="55"/>
    <col min="15457" max="15457" width="10.28515625" style="55" bestFit="1" customWidth="1"/>
    <col min="15458" max="15459" width="9.140625" style="55"/>
    <col min="15460" max="15460" width="10.28515625" style="55" bestFit="1" customWidth="1"/>
    <col min="15461" max="15462" width="9.140625" style="55"/>
    <col min="15463" max="15463" width="10.28515625" style="55" bestFit="1" customWidth="1"/>
    <col min="15464" max="15465" width="9.140625" style="55"/>
    <col min="15466" max="15466" width="10.28515625" style="55" bestFit="1" customWidth="1"/>
    <col min="15467" max="15468" width="9.140625" style="55"/>
    <col min="15469" max="15469" width="10.28515625" style="55" bestFit="1" customWidth="1"/>
    <col min="15470" max="15471" width="9.140625" style="55"/>
    <col min="15472" max="15472" width="10.28515625" style="55" bestFit="1" customWidth="1"/>
    <col min="15473" max="15474" width="9.140625" style="55"/>
    <col min="15475" max="15475" width="10.28515625" style="55" bestFit="1" customWidth="1"/>
    <col min="15476" max="15477" width="9.140625" style="55"/>
    <col min="15478" max="15478" width="10.28515625" style="55" bestFit="1" customWidth="1"/>
    <col min="15479" max="15480" width="9.140625" style="55"/>
    <col min="15481" max="15481" width="10.28515625" style="55" bestFit="1" customWidth="1"/>
    <col min="15482" max="15483" width="9.140625" style="55"/>
    <col min="15484" max="15484" width="10.28515625" style="55" bestFit="1" customWidth="1"/>
    <col min="15485" max="15486" width="9.140625" style="55"/>
    <col min="15487" max="15487" width="10.28515625" style="55" bestFit="1" customWidth="1"/>
    <col min="15488" max="15489" width="9.140625" style="55"/>
    <col min="15490" max="15490" width="10.28515625" style="55" bestFit="1" customWidth="1"/>
    <col min="15491" max="15492" width="9.140625" style="55"/>
    <col min="15493" max="15493" width="10.28515625" style="55" bestFit="1" customWidth="1"/>
    <col min="15494" max="15495" width="9.140625" style="55"/>
    <col min="15496" max="15496" width="10.28515625" style="55" bestFit="1" customWidth="1"/>
    <col min="15497" max="15498" width="9.140625" style="55"/>
    <col min="15499" max="15499" width="10.28515625" style="55" bestFit="1" customWidth="1"/>
    <col min="15500" max="15501" width="9.140625" style="55"/>
    <col min="15502" max="15502" width="10.28515625" style="55" bestFit="1" customWidth="1"/>
    <col min="15503" max="15504" width="9.140625" style="55"/>
    <col min="15505" max="15505" width="10.28515625" style="55" bestFit="1" customWidth="1"/>
    <col min="15506" max="15507" width="9.140625" style="55"/>
    <col min="15508" max="15508" width="10.28515625" style="55" bestFit="1" customWidth="1"/>
    <col min="15509" max="15510" width="9.140625" style="55"/>
    <col min="15511" max="15511" width="10.28515625" style="55" bestFit="1" customWidth="1"/>
    <col min="15512" max="15513" width="9.140625" style="55"/>
    <col min="15514" max="15514" width="10.28515625" style="55" bestFit="1" customWidth="1"/>
    <col min="15515" max="15516" width="9.140625" style="55"/>
    <col min="15517" max="15517" width="10.28515625" style="55" bestFit="1" customWidth="1"/>
    <col min="15518" max="15519" width="9.140625" style="55"/>
    <col min="15520" max="15520" width="10.28515625" style="55" bestFit="1" customWidth="1"/>
    <col min="15521" max="15522" width="9.140625" style="55"/>
    <col min="15523" max="15523" width="10.28515625" style="55" bestFit="1" customWidth="1"/>
    <col min="15524" max="15525" width="9.140625" style="55"/>
    <col min="15526" max="15526" width="10.28515625" style="55" bestFit="1" customWidth="1"/>
    <col min="15527" max="15528" width="9.140625" style="55"/>
    <col min="15529" max="15529" width="10.28515625" style="55" bestFit="1" customWidth="1"/>
    <col min="15530" max="15531" width="9.140625" style="55"/>
    <col min="15532" max="15532" width="10.28515625" style="55" bestFit="1" customWidth="1"/>
    <col min="15533" max="15534" width="9.140625" style="55"/>
    <col min="15535" max="15535" width="10.28515625" style="55" bestFit="1" customWidth="1"/>
    <col min="15536" max="15537" width="9.140625" style="55"/>
    <col min="15538" max="15538" width="10.28515625" style="55" bestFit="1" customWidth="1"/>
    <col min="15539" max="15540" width="9.140625" style="55"/>
    <col min="15541" max="15541" width="10.28515625" style="55" bestFit="1" customWidth="1"/>
    <col min="15542" max="15543" width="9.140625" style="55"/>
    <col min="15544" max="15544" width="10.28515625" style="55" bestFit="1" customWidth="1"/>
    <col min="15545" max="15546" width="9.140625" style="55"/>
    <col min="15547" max="15547" width="10.28515625" style="55" bestFit="1" customWidth="1"/>
    <col min="15548" max="15549" width="9.140625" style="55"/>
    <col min="15550" max="15550" width="10.28515625" style="55" bestFit="1" customWidth="1"/>
    <col min="15551" max="15552" width="9.140625" style="55"/>
    <col min="15553" max="15553" width="10.28515625" style="55" bestFit="1" customWidth="1"/>
    <col min="15554" max="15555" width="9.140625" style="55"/>
    <col min="15556" max="15556" width="10.28515625" style="55" bestFit="1" customWidth="1"/>
    <col min="15557" max="15558" width="9.140625" style="55"/>
    <col min="15559" max="15559" width="10.28515625" style="55" bestFit="1" customWidth="1"/>
    <col min="15560" max="15561" width="9.140625" style="55"/>
    <col min="15562" max="15562" width="10.28515625" style="55" bestFit="1" customWidth="1"/>
    <col min="15563" max="15564" width="9.140625" style="55"/>
    <col min="15565" max="15565" width="10.28515625" style="55" bestFit="1" customWidth="1"/>
    <col min="15566" max="15567" width="9.140625" style="55"/>
    <col min="15568" max="15568" width="10.28515625" style="55" bestFit="1" customWidth="1"/>
    <col min="15569" max="15570" width="9.140625" style="55"/>
    <col min="15571" max="15571" width="10.28515625" style="55" bestFit="1" customWidth="1"/>
    <col min="15572" max="15573" width="9.140625" style="55"/>
    <col min="15574" max="15574" width="10.28515625" style="55" bestFit="1" customWidth="1"/>
    <col min="15575" max="15576" width="9.140625" style="55"/>
    <col min="15577" max="15577" width="10.28515625" style="55" bestFit="1" customWidth="1"/>
    <col min="15578" max="15579" width="9.140625" style="55"/>
    <col min="15580" max="15580" width="10.28515625" style="55" bestFit="1" customWidth="1"/>
    <col min="15581" max="15616" width="9.140625" style="55"/>
    <col min="15617" max="15617" width="6.28515625" style="55" customWidth="1"/>
    <col min="15618" max="15618" width="81.42578125" style="55" customWidth="1"/>
    <col min="15619" max="15619" width="10" style="55" customWidth="1"/>
    <col min="15620" max="15620" width="15.85546875" style="55" customWidth="1"/>
    <col min="15621" max="15621" width="13.5703125" style="55" customWidth="1"/>
    <col min="15622" max="15622" width="12.7109375" style="55" customWidth="1"/>
    <col min="15623" max="15623" width="11.5703125" style="55" customWidth="1"/>
    <col min="15624" max="15624" width="13" style="55" customWidth="1"/>
    <col min="15625" max="15625" width="0" style="55" hidden="1" customWidth="1"/>
    <col min="15626" max="15626" width="11" style="55" customWidth="1"/>
    <col min="15627" max="15627" width="13.42578125" style="55" customWidth="1"/>
    <col min="15628" max="15628" width="12.5703125" style="55" customWidth="1"/>
    <col min="15629" max="15629" width="11.7109375" style="55" customWidth="1"/>
    <col min="15630" max="15630" width="12" style="55" customWidth="1"/>
    <col min="15631" max="15631" width="0" style="55" hidden="1" customWidth="1"/>
    <col min="15632" max="15632" width="13.28515625" style="55" customWidth="1"/>
    <col min="15633" max="15633" width="11.7109375" style="55" customWidth="1"/>
    <col min="15634" max="15634" width="11.42578125" style="55" customWidth="1"/>
    <col min="15635" max="15635" width="13" style="55" customWidth="1"/>
    <col min="15636" max="15636" width="13.42578125" style="55" customWidth="1"/>
    <col min="15637" max="15637" width="0" style="55" hidden="1" customWidth="1"/>
    <col min="15638" max="15638" width="13.28515625" style="55" customWidth="1"/>
    <col min="15639" max="15639" width="13.140625" style="55" customWidth="1"/>
    <col min="15640" max="15640" width="12.140625" style="55" customWidth="1"/>
    <col min="15641" max="15642" width="11.85546875" style="55" customWidth="1"/>
    <col min="15643" max="15643" width="0" style="55" hidden="1" customWidth="1"/>
    <col min="15644" max="15644" width="12.28515625" style="55" bestFit="1" customWidth="1"/>
    <col min="15645" max="15645" width="10.7109375" style="55" customWidth="1"/>
    <col min="15646" max="15646" width="11.85546875" style="55" customWidth="1"/>
    <col min="15647" max="15647" width="13.140625" style="55" customWidth="1"/>
    <col min="15648" max="15648" width="13" style="55" customWidth="1"/>
    <col min="15649" max="15649" width="0" style="55" hidden="1" customWidth="1"/>
    <col min="15650" max="15650" width="11" style="55" customWidth="1"/>
    <col min="15651" max="15651" width="13" style="55" customWidth="1"/>
    <col min="15652" max="15652" width="12.5703125" style="55" customWidth="1"/>
    <col min="15653" max="15653" width="11.85546875" style="55" customWidth="1"/>
    <col min="15654" max="15654" width="12.28515625" style="55" customWidth="1"/>
    <col min="15655" max="15655" width="0" style="55" hidden="1" customWidth="1"/>
    <col min="15656" max="15656" width="12.85546875" style="55" customWidth="1"/>
    <col min="15657" max="15663" width="0" style="55" hidden="1" customWidth="1"/>
    <col min="15664" max="15664" width="60.85546875" style="55" customWidth="1"/>
    <col min="15665" max="15670" width="27.42578125" style="55" customWidth="1"/>
    <col min="15671" max="15673" width="31.28515625" style="55" customWidth="1"/>
    <col min="15674" max="15674" width="27.42578125" style="55" customWidth="1"/>
    <col min="15675" max="15677" width="34.28515625" style="55" customWidth="1"/>
    <col min="15678" max="15681" width="27.42578125" style="55" customWidth="1"/>
    <col min="15682" max="15682" width="39.42578125" style="55" customWidth="1"/>
    <col min="15683" max="15683" width="41.28515625" style="55" customWidth="1"/>
    <col min="15684" max="15695" width="27.42578125" style="55" customWidth="1"/>
    <col min="15696" max="15697" width="9.140625" style="55"/>
    <col min="15698" max="15698" width="10.28515625" style="55" bestFit="1" customWidth="1"/>
    <col min="15699" max="15700" width="9.140625" style="55"/>
    <col min="15701" max="15701" width="10.28515625" style="55" bestFit="1" customWidth="1"/>
    <col min="15702" max="15703" width="9.140625" style="55"/>
    <col min="15704" max="15704" width="10.28515625" style="55" bestFit="1" customWidth="1"/>
    <col min="15705" max="15706" width="9.140625" style="55"/>
    <col min="15707" max="15707" width="10.28515625" style="55" bestFit="1" customWidth="1"/>
    <col min="15708" max="15709" width="9.140625" style="55"/>
    <col min="15710" max="15710" width="10.28515625" style="55" bestFit="1" customWidth="1"/>
    <col min="15711" max="15712" width="9.140625" style="55"/>
    <col min="15713" max="15713" width="10.28515625" style="55" bestFit="1" customWidth="1"/>
    <col min="15714" max="15715" width="9.140625" style="55"/>
    <col min="15716" max="15716" width="10.28515625" style="55" bestFit="1" customWidth="1"/>
    <col min="15717" max="15718" width="9.140625" style="55"/>
    <col min="15719" max="15719" width="10.28515625" style="55" bestFit="1" customWidth="1"/>
    <col min="15720" max="15721" width="9.140625" style="55"/>
    <col min="15722" max="15722" width="10.28515625" style="55" bestFit="1" customWidth="1"/>
    <col min="15723" max="15724" width="9.140625" style="55"/>
    <col min="15725" max="15725" width="10.28515625" style="55" bestFit="1" customWidth="1"/>
    <col min="15726" max="15727" width="9.140625" style="55"/>
    <col min="15728" max="15728" width="10.28515625" style="55" bestFit="1" customWidth="1"/>
    <col min="15729" max="15730" width="9.140625" style="55"/>
    <col min="15731" max="15731" width="10.28515625" style="55" bestFit="1" customWidth="1"/>
    <col min="15732" max="15733" width="9.140625" style="55"/>
    <col min="15734" max="15734" width="10.28515625" style="55" bestFit="1" customWidth="1"/>
    <col min="15735" max="15736" width="9.140625" style="55"/>
    <col min="15737" max="15737" width="10.28515625" style="55" bestFit="1" customWidth="1"/>
    <col min="15738" max="15739" width="9.140625" style="55"/>
    <col min="15740" max="15740" width="10.28515625" style="55" bestFit="1" customWidth="1"/>
    <col min="15741" max="15742" width="9.140625" style="55"/>
    <col min="15743" max="15743" width="10.28515625" style="55" bestFit="1" customWidth="1"/>
    <col min="15744" max="15745" width="9.140625" style="55"/>
    <col min="15746" max="15746" width="10.28515625" style="55" bestFit="1" customWidth="1"/>
    <col min="15747" max="15748" width="9.140625" style="55"/>
    <col min="15749" max="15749" width="10.28515625" style="55" bestFit="1" customWidth="1"/>
    <col min="15750" max="15751" width="9.140625" style="55"/>
    <col min="15752" max="15752" width="10.28515625" style="55" bestFit="1" customWidth="1"/>
    <col min="15753" max="15754" width="9.140625" style="55"/>
    <col min="15755" max="15755" width="10.28515625" style="55" bestFit="1" customWidth="1"/>
    <col min="15756" max="15757" width="9.140625" style="55"/>
    <col min="15758" max="15758" width="10.28515625" style="55" bestFit="1" customWidth="1"/>
    <col min="15759" max="15760" width="9.140625" style="55"/>
    <col min="15761" max="15761" width="10.28515625" style="55" bestFit="1" customWidth="1"/>
    <col min="15762" max="15763" width="9.140625" style="55"/>
    <col min="15764" max="15764" width="10.28515625" style="55" bestFit="1" customWidth="1"/>
    <col min="15765" max="15766" width="9.140625" style="55"/>
    <col min="15767" max="15767" width="10.28515625" style="55" bestFit="1" customWidth="1"/>
    <col min="15768" max="15769" width="9.140625" style="55"/>
    <col min="15770" max="15770" width="10.28515625" style="55" bestFit="1" customWidth="1"/>
    <col min="15771" max="15772" width="9.140625" style="55"/>
    <col min="15773" max="15773" width="10.28515625" style="55" bestFit="1" customWidth="1"/>
    <col min="15774" max="15775" width="9.140625" style="55"/>
    <col min="15776" max="15776" width="10.28515625" style="55" bestFit="1" customWidth="1"/>
    <col min="15777" max="15778" width="9.140625" style="55"/>
    <col min="15779" max="15779" width="10.28515625" style="55" bestFit="1" customWidth="1"/>
    <col min="15780" max="15781" width="9.140625" style="55"/>
    <col min="15782" max="15782" width="10.28515625" style="55" bestFit="1" customWidth="1"/>
    <col min="15783" max="15784" width="9.140625" style="55"/>
    <col min="15785" max="15785" width="10.28515625" style="55" bestFit="1" customWidth="1"/>
    <col min="15786" max="15787" width="9.140625" style="55"/>
    <col min="15788" max="15788" width="10.28515625" style="55" bestFit="1" customWidth="1"/>
    <col min="15789" max="15790" width="9.140625" style="55"/>
    <col min="15791" max="15791" width="10.28515625" style="55" bestFit="1" customWidth="1"/>
    <col min="15792" max="15793" width="9.140625" style="55"/>
    <col min="15794" max="15794" width="10.28515625" style="55" bestFit="1" customWidth="1"/>
    <col min="15795" max="15796" width="9.140625" style="55"/>
    <col min="15797" max="15797" width="10.28515625" style="55" bestFit="1" customWidth="1"/>
    <col min="15798" max="15799" width="9.140625" style="55"/>
    <col min="15800" max="15800" width="10.28515625" style="55" bestFit="1" customWidth="1"/>
    <col min="15801" max="15802" width="9.140625" style="55"/>
    <col min="15803" max="15803" width="10.28515625" style="55" bestFit="1" customWidth="1"/>
    <col min="15804" max="15805" width="9.140625" style="55"/>
    <col min="15806" max="15806" width="10.28515625" style="55" bestFit="1" customWidth="1"/>
    <col min="15807" max="15808" width="9.140625" style="55"/>
    <col min="15809" max="15809" width="10.28515625" style="55" bestFit="1" customWidth="1"/>
    <col min="15810" max="15811" width="9.140625" style="55"/>
    <col min="15812" max="15812" width="10.28515625" style="55" bestFit="1" customWidth="1"/>
    <col min="15813" max="15814" width="9.140625" style="55"/>
    <col min="15815" max="15815" width="10.28515625" style="55" bestFit="1" customWidth="1"/>
    <col min="15816" max="15817" width="9.140625" style="55"/>
    <col min="15818" max="15818" width="10.28515625" style="55" bestFit="1" customWidth="1"/>
    <col min="15819" max="15820" width="9.140625" style="55"/>
    <col min="15821" max="15821" width="10.28515625" style="55" bestFit="1" customWidth="1"/>
    <col min="15822" max="15823" width="9.140625" style="55"/>
    <col min="15824" max="15824" width="10.28515625" style="55" bestFit="1" customWidth="1"/>
    <col min="15825" max="15826" width="9.140625" style="55"/>
    <col min="15827" max="15827" width="10.28515625" style="55" bestFit="1" customWidth="1"/>
    <col min="15828" max="15829" width="9.140625" style="55"/>
    <col min="15830" max="15830" width="10.28515625" style="55" bestFit="1" customWidth="1"/>
    <col min="15831" max="15832" width="9.140625" style="55"/>
    <col min="15833" max="15833" width="10.28515625" style="55" bestFit="1" customWidth="1"/>
    <col min="15834" max="15835" width="9.140625" style="55"/>
    <col min="15836" max="15836" width="10.28515625" style="55" bestFit="1" customWidth="1"/>
    <col min="15837" max="15872" width="9.140625" style="55"/>
    <col min="15873" max="15873" width="6.28515625" style="55" customWidth="1"/>
    <col min="15874" max="15874" width="81.42578125" style="55" customWidth="1"/>
    <col min="15875" max="15875" width="10" style="55" customWidth="1"/>
    <col min="15876" max="15876" width="15.85546875" style="55" customWidth="1"/>
    <col min="15877" max="15877" width="13.5703125" style="55" customWidth="1"/>
    <col min="15878" max="15878" width="12.7109375" style="55" customWidth="1"/>
    <col min="15879" max="15879" width="11.5703125" style="55" customWidth="1"/>
    <col min="15880" max="15880" width="13" style="55" customWidth="1"/>
    <col min="15881" max="15881" width="0" style="55" hidden="1" customWidth="1"/>
    <col min="15882" max="15882" width="11" style="55" customWidth="1"/>
    <col min="15883" max="15883" width="13.42578125" style="55" customWidth="1"/>
    <col min="15884" max="15884" width="12.5703125" style="55" customWidth="1"/>
    <col min="15885" max="15885" width="11.7109375" style="55" customWidth="1"/>
    <col min="15886" max="15886" width="12" style="55" customWidth="1"/>
    <col min="15887" max="15887" width="0" style="55" hidden="1" customWidth="1"/>
    <col min="15888" max="15888" width="13.28515625" style="55" customWidth="1"/>
    <col min="15889" max="15889" width="11.7109375" style="55" customWidth="1"/>
    <col min="15890" max="15890" width="11.42578125" style="55" customWidth="1"/>
    <col min="15891" max="15891" width="13" style="55" customWidth="1"/>
    <col min="15892" max="15892" width="13.42578125" style="55" customWidth="1"/>
    <col min="15893" max="15893" width="0" style="55" hidden="1" customWidth="1"/>
    <col min="15894" max="15894" width="13.28515625" style="55" customWidth="1"/>
    <col min="15895" max="15895" width="13.140625" style="55" customWidth="1"/>
    <col min="15896" max="15896" width="12.140625" style="55" customWidth="1"/>
    <col min="15897" max="15898" width="11.85546875" style="55" customWidth="1"/>
    <col min="15899" max="15899" width="0" style="55" hidden="1" customWidth="1"/>
    <col min="15900" max="15900" width="12.28515625" style="55" bestFit="1" customWidth="1"/>
    <col min="15901" max="15901" width="10.7109375" style="55" customWidth="1"/>
    <col min="15902" max="15902" width="11.85546875" style="55" customWidth="1"/>
    <col min="15903" max="15903" width="13.140625" style="55" customWidth="1"/>
    <col min="15904" max="15904" width="13" style="55" customWidth="1"/>
    <col min="15905" max="15905" width="0" style="55" hidden="1" customWidth="1"/>
    <col min="15906" max="15906" width="11" style="55" customWidth="1"/>
    <col min="15907" max="15907" width="13" style="55" customWidth="1"/>
    <col min="15908" max="15908" width="12.5703125" style="55" customWidth="1"/>
    <col min="15909" max="15909" width="11.85546875" style="55" customWidth="1"/>
    <col min="15910" max="15910" width="12.28515625" style="55" customWidth="1"/>
    <col min="15911" max="15911" width="0" style="55" hidden="1" customWidth="1"/>
    <col min="15912" max="15912" width="12.85546875" style="55" customWidth="1"/>
    <col min="15913" max="15919" width="0" style="55" hidden="1" customWidth="1"/>
    <col min="15920" max="15920" width="60.85546875" style="55" customWidth="1"/>
    <col min="15921" max="15926" width="27.42578125" style="55" customWidth="1"/>
    <col min="15927" max="15929" width="31.28515625" style="55" customWidth="1"/>
    <col min="15930" max="15930" width="27.42578125" style="55" customWidth="1"/>
    <col min="15931" max="15933" width="34.28515625" style="55" customWidth="1"/>
    <col min="15934" max="15937" width="27.42578125" style="55" customWidth="1"/>
    <col min="15938" max="15938" width="39.42578125" style="55" customWidth="1"/>
    <col min="15939" max="15939" width="41.28515625" style="55" customWidth="1"/>
    <col min="15940" max="15951" width="27.42578125" style="55" customWidth="1"/>
    <col min="15952" max="15953" width="9.140625" style="55"/>
    <col min="15954" max="15954" width="10.28515625" style="55" bestFit="1" customWidth="1"/>
    <col min="15955" max="15956" width="9.140625" style="55"/>
    <col min="15957" max="15957" width="10.28515625" style="55" bestFit="1" customWidth="1"/>
    <col min="15958" max="15959" width="9.140625" style="55"/>
    <col min="15960" max="15960" width="10.28515625" style="55" bestFit="1" customWidth="1"/>
    <col min="15961" max="15962" width="9.140625" style="55"/>
    <col min="15963" max="15963" width="10.28515625" style="55" bestFit="1" customWidth="1"/>
    <col min="15964" max="15965" width="9.140625" style="55"/>
    <col min="15966" max="15966" width="10.28515625" style="55" bestFit="1" customWidth="1"/>
    <col min="15967" max="15968" width="9.140625" style="55"/>
    <col min="15969" max="15969" width="10.28515625" style="55" bestFit="1" customWidth="1"/>
    <col min="15970" max="15971" width="9.140625" style="55"/>
    <col min="15972" max="15972" width="10.28515625" style="55" bestFit="1" customWidth="1"/>
    <col min="15973" max="15974" width="9.140625" style="55"/>
    <col min="15975" max="15975" width="10.28515625" style="55" bestFit="1" customWidth="1"/>
    <col min="15976" max="15977" width="9.140625" style="55"/>
    <col min="15978" max="15978" width="10.28515625" style="55" bestFit="1" customWidth="1"/>
    <col min="15979" max="15980" width="9.140625" style="55"/>
    <col min="15981" max="15981" width="10.28515625" style="55" bestFit="1" customWidth="1"/>
    <col min="15982" max="15983" width="9.140625" style="55"/>
    <col min="15984" max="15984" width="10.28515625" style="55" bestFit="1" customWidth="1"/>
    <col min="15985" max="15986" width="9.140625" style="55"/>
    <col min="15987" max="15987" width="10.28515625" style="55" bestFit="1" customWidth="1"/>
    <col min="15988" max="15989" width="9.140625" style="55"/>
    <col min="15990" max="15990" width="10.28515625" style="55" bestFit="1" customWidth="1"/>
    <col min="15991" max="15992" width="9.140625" style="55"/>
    <col min="15993" max="15993" width="10.28515625" style="55" bestFit="1" customWidth="1"/>
    <col min="15994" max="15995" width="9.140625" style="55"/>
    <col min="15996" max="15996" width="10.28515625" style="55" bestFit="1" customWidth="1"/>
    <col min="15997" max="15998" width="9.140625" style="55"/>
    <col min="15999" max="15999" width="10.28515625" style="55" bestFit="1" customWidth="1"/>
    <col min="16000" max="16001" width="9.140625" style="55"/>
    <col min="16002" max="16002" width="10.28515625" style="55" bestFit="1" customWidth="1"/>
    <col min="16003" max="16004" width="9.140625" style="55"/>
    <col min="16005" max="16005" width="10.28515625" style="55" bestFit="1" customWidth="1"/>
    <col min="16006" max="16007" width="9.140625" style="55"/>
    <col min="16008" max="16008" width="10.28515625" style="55" bestFit="1" customWidth="1"/>
    <col min="16009" max="16010" width="9.140625" style="55"/>
    <col min="16011" max="16011" width="10.28515625" style="55" bestFit="1" customWidth="1"/>
    <col min="16012" max="16013" width="9.140625" style="55"/>
    <col min="16014" max="16014" width="10.28515625" style="55" bestFit="1" customWidth="1"/>
    <col min="16015" max="16016" width="9.140625" style="55"/>
    <col min="16017" max="16017" width="10.28515625" style="55" bestFit="1" customWidth="1"/>
    <col min="16018" max="16019" width="9.140625" style="55"/>
    <col min="16020" max="16020" width="10.28515625" style="55" bestFit="1" customWidth="1"/>
    <col min="16021" max="16022" width="9.140625" style="55"/>
    <col min="16023" max="16023" width="10.28515625" style="55" bestFit="1" customWidth="1"/>
    <col min="16024" max="16025" width="9.140625" style="55"/>
    <col min="16026" max="16026" width="10.28515625" style="55" bestFit="1" customWidth="1"/>
    <col min="16027" max="16028" width="9.140625" style="55"/>
    <col min="16029" max="16029" width="10.28515625" style="55" bestFit="1" customWidth="1"/>
    <col min="16030" max="16031" width="9.140625" style="55"/>
    <col min="16032" max="16032" width="10.28515625" style="55" bestFit="1" customWidth="1"/>
    <col min="16033" max="16034" width="9.140625" style="55"/>
    <col min="16035" max="16035" width="10.28515625" style="55" bestFit="1" customWidth="1"/>
    <col min="16036" max="16037" width="9.140625" style="55"/>
    <col min="16038" max="16038" width="10.28515625" style="55" bestFit="1" customWidth="1"/>
    <col min="16039" max="16040" width="9.140625" style="55"/>
    <col min="16041" max="16041" width="10.28515625" style="55" bestFit="1" customWidth="1"/>
    <col min="16042" max="16043" width="9.140625" style="55"/>
    <col min="16044" max="16044" width="10.28515625" style="55" bestFit="1" customWidth="1"/>
    <col min="16045" max="16046" width="9.140625" style="55"/>
    <col min="16047" max="16047" width="10.28515625" style="55" bestFit="1" customWidth="1"/>
    <col min="16048" max="16049" width="9.140625" style="55"/>
    <col min="16050" max="16050" width="10.28515625" style="55" bestFit="1" customWidth="1"/>
    <col min="16051" max="16052" width="9.140625" style="55"/>
    <col min="16053" max="16053" width="10.28515625" style="55" bestFit="1" customWidth="1"/>
    <col min="16054" max="16055" width="9.140625" style="55"/>
    <col min="16056" max="16056" width="10.28515625" style="55" bestFit="1" customWidth="1"/>
    <col min="16057" max="16058" width="9.140625" style="55"/>
    <col min="16059" max="16059" width="10.28515625" style="55" bestFit="1" customWidth="1"/>
    <col min="16060" max="16061" width="9.140625" style="55"/>
    <col min="16062" max="16062" width="10.28515625" style="55" bestFit="1" customWidth="1"/>
    <col min="16063" max="16064" width="9.140625" style="55"/>
    <col min="16065" max="16065" width="10.28515625" style="55" bestFit="1" customWidth="1"/>
    <col min="16066" max="16067" width="9.140625" style="55"/>
    <col min="16068" max="16068" width="10.28515625" style="55" bestFit="1" customWidth="1"/>
    <col min="16069" max="16070" width="9.140625" style="55"/>
    <col min="16071" max="16071" width="10.28515625" style="55" bestFit="1" customWidth="1"/>
    <col min="16072" max="16073" width="9.140625" style="55"/>
    <col min="16074" max="16074" width="10.28515625" style="55" bestFit="1" customWidth="1"/>
    <col min="16075" max="16076" width="9.140625" style="55"/>
    <col min="16077" max="16077" width="10.28515625" style="55" bestFit="1" customWidth="1"/>
    <col min="16078" max="16079" width="9.140625" style="55"/>
    <col min="16080" max="16080" width="10.28515625" style="55" bestFit="1" customWidth="1"/>
    <col min="16081" max="16082" width="9.140625" style="55"/>
    <col min="16083" max="16083" width="10.28515625" style="55" bestFit="1" customWidth="1"/>
    <col min="16084" max="16085" width="9.140625" style="55"/>
    <col min="16086" max="16086" width="10.28515625" style="55" bestFit="1" customWidth="1"/>
    <col min="16087" max="16088" width="9.140625" style="55"/>
    <col min="16089" max="16089" width="10.28515625" style="55" bestFit="1" customWidth="1"/>
    <col min="16090" max="16091" width="9.140625" style="55"/>
    <col min="16092" max="16092" width="10.28515625" style="55" bestFit="1" customWidth="1"/>
    <col min="16093" max="16128" width="9.140625" style="55"/>
    <col min="16129" max="16129" width="6.28515625" style="55" customWidth="1"/>
    <col min="16130" max="16130" width="81.42578125" style="55" customWidth="1"/>
    <col min="16131" max="16131" width="10" style="55" customWidth="1"/>
    <col min="16132" max="16132" width="15.85546875" style="55" customWidth="1"/>
    <col min="16133" max="16133" width="13.5703125" style="55" customWidth="1"/>
    <col min="16134" max="16134" width="12.7109375" style="55" customWidth="1"/>
    <col min="16135" max="16135" width="11.5703125" style="55" customWidth="1"/>
    <col min="16136" max="16136" width="13" style="55" customWidth="1"/>
    <col min="16137" max="16137" width="0" style="55" hidden="1" customWidth="1"/>
    <col min="16138" max="16138" width="11" style="55" customWidth="1"/>
    <col min="16139" max="16139" width="13.42578125" style="55" customWidth="1"/>
    <col min="16140" max="16140" width="12.5703125" style="55" customWidth="1"/>
    <col min="16141" max="16141" width="11.7109375" style="55" customWidth="1"/>
    <col min="16142" max="16142" width="12" style="55" customWidth="1"/>
    <col min="16143" max="16143" width="0" style="55" hidden="1" customWidth="1"/>
    <col min="16144" max="16144" width="13.28515625" style="55" customWidth="1"/>
    <col min="16145" max="16145" width="11.7109375" style="55" customWidth="1"/>
    <col min="16146" max="16146" width="11.42578125" style="55" customWidth="1"/>
    <col min="16147" max="16147" width="13" style="55" customWidth="1"/>
    <col min="16148" max="16148" width="13.42578125" style="55" customWidth="1"/>
    <col min="16149" max="16149" width="0" style="55" hidden="1" customWidth="1"/>
    <col min="16150" max="16150" width="13.28515625" style="55" customWidth="1"/>
    <col min="16151" max="16151" width="13.140625" style="55" customWidth="1"/>
    <col min="16152" max="16152" width="12.140625" style="55" customWidth="1"/>
    <col min="16153" max="16154" width="11.85546875" style="55" customWidth="1"/>
    <col min="16155" max="16155" width="0" style="55" hidden="1" customWidth="1"/>
    <col min="16156" max="16156" width="12.28515625" style="55" bestFit="1" customWidth="1"/>
    <col min="16157" max="16157" width="10.7109375" style="55" customWidth="1"/>
    <col min="16158" max="16158" width="11.85546875" style="55" customWidth="1"/>
    <col min="16159" max="16159" width="13.140625" style="55" customWidth="1"/>
    <col min="16160" max="16160" width="13" style="55" customWidth="1"/>
    <col min="16161" max="16161" width="0" style="55" hidden="1" customWidth="1"/>
    <col min="16162" max="16162" width="11" style="55" customWidth="1"/>
    <col min="16163" max="16163" width="13" style="55" customWidth="1"/>
    <col min="16164" max="16164" width="12.5703125" style="55" customWidth="1"/>
    <col min="16165" max="16165" width="11.85546875" style="55" customWidth="1"/>
    <col min="16166" max="16166" width="12.28515625" style="55" customWidth="1"/>
    <col min="16167" max="16167" width="0" style="55" hidden="1" customWidth="1"/>
    <col min="16168" max="16168" width="12.85546875" style="55" customWidth="1"/>
    <col min="16169" max="16175" width="0" style="55" hidden="1" customWidth="1"/>
    <col min="16176" max="16176" width="60.85546875" style="55" customWidth="1"/>
    <col min="16177" max="16182" width="27.42578125" style="55" customWidth="1"/>
    <col min="16183" max="16185" width="31.28515625" style="55" customWidth="1"/>
    <col min="16186" max="16186" width="27.42578125" style="55" customWidth="1"/>
    <col min="16187" max="16189" width="34.28515625" style="55" customWidth="1"/>
    <col min="16190" max="16193" width="27.42578125" style="55" customWidth="1"/>
    <col min="16194" max="16194" width="39.42578125" style="55" customWidth="1"/>
    <col min="16195" max="16195" width="41.28515625" style="55" customWidth="1"/>
    <col min="16196" max="16207" width="27.42578125" style="55" customWidth="1"/>
    <col min="16208" max="16209" width="9.140625" style="55"/>
    <col min="16210" max="16210" width="10.28515625" style="55" bestFit="1" customWidth="1"/>
    <col min="16211" max="16212" width="9.140625" style="55"/>
    <col min="16213" max="16213" width="10.28515625" style="55" bestFit="1" customWidth="1"/>
    <col min="16214" max="16215" width="9.140625" style="55"/>
    <col min="16216" max="16216" width="10.28515625" style="55" bestFit="1" customWidth="1"/>
    <col min="16217" max="16218" width="9.140625" style="55"/>
    <col min="16219" max="16219" width="10.28515625" style="55" bestFit="1" customWidth="1"/>
    <col min="16220" max="16221" width="9.140625" style="55"/>
    <col min="16222" max="16222" width="10.28515625" style="55" bestFit="1" customWidth="1"/>
    <col min="16223" max="16224" width="9.140625" style="55"/>
    <col min="16225" max="16225" width="10.28515625" style="55" bestFit="1" customWidth="1"/>
    <col min="16226" max="16227" width="9.140625" style="55"/>
    <col min="16228" max="16228" width="10.28515625" style="55" bestFit="1" customWidth="1"/>
    <col min="16229" max="16230" width="9.140625" style="55"/>
    <col min="16231" max="16231" width="10.28515625" style="55" bestFit="1" customWidth="1"/>
    <col min="16232" max="16233" width="9.140625" style="55"/>
    <col min="16234" max="16234" width="10.28515625" style="55" bestFit="1" customWidth="1"/>
    <col min="16235" max="16236" width="9.140625" style="55"/>
    <col min="16237" max="16237" width="10.28515625" style="55" bestFit="1" customWidth="1"/>
    <col min="16238" max="16239" width="9.140625" style="55"/>
    <col min="16240" max="16240" width="10.28515625" style="55" bestFit="1" customWidth="1"/>
    <col min="16241" max="16242" width="9.140625" style="55"/>
    <col min="16243" max="16243" width="10.28515625" style="55" bestFit="1" customWidth="1"/>
    <col min="16244" max="16245" width="9.140625" style="55"/>
    <col min="16246" max="16246" width="10.28515625" style="55" bestFit="1" customWidth="1"/>
    <col min="16247" max="16248" width="9.140625" style="55"/>
    <col min="16249" max="16249" width="10.28515625" style="55" bestFit="1" customWidth="1"/>
    <col min="16250" max="16251" width="9.140625" style="55"/>
    <col min="16252" max="16252" width="10.28515625" style="55" bestFit="1" customWidth="1"/>
    <col min="16253" max="16254" width="9.140625" style="55"/>
    <col min="16255" max="16255" width="10.28515625" style="55" bestFit="1" customWidth="1"/>
    <col min="16256" max="16257" width="9.140625" style="55"/>
    <col min="16258" max="16258" width="10.28515625" style="55" bestFit="1" customWidth="1"/>
    <col min="16259" max="16260" width="9.140625" style="55"/>
    <col min="16261" max="16261" width="10.28515625" style="55" bestFit="1" customWidth="1"/>
    <col min="16262" max="16263" width="9.140625" style="55"/>
    <col min="16264" max="16264" width="10.28515625" style="55" bestFit="1" customWidth="1"/>
    <col min="16265" max="16266" width="9.140625" style="55"/>
    <col min="16267" max="16267" width="10.28515625" style="55" bestFit="1" customWidth="1"/>
    <col min="16268" max="16269" width="9.140625" style="55"/>
    <col min="16270" max="16270" width="10.28515625" style="55" bestFit="1" customWidth="1"/>
    <col min="16271" max="16272" width="9.140625" style="55"/>
    <col min="16273" max="16273" width="10.28515625" style="55" bestFit="1" customWidth="1"/>
    <col min="16274" max="16275" width="9.140625" style="55"/>
    <col min="16276" max="16276" width="10.28515625" style="55" bestFit="1" customWidth="1"/>
    <col min="16277" max="16278" width="9.140625" style="55"/>
    <col min="16279" max="16279" width="10.28515625" style="55" bestFit="1" customWidth="1"/>
    <col min="16280" max="16281" width="9.140625" style="55"/>
    <col min="16282" max="16282" width="10.28515625" style="55" bestFit="1" customWidth="1"/>
    <col min="16283" max="16284" width="9.140625" style="55"/>
    <col min="16285" max="16285" width="10.28515625" style="55" bestFit="1" customWidth="1"/>
    <col min="16286" max="16287" width="9.140625" style="55"/>
    <col min="16288" max="16288" width="10.28515625" style="55" bestFit="1" customWidth="1"/>
    <col min="16289" max="16290" width="9.140625" style="55"/>
    <col min="16291" max="16291" width="10.28515625" style="55" bestFit="1" customWidth="1"/>
    <col min="16292" max="16293" width="9.140625" style="55"/>
    <col min="16294" max="16294" width="10.28515625" style="55" bestFit="1" customWidth="1"/>
    <col min="16295" max="16296" width="9.140625" style="55"/>
    <col min="16297" max="16297" width="10.28515625" style="55" bestFit="1" customWidth="1"/>
    <col min="16298" max="16299" width="9.140625" style="55"/>
    <col min="16300" max="16300" width="10.28515625" style="55" bestFit="1" customWidth="1"/>
    <col min="16301" max="16302" width="9.140625" style="55"/>
    <col min="16303" max="16303" width="10.28515625" style="55" bestFit="1" customWidth="1"/>
    <col min="16304" max="16305" width="9.140625" style="55"/>
    <col min="16306" max="16306" width="10.28515625" style="55" bestFit="1" customWidth="1"/>
    <col min="16307" max="16308" width="9.140625" style="55"/>
    <col min="16309" max="16309" width="10.28515625" style="55" bestFit="1" customWidth="1"/>
    <col min="16310" max="16311" width="9.140625" style="55"/>
    <col min="16312" max="16312" width="10.28515625" style="55" bestFit="1" customWidth="1"/>
    <col min="16313" max="16314" width="9.140625" style="55"/>
    <col min="16315" max="16315" width="10.28515625" style="55" bestFit="1" customWidth="1"/>
    <col min="16316" max="16317" width="9.140625" style="55"/>
    <col min="16318" max="16318" width="10.28515625" style="55" bestFit="1" customWidth="1"/>
    <col min="16319" max="16320" width="9.140625" style="55"/>
    <col min="16321" max="16321" width="10.28515625" style="55" bestFit="1" customWidth="1"/>
    <col min="16322" max="16323" width="9.140625" style="55"/>
    <col min="16324" max="16324" width="10.28515625" style="55" bestFit="1" customWidth="1"/>
    <col min="16325" max="16326" width="9.140625" style="55"/>
    <col min="16327" max="16327" width="10.28515625" style="55" bestFit="1" customWidth="1"/>
    <col min="16328" max="16329" width="9.140625" style="55"/>
    <col min="16330" max="16330" width="10.28515625" style="55" bestFit="1" customWidth="1"/>
    <col min="16331" max="16332" width="9.140625" style="55"/>
    <col min="16333" max="16333" width="10.28515625" style="55" bestFit="1" customWidth="1"/>
    <col min="16334" max="16335" width="9.140625" style="55"/>
    <col min="16336" max="16336" width="10.28515625" style="55" bestFit="1" customWidth="1"/>
    <col min="16337" max="16338" width="9.140625" style="55"/>
    <col min="16339" max="16339" width="10.28515625" style="55" bestFit="1" customWidth="1"/>
    <col min="16340" max="16341" width="9.140625" style="55"/>
    <col min="16342" max="16342" width="10.28515625" style="55" bestFit="1" customWidth="1"/>
    <col min="16343" max="16344" width="9.140625" style="55"/>
    <col min="16345" max="16345" width="10.28515625" style="55" bestFit="1" customWidth="1"/>
    <col min="16346" max="16347" width="9.140625" style="55"/>
    <col min="16348" max="16348" width="10.28515625" style="55" bestFit="1" customWidth="1"/>
    <col min="16349" max="16384" width="9.140625" style="55"/>
  </cols>
  <sheetData>
    <row r="1" spans="1:47" ht="20.25" customHeight="1" x14ac:dyDescent="0.25">
      <c r="A1" s="127" t="s">
        <v>73</v>
      </c>
      <c r="B1" s="128"/>
      <c r="C1" s="128"/>
      <c r="D1" s="128"/>
      <c r="E1" s="128"/>
      <c r="AJ1" s="56"/>
      <c r="AK1" s="56"/>
      <c r="AL1" s="56"/>
      <c r="AM1" s="56"/>
      <c r="AN1" s="56"/>
    </row>
    <row r="2" spans="1:47" x14ac:dyDescent="0.2">
      <c r="AJ2" s="56"/>
      <c r="AK2" s="56"/>
      <c r="AL2" s="56"/>
      <c r="AM2" s="56"/>
      <c r="AN2" s="56"/>
    </row>
    <row r="3" spans="1:47" x14ac:dyDescent="0.2">
      <c r="A3" s="57" t="s">
        <v>14</v>
      </c>
      <c r="B3" s="57"/>
      <c r="C3" s="57"/>
      <c r="D3" s="57"/>
      <c r="E3" s="57"/>
      <c r="F3" s="57"/>
      <c r="G3" s="57"/>
      <c r="H3" s="57"/>
      <c r="AJ3" s="56"/>
      <c r="AK3" s="56"/>
      <c r="AL3" s="56"/>
      <c r="AM3" s="56"/>
      <c r="AN3" s="56"/>
    </row>
    <row r="4" spans="1:47" x14ac:dyDescent="0.2">
      <c r="A4" s="57" t="s">
        <v>15</v>
      </c>
      <c r="B4" s="57"/>
      <c r="C4" s="57"/>
      <c r="D4" s="57"/>
      <c r="E4" s="57"/>
      <c r="F4" s="57"/>
      <c r="G4" s="57"/>
      <c r="H4" s="57"/>
      <c r="AJ4" s="56"/>
      <c r="AK4" s="56"/>
      <c r="AL4" s="56"/>
      <c r="AM4" s="56"/>
      <c r="AN4" s="56"/>
    </row>
    <row r="5" spans="1:47" x14ac:dyDescent="0.2">
      <c r="A5" s="57" t="s">
        <v>1</v>
      </c>
      <c r="B5" s="57"/>
      <c r="C5" s="57"/>
      <c r="D5" s="57"/>
      <c r="E5" s="57"/>
      <c r="F5" s="57"/>
      <c r="G5" s="57"/>
      <c r="H5" s="57"/>
      <c r="AJ5" s="56"/>
      <c r="AK5" s="56"/>
      <c r="AL5" s="56"/>
      <c r="AM5" s="56"/>
      <c r="AN5" s="56"/>
    </row>
    <row r="6" spans="1:47" x14ac:dyDescent="0.2">
      <c r="A6" s="57" t="s">
        <v>7</v>
      </c>
      <c r="B6" s="57"/>
      <c r="C6" s="57"/>
      <c r="D6" s="57"/>
      <c r="E6" s="57"/>
      <c r="F6" s="57"/>
      <c r="G6" s="57"/>
      <c r="H6" s="57"/>
      <c r="AJ6" s="56"/>
      <c r="AK6" s="56"/>
      <c r="AL6" s="56"/>
      <c r="AM6" s="56"/>
      <c r="AN6" s="56"/>
    </row>
    <row r="7" spans="1:47" ht="13.5" thickBot="1" x14ac:dyDescent="0.25">
      <c r="A7" s="58" t="s">
        <v>2</v>
      </c>
      <c r="B7" s="59"/>
      <c r="C7" s="59"/>
      <c r="D7" s="59"/>
      <c r="E7" s="59"/>
      <c r="F7" s="59"/>
      <c r="G7" s="59"/>
      <c r="H7" s="59"/>
      <c r="AJ7" s="56"/>
      <c r="AK7" s="56"/>
      <c r="AL7" s="56"/>
      <c r="AM7" s="56"/>
      <c r="AN7" s="56"/>
    </row>
    <row r="8" spans="1:47" ht="21" customHeight="1" thickBot="1" x14ac:dyDescent="0.25">
      <c r="A8" s="60">
        <v>27</v>
      </c>
      <c r="B8" s="129" t="s">
        <v>106</v>
      </c>
      <c r="C8" s="130"/>
      <c r="D8" s="130"/>
      <c r="E8" s="130"/>
      <c r="F8" s="130"/>
      <c r="G8" s="130"/>
      <c r="H8" s="130"/>
      <c r="AJ8" s="56"/>
      <c r="AK8" s="56"/>
      <c r="AL8" s="56"/>
      <c r="AM8" s="56"/>
      <c r="AN8" s="56"/>
    </row>
    <row r="9" spans="1:47" ht="20.25" customHeight="1" thickBot="1" x14ac:dyDescent="0.25">
      <c r="A9" s="60">
        <v>13</v>
      </c>
      <c r="B9" s="129" t="s">
        <v>107</v>
      </c>
      <c r="C9" s="130"/>
      <c r="D9" s="130"/>
      <c r="E9" s="130"/>
      <c r="F9" s="131"/>
      <c r="G9" s="131"/>
      <c r="H9" s="131"/>
      <c r="AJ9" s="56"/>
      <c r="AK9" s="56"/>
      <c r="AL9" s="56"/>
      <c r="AM9" s="56"/>
      <c r="AN9" s="56"/>
    </row>
    <row r="10" spans="1:47" ht="27" customHeight="1" thickBot="1" x14ac:dyDescent="0.25">
      <c r="A10" s="60">
        <v>13</v>
      </c>
      <c r="B10" s="132" t="s">
        <v>108</v>
      </c>
      <c r="C10" s="133"/>
      <c r="D10" s="133"/>
      <c r="E10" s="133"/>
      <c r="F10" s="134"/>
      <c r="G10" s="134"/>
      <c r="H10" s="134"/>
      <c r="AJ10" s="56"/>
      <c r="AK10" s="56"/>
      <c r="AL10" s="56"/>
      <c r="AM10" s="56"/>
      <c r="AN10" s="56"/>
    </row>
    <row r="11" spans="1:47" ht="27.75" customHeight="1" thickBot="1" x14ac:dyDescent="0.25">
      <c r="A11" s="60">
        <v>17</v>
      </c>
      <c r="B11" s="132" t="s">
        <v>109</v>
      </c>
      <c r="C11" s="133"/>
      <c r="D11" s="133"/>
      <c r="E11" s="133"/>
      <c r="F11" s="134"/>
      <c r="G11" s="134"/>
      <c r="H11" s="134"/>
      <c r="AJ11" s="56"/>
      <c r="AK11" s="56"/>
      <c r="AL11" s="56"/>
      <c r="AM11" s="56"/>
      <c r="AN11" s="56"/>
    </row>
    <row r="12" spans="1:47" ht="27.75" customHeight="1" thickBot="1" x14ac:dyDescent="0.25">
      <c r="A12" s="60">
        <v>17</v>
      </c>
      <c r="B12" s="132" t="s">
        <v>110</v>
      </c>
      <c r="C12" s="133"/>
      <c r="D12" s="133"/>
      <c r="E12" s="133"/>
      <c r="F12" s="134"/>
      <c r="G12" s="134"/>
      <c r="H12" s="134"/>
      <c r="AJ12" s="56"/>
      <c r="AK12" s="56"/>
      <c r="AL12" s="56"/>
      <c r="AM12" s="56"/>
      <c r="AN12" s="56"/>
    </row>
    <row r="13" spans="1:47" ht="27.75" customHeight="1" thickBot="1" x14ac:dyDescent="0.25">
      <c r="A13" s="60">
        <v>13</v>
      </c>
      <c r="B13" s="61" t="s">
        <v>151</v>
      </c>
      <c r="C13" s="62"/>
      <c r="D13" s="62"/>
      <c r="E13" s="62"/>
      <c r="F13" s="62"/>
      <c r="G13" s="62"/>
      <c r="H13" s="62"/>
      <c r="AJ13" s="56"/>
      <c r="AK13" s="56"/>
      <c r="AL13" s="56"/>
      <c r="AM13" s="56"/>
      <c r="AN13" s="56"/>
    </row>
    <row r="14" spans="1:47" ht="27.75" customHeight="1" thickBot="1" x14ac:dyDescent="0.25">
      <c r="A14" s="63"/>
      <c r="B14" s="64"/>
      <c r="C14" s="65"/>
      <c r="D14" s="65"/>
      <c r="E14" s="65"/>
      <c r="F14" s="66"/>
      <c r="G14" s="66"/>
      <c r="H14" s="66"/>
      <c r="AJ14" s="56"/>
      <c r="AK14" s="56"/>
      <c r="AL14" s="56"/>
      <c r="AM14" s="56"/>
      <c r="AN14" s="56"/>
    </row>
    <row r="15" spans="1:47" ht="64.5" customHeight="1" x14ac:dyDescent="0.2">
      <c r="A15" s="135" t="s">
        <v>9</v>
      </c>
      <c r="B15" s="137" t="s">
        <v>8</v>
      </c>
      <c r="C15" s="137" t="s">
        <v>20</v>
      </c>
      <c r="D15" s="139" t="s">
        <v>138</v>
      </c>
      <c r="E15" s="141" t="s">
        <v>111</v>
      </c>
      <c r="F15" s="142"/>
      <c r="G15" s="142"/>
      <c r="H15" s="142"/>
      <c r="I15" s="142"/>
      <c r="J15" s="143"/>
      <c r="K15" s="124" t="s">
        <v>112</v>
      </c>
      <c r="L15" s="125"/>
      <c r="M15" s="125"/>
      <c r="N15" s="125"/>
      <c r="O15" s="125"/>
      <c r="P15" s="126"/>
      <c r="Q15" s="124" t="s">
        <v>113</v>
      </c>
      <c r="R15" s="142"/>
      <c r="S15" s="142"/>
      <c r="T15" s="142"/>
      <c r="U15" s="142"/>
      <c r="V15" s="143"/>
      <c r="W15" s="124" t="s">
        <v>114</v>
      </c>
      <c r="X15" s="142"/>
      <c r="Y15" s="142"/>
      <c r="Z15" s="142"/>
      <c r="AA15" s="142"/>
      <c r="AB15" s="143"/>
      <c r="AC15" s="141" t="s">
        <v>115</v>
      </c>
      <c r="AD15" s="142"/>
      <c r="AE15" s="142"/>
      <c r="AF15" s="142"/>
      <c r="AG15" s="142"/>
      <c r="AH15" s="143"/>
      <c r="AI15" s="141" t="s">
        <v>151</v>
      </c>
      <c r="AJ15" s="142"/>
      <c r="AK15" s="142"/>
      <c r="AL15" s="142"/>
      <c r="AM15" s="142"/>
      <c r="AN15" s="143"/>
      <c r="AO15" s="144" t="s">
        <v>5</v>
      </c>
      <c r="AP15" s="145"/>
      <c r="AQ15" s="145"/>
      <c r="AR15" s="145"/>
      <c r="AS15" s="145"/>
      <c r="AT15" s="145"/>
      <c r="AU15" s="146"/>
    </row>
    <row r="16" spans="1:47" ht="58.5" customHeight="1" thickBot="1" x14ac:dyDescent="0.25">
      <c r="A16" s="136"/>
      <c r="B16" s="138"/>
      <c r="C16" s="138"/>
      <c r="D16" s="140"/>
      <c r="E16" s="67" t="s">
        <v>63</v>
      </c>
      <c r="F16" s="68" t="s">
        <v>141</v>
      </c>
      <c r="G16" s="68" t="s">
        <v>17</v>
      </c>
      <c r="H16" s="68" t="s">
        <v>62</v>
      </c>
      <c r="I16" s="68" t="s">
        <v>144</v>
      </c>
      <c r="J16" s="69" t="s">
        <v>64</v>
      </c>
      <c r="K16" s="67" t="s">
        <v>63</v>
      </c>
      <c r="L16" s="68" t="s">
        <v>141</v>
      </c>
      <c r="M16" s="68" t="s">
        <v>17</v>
      </c>
      <c r="N16" s="68" t="s">
        <v>62</v>
      </c>
      <c r="O16" s="68" t="s">
        <v>144</v>
      </c>
      <c r="P16" s="69" t="s">
        <v>64</v>
      </c>
      <c r="Q16" s="67" t="s">
        <v>63</v>
      </c>
      <c r="R16" s="68" t="s">
        <v>141</v>
      </c>
      <c r="S16" s="68" t="s">
        <v>17</v>
      </c>
      <c r="T16" s="68" t="s">
        <v>62</v>
      </c>
      <c r="U16" s="68" t="s">
        <v>144</v>
      </c>
      <c r="V16" s="69" t="s">
        <v>64</v>
      </c>
      <c r="W16" s="67" t="s">
        <v>63</v>
      </c>
      <c r="X16" s="68" t="s">
        <v>141</v>
      </c>
      <c r="Y16" s="68" t="s">
        <v>17</v>
      </c>
      <c r="Z16" s="68" t="s">
        <v>62</v>
      </c>
      <c r="AA16" s="68" t="s">
        <v>144</v>
      </c>
      <c r="AB16" s="69" t="s">
        <v>64</v>
      </c>
      <c r="AC16" s="67" t="s">
        <v>63</v>
      </c>
      <c r="AD16" s="68" t="s">
        <v>141</v>
      </c>
      <c r="AE16" s="68" t="s">
        <v>17</v>
      </c>
      <c r="AF16" s="68" t="s">
        <v>62</v>
      </c>
      <c r="AG16" s="68" t="s">
        <v>144</v>
      </c>
      <c r="AH16" s="69" t="s">
        <v>64</v>
      </c>
      <c r="AI16" s="67" t="s">
        <v>63</v>
      </c>
      <c r="AJ16" s="68" t="s">
        <v>141</v>
      </c>
      <c r="AK16" s="68" t="s">
        <v>17</v>
      </c>
      <c r="AL16" s="68" t="s">
        <v>62</v>
      </c>
      <c r="AM16" s="68" t="s">
        <v>144</v>
      </c>
      <c r="AN16" s="69" t="s">
        <v>64</v>
      </c>
      <c r="AO16" s="70">
        <v>1</v>
      </c>
      <c r="AP16" s="71">
        <v>2</v>
      </c>
      <c r="AQ16" s="71">
        <v>3</v>
      </c>
      <c r="AR16" s="71">
        <v>4</v>
      </c>
      <c r="AS16" s="71">
        <v>5</v>
      </c>
      <c r="AT16" s="71">
        <v>6</v>
      </c>
      <c r="AU16" s="72" t="s">
        <v>135</v>
      </c>
    </row>
    <row r="17" spans="1:47" customFormat="1" x14ac:dyDescent="0.2">
      <c r="A17" s="1" t="s">
        <v>41</v>
      </c>
      <c r="B17" s="11" t="s">
        <v>21</v>
      </c>
      <c r="C17" s="13">
        <f t="shared" ref="C17:C39" si="0">IF(D17&lt;&gt;1,"",SUM(J17,P17,V17,AB17,AH17,AN17))</f>
        <v>1.0000000000000002</v>
      </c>
      <c r="D17" s="13">
        <f t="shared" ref="D17:D39" si="1">IF(SUM(E17,K17,Q17,W17,AC17,AI17)=0,0,1)</f>
        <v>1</v>
      </c>
      <c r="E17" s="16">
        <v>1</v>
      </c>
      <c r="F17" s="16">
        <v>1</v>
      </c>
      <c r="G17" s="16">
        <v>1</v>
      </c>
      <c r="H17" s="13">
        <f t="shared" ref="H17:H39" si="2">IF(E17=1,(MIN(Вес4.1,Вес4.2,Вес4.3,Вес4.4,Вес4.5,Вес4.6))*((100/MIN(Вес4.1,Вес4.2,Вес4.3,Вес4.4,Вес4.5,Вес4.6))/AU17*Вес4.1/MIN(Вес4.1,Вес4.2,Вес4.3,Вес4.4,Вес4.5,Вес4.6)),"")</f>
        <v>27.000000000000007</v>
      </c>
      <c r="I17" s="13">
        <f t="shared" ref="I17:I39" si="3">IF(H17="","не применяется",IF(E17=0,"не применяется",H17*G17/100))</f>
        <v>0.27000000000000007</v>
      </c>
      <c r="J17" s="13">
        <f t="shared" ref="J17:J39" si="4">IF(ISNUMBER(I17),I17,"")</f>
        <v>0.27000000000000007</v>
      </c>
      <c r="K17" s="16">
        <v>1</v>
      </c>
      <c r="L17" s="16">
        <v>100</v>
      </c>
      <c r="M17" s="16">
        <v>1</v>
      </c>
      <c r="N17" s="13">
        <f t="shared" ref="N17:N39" si="5">IF(K17=1,(MIN(Вес4.1,Вес4.2,Вес4.3,Вес4.4,Вес4.5,Вес4.6))*((100/MIN(Вес4.1,Вес4.2,Вес4.3,Вес4.4,Вес4.5,Вес4.6))/AU17*Вес4.2/MIN(Вес4.1,Вес4.2,Вес4.3,Вес4.4,Вес4.5,Вес4.6)),"")</f>
        <v>13.000000000000004</v>
      </c>
      <c r="O17" s="13">
        <f t="shared" ref="O17:O39" si="6">IF(N17="","не применяется",IF(K17=0,"не применяется",N17*M17/100))</f>
        <v>0.13000000000000003</v>
      </c>
      <c r="P17" s="13">
        <f t="shared" ref="P17:P39" si="7">IF(ISNUMBER(O17),O17,"")</f>
        <v>0.13000000000000003</v>
      </c>
      <c r="Q17" s="16">
        <v>1</v>
      </c>
      <c r="R17" s="16">
        <v>100</v>
      </c>
      <c r="S17" s="16">
        <v>1</v>
      </c>
      <c r="T17" s="13">
        <f t="shared" ref="T17:T39" si="8">IF(Q17=1,(MIN(Вес4.1,Вес4.2,Вес4.3,Вес4.4,Вес4.5,Вес4.6))*((100/MIN(Вес4.1,Вес4.2,Вес4.3,Вес4.4,Вес4.5,Вес4.6))/AU17*Вес4.3/MIN(Вес4.1,Вес4.2,Вес4.3,Вес4.4,Вес4.5,Вес4.6)),"")</f>
        <v>13.000000000000004</v>
      </c>
      <c r="U17" s="13">
        <f t="shared" ref="U17:U39" si="9">IF(T17="","не применяется",IF(Q17=0,"не применяется",T17*S17/100))</f>
        <v>0.13000000000000003</v>
      </c>
      <c r="V17" s="13">
        <f t="shared" ref="V17:V39" si="10">IF(ISNUMBER(U17),U17,"")</f>
        <v>0.13000000000000003</v>
      </c>
      <c r="W17" s="16">
        <v>1</v>
      </c>
      <c r="X17" s="16">
        <v>1</v>
      </c>
      <c r="Y17" s="16">
        <v>1</v>
      </c>
      <c r="Z17" s="13">
        <f t="shared" ref="Z17:Z39" si="11">IF(W17=1,(MIN(Вес4.1,Вес4.2,Вес4.3,Вес4.4,Вес4.5))*((100/MIN(Вес4.1,Вес4.2,Вес4.3,Вес4.4,Вес4.5))/AU17*Вес4.4/MIN(Вес4.1,Вес4.2,Вес4.3,Вес4.4,Вес4.5)),"")</f>
        <v>17.000000000000004</v>
      </c>
      <c r="AA17" s="13">
        <f t="shared" ref="AA17:AA39" si="12">IF(Z17="","не применяется",IF(W17=0,"не применяется",Y17*Z17/100))</f>
        <v>0.17000000000000004</v>
      </c>
      <c r="AB17" s="13">
        <f t="shared" ref="AB17:AB39" si="13">IF(ISNUMBER(AA17),AA17,"")</f>
        <v>0.17000000000000004</v>
      </c>
      <c r="AC17" s="16">
        <v>1</v>
      </c>
      <c r="AD17" s="16">
        <v>100</v>
      </c>
      <c r="AE17" s="16">
        <v>1</v>
      </c>
      <c r="AF17" s="13">
        <f t="shared" ref="AF17:AF39" si="14">IF(AC17=1,(MIN(Вес4.1,Вес4.2,Вес4.3,Вес4.4,Вес4.5,Вес4.6))*((100/MIN(Вес4.1,Вес4.2,Вес4.3,Вес4.4,Вес4.5,Вес4.6))/AU17*Вес4.5/MIN(Вес4.1,Вес4.2,Вес4.3,Вес4.4,Вес4.5,Вес4.6)),"")</f>
        <v>17.000000000000004</v>
      </c>
      <c r="AG17" s="13">
        <f t="shared" ref="AG17:AG39" si="15">IF(AF17="","не применяется",IF(AC17=0,"не применяется",AF17*AE17/100))</f>
        <v>0.17000000000000004</v>
      </c>
      <c r="AH17" s="13">
        <f t="shared" ref="AH17:AH39" si="16">IF(ISNUMBER(AG17),AG17,"")</f>
        <v>0.17000000000000004</v>
      </c>
      <c r="AI17" s="16">
        <v>1</v>
      </c>
      <c r="AJ17" s="16">
        <v>0.13100000000000001</v>
      </c>
      <c r="AK17" s="16">
        <v>1</v>
      </c>
      <c r="AL17" s="13">
        <f t="shared" ref="AL17:AL39" si="17">IF(AI17=1,(MIN(Вес4.1,Вес4.2,Вес4.3,Вес4.4,Вес4.5,Вес4.6))*((100/MIN(Вес4.1,Вес4.2,Вес4.3,Вес4.4,Вес4.5,Вес4.6))/AU17*Вес4.6/MIN(Вес4.1,Вес4.2,Вес4.3,Вес4.4,Вес4.5,Вес4.6)),"")</f>
        <v>13.000000000000004</v>
      </c>
      <c r="AM17" s="13">
        <f t="shared" ref="AM17:AM39" si="18">IF(AL17="","не применяется",IF(AI17=0,"не применяется",AL17*AK17/100))</f>
        <v>0.13000000000000003</v>
      </c>
      <c r="AN17" s="13">
        <f t="shared" ref="AN17:AN39" si="19">IF(ISNUMBER(AM17),AM17,"")</f>
        <v>0.13000000000000003</v>
      </c>
      <c r="AO17" s="13">
        <f t="shared" ref="AO17:AO39" si="20">IF(E17=1,Вес4.1/MIN(Вес4.1,Вес4.2,Вес4.3,Вес4.4,Вес4.5,Вес4.6),"")</f>
        <v>2.0769230769230771</v>
      </c>
      <c r="AP17" s="13">
        <f t="shared" ref="AP17:AP39" si="21">IF(K17=1,Вес4.2/MIN(Вес4.1,Вес4.2,Вес4.3,Вес4.4,Вес4.5,Вес4.6),"")</f>
        <v>1</v>
      </c>
      <c r="AQ17" s="13">
        <f t="shared" ref="AQ17:AQ39" si="22">IF(Q17=1,Вес4.3/MIN(Вес4.1,Вес4.2,Вес4.3,Вес4.4,Вес4.5,Вес4.6),"")</f>
        <v>1</v>
      </c>
      <c r="AR17" s="13">
        <f t="shared" ref="AR17:AR39" si="23">IF(W17=1,Вес4.4/MIN(Вес4.1,Вес4.2,Вес4.3,Вес4.4,Вес4.5,Вес4.6),"")</f>
        <v>1.3076923076923077</v>
      </c>
      <c r="AS17" s="13">
        <f t="shared" ref="AS17:AS39" si="24">IF(AC17=1,Вес4.5/MIN(Вес4.1,Вес4.2,Вес4.3,Вес4.4,Вес4.5,Вес4.6),"")</f>
        <v>1.3076923076923077</v>
      </c>
      <c r="AT17" s="13">
        <f t="shared" ref="AT17:AT39" si="25">IF(AI17=1,Вес4.6/MIN(Вес4.1,Вес4.2,Вес4.3,Вес4.4,Вес4.5,Вес4.6),"")</f>
        <v>1</v>
      </c>
      <c r="AU17" s="13">
        <f t="shared" ref="AU17:AU39" si="26">SUM(AO17:AT17)</f>
        <v>7.6923076923076916</v>
      </c>
    </row>
    <row r="18" spans="1:47" customFormat="1" x14ac:dyDescent="0.2">
      <c r="A18" s="1" t="s">
        <v>42</v>
      </c>
      <c r="B18" s="11" t="s">
        <v>148</v>
      </c>
      <c r="C18" s="13">
        <f t="shared" si="0"/>
        <v>1.0000000000000002</v>
      </c>
      <c r="D18" s="13">
        <f t="shared" si="1"/>
        <v>1</v>
      </c>
      <c r="E18" s="16">
        <v>1</v>
      </c>
      <c r="F18" s="16">
        <v>1</v>
      </c>
      <c r="G18" s="16">
        <v>1</v>
      </c>
      <c r="H18" s="13">
        <f t="shared" si="2"/>
        <v>27.000000000000007</v>
      </c>
      <c r="I18" s="13">
        <f t="shared" si="3"/>
        <v>0.27000000000000007</v>
      </c>
      <c r="J18" s="13">
        <f t="shared" si="4"/>
        <v>0.27000000000000007</v>
      </c>
      <c r="K18" s="16">
        <v>1</v>
      </c>
      <c r="L18" s="16">
        <v>100</v>
      </c>
      <c r="M18" s="16">
        <v>1</v>
      </c>
      <c r="N18" s="13">
        <f t="shared" si="5"/>
        <v>13.000000000000004</v>
      </c>
      <c r="O18" s="13">
        <f t="shared" si="6"/>
        <v>0.13000000000000003</v>
      </c>
      <c r="P18" s="13">
        <f t="shared" si="7"/>
        <v>0.13000000000000003</v>
      </c>
      <c r="Q18" s="16">
        <v>1</v>
      </c>
      <c r="R18" s="16">
        <v>100</v>
      </c>
      <c r="S18" s="16">
        <v>1</v>
      </c>
      <c r="T18" s="13">
        <f t="shared" si="8"/>
        <v>13.000000000000004</v>
      </c>
      <c r="U18" s="13">
        <f t="shared" si="9"/>
        <v>0.13000000000000003</v>
      </c>
      <c r="V18" s="13">
        <f t="shared" si="10"/>
        <v>0.13000000000000003</v>
      </c>
      <c r="W18" s="16">
        <v>1</v>
      </c>
      <c r="X18" s="16">
        <v>1</v>
      </c>
      <c r="Y18" s="16">
        <v>1</v>
      </c>
      <c r="Z18" s="13">
        <f t="shared" si="11"/>
        <v>17.000000000000004</v>
      </c>
      <c r="AA18" s="13">
        <f t="shared" si="12"/>
        <v>0.17000000000000004</v>
      </c>
      <c r="AB18" s="13">
        <f t="shared" si="13"/>
        <v>0.17000000000000004</v>
      </c>
      <c r="AC18" s="16">
        <v>1</v>
      </c>
      <c r="AD18" s="16">
        <v>100</v>
      </c>
      <c r="AE18" s="16">
        <v>1</v>
      </c>
      <c r="AF18" s="13">
        <f t="shared" si="14"/>
        <v>17.000000000000004</v>
      </c>
      <c r="AG18" s="13">
        <f t="shared" si="15"/>
        <v>0.17000000000000004</v>
      </c>
      <c r="AH18" s="13">
        <f t="shared" si="16"/>
        <v>0.17000000000000004</v>
      </c>
      <c r="AI18" s="16">
        <v>1</v>
      </c>
      <c r="AJ18" s="16">
        <v>0.39700000000000002</v>
      </c>
      <c r="AK18" s="16">
        <v>1</v>
      </c>
      <c r="AL18" s="13">
        <f t="shared" si="17"/>
        <v>13.000000000000004</v>
      </c>
      <c r="AM18" s="13">
        <f t="shared" si="18"/>
        <v>0.13000000000000003</v>
      </c>
      <c r="AN18" s="13">
        <f t="shared" si="19"/>
        <v>0.13000000000000003</v>
      </c>
      <c r="AO18" s="13">
        <f t="shared" si="20"/>
        <v>2.0769230769230771</v>
      </c>
      <c r="AP18" s="13">
        <f t="shared" si="21"/>
        <v>1</v>
      </c>
      <c r="AQ18" s="13">
        <f t="shared" si="22"/>
        <v>1</v>
      </c>
      <c r="AR18" s="13">
        <f t="shared" si="23"/>
        <v>1.3076923076923077</v>
      </c>
      <c r="AS18" s="13">
        <f t="shared" si="24"/>
        <v>1.3076923076923077</v>
      </c>
      <c r="AT18" s="13">
        <f t="shared" si="25"/>
        <v>1</v>
      </c>
      <c r="AU18" s="13">
        <f t="shared" si="26"/>
        <v>7.6923076923076916</v>
      </c>
    </row>
    <row r="19" spans="1:47" customFormat="1" x14ac:dyDescent="0.2">
      <c r="A19" s="1" t="s">
        <v>43</v>
      </c>
      <c r="B19" s="11" t="s">
        <v>22</v>
      </c>
      <c r="C19" s="13">
        <f t="shared" si="0"/>
        <v>0.8204450000000002</v>
      </c>
      <c r="D19" s="13">
        <f t="shared" si="1"/>
        <v>1</v>
      </c>
      <c r="E19" s="16">
        <v>1</v>
      </c>
      <c r="F19" s="16">
        <v>1</v>
      </c>
      <c r="G19" s="16">
        <v>1</v>
      </c>
      <c r="H19" s="13">
        <f t="shared" si="2"/>
        <v>27.000000000000007</v>
      </c>
      <c r="I19" s="13">
        <f t="shared" si="3"/>
        <v>0.27000000000000007</v>
      </c>
      <c r="J19" s="13">
        <f t="shared" si="4"/>
        <v>0.27000000000000007</v>
      </c>
      <c r="K19" s="16">
        <v>1</v>
      </c>
      <c r="L19" s="16">
        <v>100</v>
      </c>
      <c r="M19" s="16">
        <v>1</v>
      </c>
      <c r="N19" s="13">
        <f t="shared" si="5"/>
        <v>13.000000000000004</v>
      </c>
      <c r="O19" s="13">
        <f t="shared" si="6"/>
        <v>0.13000000000000003</v>
      </c>
      <c r="P19" s="13">
        <f t="shared" si="7"/>
        <v>0.13000000000000003</v>
      </c>
      <c r="Q19" s="16">
        <v>1</v>
      </c>
      <c r="R19" s="16">
        <v>100</v>
      </c>
      <c r="S19" s="16">
        <v>1</v>
      </c>
      <c r="T19" s="13">
        <f t="shared" si="8"/>
        <v>13.000000000000004</v>
      </c>
      <c r="U19" s="13">
        <f t="shared" si="9"/>
        <v>0.13000000000000003</v>
      </c>
      <c r="V19" s="13">
        <f t="shared" si="10"/>
        <v>0.13000000000000003</v>
      </c>
      <c r="W19" s="16">
        <v>1</v>
      </c>
      <c r="X19" s="16">
        <v>1</v>
      </c>
      <c r="Y19" s="16">
        <v>1</v>
      </c>
      <c r="Z19" s="13">
        <f t="shared" si="11"/>
        <v>17.000000000000004</v>
      </c>
      <c r="AA19" s="13">
        <f t="shared" si="12"/>
        <v>0.17000000000000004</v>
      </c>
      <c r="AB19" s="13">
        <f t="shared" si="13"/>
        <v>0.17000000000000004</v>
      </c>
      <c r="AC19" s="16">
        <v>1</v>
      </c>
      <c r="AD19" s="16">
        <v>0</v>
      </c>
      <c r="AE19" s="16">
        <v>0</v>
      </c>
      <c r="AF19" s="13">
        <f t="shared" si="14"/>
        <v>17.000000000000004</v>
      </c>
      <c r="AG19" s="13">
        <f t="shared" si="15"/>
        <v>0</v>
      </c>
      <c r="AH19" s="13">
        <f t="shared" si="16"/>
        <v>0</v>
      </c>
      <c r="AI19" s="16">
        <v>1</v>
      </c>
      <c r="AJ19" s="16">
        <v>7.3482000000000003</v>
      </c>
      <c r="AK19" s="16">
        <v>0.92649999999999999</v>
      </c>
      <c r="AL19" s="13">
        <f t="shared" si="17"/>
        <v>13.000000000000004</v>
      </c>
      <c r="AM19" s="13">
        <f t="shared" si="18"/>
        <v>0.12044500000000002</v>
      </c>
      <c r="AN19" s="13">
        <f t="shared" si="19"/>
        <v>0.12044500000000002</v>
      </c>
      <c r="AO19" s="13">
        <f t="shared" si="20"/>
        <v>2.0769230769230771</v>
      </c>
      <c r="AP19" s="13">
        <f t="shared" si="21"/>
        <v>1</v>
      </c>
      <c r="AQ19" s="13">
        <f t="shared" si="22"/>
        <v>1</v>
      </c>
      <c r="AR19" s="13">
        <f t="shared" si="23"/>
        <v>1.3076923076923077</v>
      </c>
      <c r="AS19" s="13">
        <f t="shared" si="24"/>
        <v>1.3076923076923077</v>
      </c>
      <c r="AT19" s="13">
        <f t="shared" si="25"/>
        <v>1</v>
      </c>
      <c r="AU19" s="13">
        <f t="shared" si="26"/>
        <v>7.6923076923076916</v>
      </c>
    </row>
    <row r="20" spans="1:47" customFormat="1" ht="25.5" x14ac:dyDescent="0.2">
      <c r="A20" s="1" t="s">
        <v>152</v>
      </c>
      <c r="B20" s="11" t="s">
        <v>153</v>
      </c>
      <c r="C20" s="13">
        <f t="shared" si="0"/>
        <v>0</v>
      </c>
      <c r="D20" s="13">
        <f t="shared" si="1"/>
        <v>1</v>
      </c>
      <c r="E20" s="16">
        <v>1</v>
      </c>
      <c r="F20" s="16">
        <v>0</v>
      </c>
      <c r="G20" s="16">
        <v>0</v>
      </c>
      <c r="H20" s="13">
        <f t="shared" si="2"/>
        <v>27.000000000000007</v>
      </c>
      <c r="I20" s="13">
        <f t="shared" si="3"/>
        <v>0</v>
      </c>
      <c r="J20" s="13">
        <f t="shared" si="4"/>
        <v>0</v>
      </c>
      <c r="K20" s="16">
        <v>1</v>
      </c>
      <c r="L20" s="16">
        <v>0</v>
      </c>
      <c r="M20" s="16">
        <v>0</v>
      </c>
      <c r="N20" s="13">
        <f t="shared" si="5"/>
        <v>13.000000000000004</v>
      </c>
      <c r="O20" s="13">
        <f t="shared" si="6"/>
        <v>0</v>
      </c>
      <c r="P20" s="13">
        <f t="shared" si="7"/>
        <v>0</v>
      </c>
      <c r="Q20" s="16">
        <v>1</v>
      </c>
      <c r="R20" s="16">
        <v>0</v>
      </c>
      <c r="S20" s="16">
        <v>0</v>
      </c>
      <c r="T20" s="13">
        <f t="shared" si="8"/>
        <v>13.000000000000004</v>
      </c>
      <c r="U20" s="13">
        <f t="shared" si="9"/>
        <v>0</v>
      </c>
      <c r="V20" s="13">
        <f t="shared" si="10"/>
        <v>0</v>
      </c>
      <c r="W20" s="16">
        <v>1</v>
      </c>
      <c r="X20" s="16">
        <v>0</v>
      </c>
      <c r="Y20" s="16">
        <v>0</v>
      </c>
      <c r="Z20" s="13">
        <f t="shared" si="11"/>
        <v>17.000000000000004</v>
      </c>
      <c r="AA20" s="13">
        <f t="shared" si="12"/>
        <v>0</v>
      </c>
      <c r="AB20" s="13">
        <f t="shared" si="13"/>
        <v>0</v>
      </c>
      <c r="AC20" s="16">
        <v>1</v>
      </c>
      <c r="AD20" s="16">
        <v>0</v>
      </c>
      <c r="AE20" s="16">
        <v>0</v>
      </c>
      <c r="AF20" s="13">
        <f t="shared" si="14"/>
        <v>17.000000000000004</v>
      </c>
      <c r="AG20" s="13">
        <f t="shared" si="15"/>
        <v>0</v>
      </c>
      <c r="AH20" s="13">
        <f t="shared" si="16"/>
        <v>0</v>
      </c>
      <c r="AI20" s="16">
        <v>1</v>
      </c>
      <c r="AJ20" s="16">
        <v>0</v>
      </c>
      <c r="AK20" s="16">
        <v>0</v>
      </c>
      <c r="AL20" s="13">
        <f t="shared" si="17"/>
        <v>13.000000000000004</v>
      </c>
      <c r="AM20" s="13">
        <f t="shared" si="18"/>
        <v>0</v>
      </c>
      <c r="AN20" s="13">
        <f t="shared" si="19"/>
        <v>0</v>
      </c>
      <c r="AO20" s="13">
        <f t="shared" si="20"/>
        <v>2.0769230769230771</v>
      </c>
      <c r="AP20" s="13">
        <f t="shared" si="21"/>
        <v>1</v>
      </c>
      <c r="AQ20" s="13">
        <f t="shared" si="22"/>
        <v>1</v>
      </c>
      <c r="AR20" s="13">
        <f t="shared" si="23"/>
        <v>1.3076923076923077</v>
      </c>
      <c r="AS20" s="13">
        <f t="shared" si="24"/>
        <v>1.3076923076923077</v>
      </c>
      <c r="AT20" s="13">
        <f t="shared" si="25"/>
        <v>1</v>
      </c>
      <c r="AU20" s="13">
        <f t="shared" si="26"/>
        <v>7.6923076923076916</v>
      </c>
    </row>
    <row r="21" spans="1:47" customFormat="1" x14ac:dyDescent="0.2">
      <c r="A21" s="1" t="s">
        <v>44</v>
      </c>
      <c r="B21" s="11" t="s">
        <v>23</v>
      </c>
      <c r="C21" s="13">
        <f t="shared" si="0"/>
        <v>0.91500000000000015</v>
      </c>
      <c r="D21" s="13">
        <f t="shared" si="1"/>
        <v>1</v>
      </c>
      <c r="E21" s="16">
        <v>1</v>
      </c>
      <c r="F21" s="16">
        <v>1</v>
      </c>
      <c r="G21" s="16">
        <v>1</v>
      </c>
      <c r="H21" s="13">
        <f t="shared" si="2"/>
        <v>27.000000000000007</v>
      </c>
      <c r="I21" s="13">
        <f t="shared" si="3"/>
        <v>0.27000000000000007</v>
      </c>
      <c r="J21" s="13">
        <f t="shared" si="4"/>
        <v>0.27000000000000007</v>
      </c>
      <c r="K21" s="16">
        <v>1</v>
      </c>
      <c r="L21" s="16">
        <v>100</v>
      </c>
      <c r="M21" s="16">
        <v>1</v>
      </c>
      <c r="N21" s="13">
        <f t="shared" si="5"/>
        <v>13.000000000000004</v>
      </c>
      <c r="O21" s="13">
        <f t="shared" si="6"/>
        <v>0.13000000000000003</v>
      </c>
      <c r="P21" s="13">
        <f t="shared" si="7"/>
        <v>0.13000000000000003</v>
      </c>
      <c r="Q21" s="16">
        <v>1</v>
      </c>
      <c r="R21" s="16">
        <v>100</v>
      </c>
      <c r="S21" s="16">
        <v>1</v>
      </c>
      <c r="T21" s="13">
        <f t="shared" si="8"/>
        <v>13.000000000000004</v>
      </c>
      <c r="U21" s="13">
        <f t="shared" si="9"/>
        <v>0.13000000000000003</v>
      </c>
      <c r="V21" s="13">
        <f t="shared" si="10"/>
        <v>0.13000000000000003</v>
      </c>
      <c r="W21" s="16">
        <v>1</v>
      </c>
      <c r="X21" s="16">
        <v>1</v>
      </c>
      <c r="Y21" s="16">
        <v>1</v>
      </c>
      <c r="Z21" s="13">
        <f t="shared" si="11"/>
        <v>17.000000000000004</v>
      </c>
      <c r="AA21" s="13">
        <f t="shared" si="12"/>
        <v>0.17000000000000004</v>
      </c>
      <c r="AB21" s="13">
        <f t="shared" si="13"/>
        <v>0.17000000000000004</v>
      </c>
      <c r="AC21" s="16">
        <v>1</v>
      </c>
      <c r="AD21" s="16">
        <v>50</v>
      </c>
      <c r="AE21" s="16">
        <v>0.5</v>
      </c>
      <c r="AF21" s="13">
        <f t="shared" si="14"/>
        <v>17.000000000000004</v>
      </c>
      <c r="AG21" s="13">
        <f t="shared" si="15"/>
        <v>8.500000000000002E-2</v>
      </c>
      <c r="AH21" s="13">
        <f t="shared" si="16"/>
        <v>8.500000000000002E-2</v>
      </c>
      <c r="AI21" s="16">
        <v>1</v>
      </c>
      <c r="AJ21" s="16">
        <v>1.0630999999999999</v>
      </c>
      <c r="AK21" s="16">
        <v>1</v>
      </c>
      <c r="AL21" s="13">
        <f t="shared" si="17"/>
        <v>13.000000000000004</v>
      </c>
      <c r="AM21" s="13">
        <f t="shared" si="18"/>
        <v>0.13000000000000003</v>
      </c>
      <c r="AN21" s="13">
        <f t="shared" si="19"/>
        <v>0.13000000000000003</v>
      </c>
      <c r="AO21" s="13">
        <f t="shared" si="20"/>
        <v>2.0769230769230771</v>
      </c>
      <c r="AP21" s="13">
        <f t="shared" si="21"/>
        <v>1</v>
      </c>
      <c r="AQ21" s="13">
        <f t="shared" si="22"/>
        <v>1</v>
      </c>
      <c r="AR21" s="13">
        <f t="shared" si="23"/>
        <v>1.3076923076923077</v>
      </c>
      <c r="AS21" s="13">
        <f t="shared" si="24"/>
        <v>1.3076923076923077</v>
      </c>
      <c r="AT21" s="13">
        <f t="shared" si="25"/>
        <v>1</v>
      </c>
      <c r="AU21" s="13">
        <f t="shared" si="26"/>
        <v>7.6923076923076916</v>
      </c>
    </row>
    <row r="22" spans="1:47" customFormat="1" ht="25.5" x14ac:dyDescent="0.2">
      <c r="A22" s="1" t="s">
        <v>45</v>
      </c>
      <c r="B22" s="11" t="s">
        <v>24</v>
      </c>
      <c r="C22" s="13">
        <f t="shared" si="0"/>
        <v>0.70000000000000018</v>
      </c>
      <c r="D22" s="13">
        <f t="shared" si="1"/>
        <v>1</v>
      </c>
      <c r="E22" s="16">
        <v>1</v>
      </c>
      <c r="F22" s="16">
        <v>1</v>
      </c>
      <c r="G22" s="16">
        <v>1</v>
      </c>
      <c r="H22" s="13">
        <f t="shared" si="2"/>
        <v>27.000000000000007</v>
      </c>
      <c r="I22" s="13">
        <f t="shared" si="3"/>
        <v>0.27000000000000007</v>
      </c>
      <c r="J22" s="13">
        <f t="shared" si="4"/>
        <v>0.27000000000000007</v>
      </c>
      <c r="K22" s="16">
        <v>1</v>
      </c>
      <c r="L22" s="16">
        <v>100</v>
      </c>
      <c r="M22" s="16">
        <v>1</v>
      </c>
      <c r="N22" s="13">
        <f t="shared" si="5"/>
        <v>13.000000000000004</v>
      </c>
      <c r="O22" s="13">
        <f t="shared" si="6"/>
        <v>0.13000000000000003</v>
      </c>
      <c r="P22" s="13">
        <f t="shared" si="7"/>
        <v>0.13000000000000003</v>
      </c>
      <c r="Q22" s="16">
        <v>1</v>
      </c>
      <c r="R22" s="16">
        <v>100</v>
      </c>
      <c r="S22" s="16">
        <v>1</v>
      </c>
      <c r="T22" s="13">
        <f t="shared" si="8"/>
        <v>13.000000000000004</v>
      </c>
      <c r="U22" s="13">
        <f t="shared" si="9"/>
        <v>0.13000000000000003</v>
      </c>
      <c r="V22" s="13">
        <f t="shared" si="10"/>
        <v>0.13000000000000003</v>
      </c>
      <c r="W22" s="16">
        <v>1</v>
      </c>
      <c r="X22" s="16">
        <v>0</v>
      </c>
      <c r="Y22" s="16">
        <v>0</v>
      </c>
      <c r="Z22" s="13">
        <f t="shared" si="11"/>
        <v>17.000000000000004</v>
      </c>
      <c r="AA22" s="13">
        <f t="shared" si="12"/>
        <v>0</v>
      </c>
      <c r="AB22" s="13">
        <f t="shared" si="13"/>
        <v>0</v>
      </c>
      <c r="AC22" s="16">
        <v>1</v>
      </c>
      <c r="AD22" s="16">
        <v>100</v>
      </c>
      <c r="AE22" s="16">
        <v>1</v>
      </c>
      <c r="AF22" s="13">
        <f t="shared" si="14"/>
        <v>17.000000000000004</v>
      </c>
      <c r="AG22" s="13">
        <f t="shared" si="15"/>
        <v>0.17000000000000004</v>
      </c>
      <c r="AH22" s="13">
        <f t="shared" si="16"/>
        <v>0.17000000000000004</v>
      </c>
      <c r="AI22" s="16">
        <v>1</v>
      </c>
      <c r="AJ22" s="16">
        <v>18.215900000000001</v>
      </c>
      <c r="AK22" s="16">
        <v>0</v>
      </c>
      <c r="AL22" s="13">
        <f t="shared" si="17"/>
        <v>13.000000000000004</v>
      </c>
      <c r="AM22" s="13">
        <f t="shared" si="18"/>
        <v>0</v>
      </c>
      <c r="AN22" s="13">
        <f t="shared" si="19"/>
        <v>0</v>
      </c>
      <c r="AO22" s="13">
        <f t="shared" si="20"/>
        <v>2.0769230769230771</v>
      </c>
      <c r="AP22" s="13">
        <f t="shared" si="21"/>
        <v>1</v>
      </c>
      <c r="AQ22" s="13">
        <f t="shared" si="22"/>
        <v>1</v>
      </c>
      <c r="AR22" s="13">
        <f t="shared" si="23"/>
        <v>1.3076923076923077</v>
      </c>
      <c r="AS22" s="13">
        <f t="shared" si="24"/>
        <v>1.3076923076923077</v>
      </c>
      <c r="AT22" s="13">
        <f t="shared" si="25"/>
        <v>1</v>
      </c>
      <c r="AU22" s="13">
        <f t="shared" si="26"/>
        <v>7.6923076923076916</v>
      </c>
    </row>
    <row r="23" spans="1:47" customFormat="1" ht="25.5" x14ac:dyDescent="0.2">
      <c r="A23" s="1" t="s">
        <v>46</v>
      </c>
      <c r="B23" s="11" t="s">
        <v>25</v>
      </c>
      <c r="C23" s="13">
        <f t="shared" si="0"/>
        <v>0.82222600000000023</v>
      </c>
      <c r="D23" s="13">
        <f t="shared" si="1"/>
        <v>1</v>
      </c>
      <c r="E23" s="16">
        <v>1</v>
      </c>
      <c r="F23" s="16">
        <v>1</v>
      </c>
      <c r="G23" s="16">
        <v>1</v>
      </c>
      <c r="H23" s="13">
        <f t="shared" si="2"/>
        <v>27.000000000000007</v>
      </c>
      <c r="I23" s="13">
        <f t="shared" si="3"/>
        <v>0.27000000000000007</v>
      </c>
      <c r="J23" s="13">
        <f t="shared" si="4"/>
        <v>0.27000000000000007</v>
      </c>
      <c r="K23" s="16">
        <v>1</v>
      </c>
      <c r="L23" s="16">
        <v>100</v>
      </c>
      <c r="M23" s="16">
        <v>1</v>
      </c>
      <c r="N23" s="13">
        <f t="shared" si="5"/>
        <v>13.000000000000004</v>
      </c>
      <c r="O23" s="13">
        <f t="shared" si="6"/>
        <v>0.13000000000000003</v>
      </c>
      <c r="P23" s="13">
        <f t="shared" si="7"/>
        <v>0.13000000000000003</v>
      </c>
      <c r="Q23" s="16">
        <v>1</v>
      </c>
      <c r="R23" s="16">
        <v>100</v>
      </c>
      <c r="S23" s="16">
        <v>1</v>
      </c>
      <c r="T23" s="13">
        <f t="shared" si="8"/>
        <v>13.000000000000004</v>
      </c>
      <c r="U23" s="13">
        <f t="shared" si="9"/>
        <v>0.13000000000000003</v>
      </c>
      <c r="V23" s="13">
        <f t="shared" si="10"/>
        <v>0.13000000000000003</v>
      </c>
      <c r="W23" s="16">
        <v>1</v>
      </c>
      <c r="X23" s="16">
        <v>0</v>
      </c>
      <c r="Y23" s="16">
        <v>0</v>
      </c>
      <c r="Z23" s="13">
        <f t="shared" si="11"/>
        <v>17.000000000000004</v>
      </c>
      <c r="AA23" s="13">
        <f t="shared" si="12"/>
        <v>0</v>
      </c>
      <c r="AB23" s="13">
        <f t="shared" si="13"/>
        <v>0</v>
      </c>
      <c r="AC23" s="16">
        <v>1</v>
      </c>
      <c r="AD23" s="16">
        <v>100</v>
      </c>
      <c r="AE23" s="16">
        <v>1</v>
      </c>
      <c r="AF23" s="13">
        <f t="shared" si="14"/>
        <v>17.000000000000004</v>
      </c>
      <c r="AG23" s="13">
        <f t="shared" si="15"/>
        <v>0.17000000000000004</v>
      </c>
      <c r="AH23" s="13">
        <f t="shared" si="16"/>
        <v>0.17000000000000004</v>
      </c>
      <c r="AI23" s="16">
        <v>1</v>
      </c>
      <c r="AJ23" s="16">
        <v>5.9821999999999997</v>
      </c>
      <c r="AK23" s="16">
        <v>0.94020000000000004</v>
      </c>
      <c r="AL23" s="13">
        <f t="shared" si="17"/>
        <v>13.000000000000004</v>
      </c>
      <c r="AM23" s="13">
        <f t="shared" si="18"/>
        <v>0.12222600000000003</v>
      </c>
      <c r="AN23" s="13">
        <f t="shared" si="19"/>
        <v>0.12222600000000003</v>
      </c>
      <c r="AO23" s="13">
        <f t="shared" si="20"/>
        <v>2.0769230769230771</v>
      </c>
      <c r="AP23" s="13">
        <f t="shared" si="21"/>
        <v>1</v>
      </c>
      <c r="AQ23" s="13">
        <f t="shared" si="22"/>
        <v>1</v>
      </c>
      <c r="AR23" s="13">
        <f t="shared" si="23"/>
        <v>1.3076923076923077</v>
      </c>
      <c r="AS23" s="13">
        <f t="shared" si="24"/>
        <v>1.3076923076923077</v>
      </c>
      <c r="AT23" s="13">
        <f t="shared" si="25"/>
        <v>1</v>
      </c>
      <c r="AU23" s="13">
        <f t="shared" si="26"/>
        <v>7.6923076923076916</v>
      </c>
    </row>
    <row r="24" spans="1:47" customFormat="1" ht="25.5" x14ac:dyDescent="0.2">
      <c r="A24" s="1" t="s">
        <v>47</v>
      </c>
      <c r="B24" s="11" t="s">
        <v>26</v>
      </c>
      <c r="C24" s="13">
        <f t="shared" si="0"/>
        <v>0.66000000000000014</v>
      </c>
      <c r="D24" s="13">
        <f t="shared" si="1"/>
        <v>1</v>
      </c>
      <c r="E24" s="16">
        <v>1</v>
      </c>
      <c r="F24" s="16">
        <v>1</v>
      </c>
      <c r="G24" s="16">
        <v>1</v>
      </c>
      <c r="H24" s="13">
        <f t="shared" si="2"/>
        <v>27.000000000000007</v>
      </c>
      <c r="I24" s="13">
        <f t="shared" si="3"/>
        <v>0.27000000000000007</v>
      </c>
      <c r="J24" s="13">
        <f t="shared" si="4"/>
        <v>0.27000000000000007</v>
      </c>
      <c r="K24" s="16">
        <v>1</v>
      </c>
      <c r="L24" s="16">
        <v>100</v>
      </c>
      <c r="M24" s="16">
        <v>1</v>
      </c>
      <c r="N24" s="13">
        <f t="shared" si="5"/>
        <v>13.000000000000004</v>
      </c>
      <c r="O24" s="13">
        <f t="shared" si="6"/>
        <v>0.13000000000000003</v>
      </c>
      <c r="P24" s="13">
        <f t="shared" si="7"/>
        <v>0.13000000000000003</v>
      </c>
      <c r="Q24" s="16">
        <v>1</v>
      </c>
      <c r="R24" s="16">
        <v>100</v>
      </c>
      <c r="S24" s="16">
        <v>1</v>
      </c>
      <c r="T24" s="13">
        <f t="shared" si="8"/>
        <v>13.000000000000004</v>
      </c>
      <c r="U24" s="13">
        <f t="shared" si="9"/>
        <v>0.13000000000000003</v>
      </c>
      <c r="V24" s="13">
        <f t="shared" si="10"/>
        <v>0.13000000000000003</v>
      </c>
      <c r="W24" s="16">
        <v>1</v>
      </c>
      <c r="X24" s="16">
        <v>0</v>
      </c>
      <c r="Y24" s="16">
        <v>0</v>
      </c>
      <c r="Z24" s="13">
        <f t="shared" si="11"/>
        <v>17.000000000000004</v>
      </c>
      <c r="AA24" s="13">
        <f t="shared" si="12"/>
        <v>0</v>
      </c>
      <c r="AB24" s="13">
        <f t="shared" si="13"/>
        <v>0</v>
      </c>
      <c r="AC24" s="16">
        <v>1</v>
      </c>
      <c r="AD24" s="16">
        <v>0</v>
      </c>
      <c r="AE24" s="16">
        <v>0</v>
      </c>
      <c r="AF24" s="13">
        <f t="shared" si="14"/>
        <v>17.000000000000004</v>
      </c>
      <c r="AG24" s="13">
        <f t="shared" si="15"/>
        <v>0</v>
      </c>
      <c r="AH24" s="13">
        <f t="shared" si="16"/>
        <v>0</v>
      </c>
      <c r="AI24" s="16">
        <v>1</v>
      </c>
      <c r="AJ24" s="16">
        <v>7.8799999999999995E-2</v>
      </c>
      <c r="AK24" s="16">
        <v>1</v>
      </c>
      <c r="AL24" s="13">
        <f t="shared" si="17"/>
        <v>13.000000000000004</v>
      </c>
      <c r="AM24" s="13">
        <f t="shared" si="18"/>
        <v>0.13000000000000003</v>
      </c>
      <c r="AN24" s="13">
        <f t="shared" si="19"/>
        <v>0.13000000000000003</v>
      </c>
      <c r="AO24" s="13">
        <f t="shared" si="20"/>
        <v>2.0769230769230771</v>
      </c>
      <c r="AP24" s="13">
        <f t="shared" si="21"/>
        <v>1</v>
      </c>
      <c r="AQ24" s="13">
        <f t="shared" si="22"/>
        <v>1</v>
      </c>
      <c r="AR24" s="13">
        <f t="shared" si="23"/>
        <v>1.3076923076923077</v>
      </c>
      <c r="AS24" s="13">
        <f t="shared" si="24"/>
        <v>1.3076923076923077</v>
      </c>
      <c r="AT24" s="13">
        <f t="shared" si="25"/>
        <v>1</v>
      </c>
      <c r="AU24" s="13">
        <f t="shared" si="26"/>
        <v>7.6923076923076916</v>
      </c>
    </row>
    <row r="25" spans="1:47" customFormat="1" ht="25.5" x14ac:dyDescent="0.2">
      <c r="A25" s="1" t="s">
        <v>48</v>
      </c>
      <c r="B25" s="11" t="s">
        <v>27</v>
      </c>
      <c r="C25" s="13">
        <f t="shared" si="0"/>
        <v>0.70000000000000018</v>
      </c>
      <c r="D25" s="13">
        <f t="shared" si="1"/>
        <v>1</v>
      </c>
      <c r="E25" s="16">
        <v>1</v>
      </c>
      <c r="F25" s="16">
        <v>1</v>
      </c>
      <c r="G25" s="16">
        <v>1</v>
      </c>
      <c r="H25" s="13">
        <f t="shared" si="2"/>
        <v>27.000000000000007</v>
      </c>
      <c r="I25" s="13">
        <f t="shared" si="3"/>
        <v>0.27000000000000007</v>
      </c>
      <c r="J25" s="13">
        <f t="shared" si="4"/>
        <v>0.27000000000000007</v>
      </c>
      <c r="K25" s="16">
        <v>1</v>
      </c>
      <c r="L25" s="16">
        <v>100</v>
      </c>
      <c r="M25" s="16">
        <v>1</v>
      </c>
      <c r="N25" s="13">
        <f t="shared" si="5"/>
        <v>13.000000000000004</v>
      </c>
      <c r="O25" s="13">
        <f t="shared" si="6"/>
        <v>0.13000000000000003</v>
      </c>
      <c r="P25" s="13">
        <f t="shared" si="7"/>
        <v>0.13000000000000003</v>
      </c>
      <c r="Q25" s="16">
        <v>1</v>
      </c>
      <c r="R25" s="16">
        <v>100</v>
      </c>
      <c r="S25" s="16">
        <v>1</v>
      </c>
      <c r="T25" s="13">
        <f t="shared" si="8"/>
        <v>13.000000000000004</v>
      </c>
      <c r="U25" s="13">
        <f t="shared" si="9"/>
        <v>0.13000000000000003</v>
      </c>
      <c r="V25" s="13">
        <f t="shared" si="10"/>
        <v>0.13000000000000003</v>
      </c>
      <c r="W25" s="16">
        <v>1</v>
      </c>
      <c r="X25" s="16">
        <v>0</v>
      </c>
      <c r="Y25" s="16">
        <v>0</v>
      </c>
      <c r="Z25" s="13">
        <f t="shared" si="11"/>
        <v>17.000000000000004</v>
      </c>
      <c r="AA25" s="13">
        <f t="shared" si="12"/>
        <v>0</v>
      </c>
      <c r="AB25" s="13">
        <f t="shared" si="13"/>
        <v>0</v>
      </c>
      <c r="AC25" s="16">
        <v>1</v>
      </c>
      <c r="AD25" s="16">
        <v>100</v>
      </c>
      <c r="AE25" s="16">
        <v>1</v>
      </c>
      <c r="AF25" s="13">
        <f t="shared" si="14"/>
        <v>17.000000000000004</v>
      </c>
      <c r="AG25" s="13">
        <f t="shared" si="15"/>
        <v>0.17000000000000004</v>
      </c>
      <c r="AH25" s="13">
        <f t="shared" si="16"/>
        <v>0.17000000000000004</v>
      </c>
      <c r="AI25" s="16">
        <v>1</v>
      </c>
      <c r="AJ25" s="16">
        <v>89.974699999999999</v>
      </c>
      <c r="AK25" s="16">
        <v>0</v>
      </c>
      <c r="AL25" s="13">
        <f t="shared" si="17"/>
        <v>13.000000000000004</v>
      </c>
      <c r="AM25" s="13">
        <f t="shared" si="18"/>
        <v>0</v>
      </c>
      <c r="AN25" s="13">
        <f t="shared" si="19"/>
        <v>0</v>
      </c>
      <c r="AO25" s="13">
        <f t="shared" si="20"/>
        <v>2.0769230769230771</v>
      </c>
      <c r="AP25" s="13">
        <f t="shared" si="21"/>
        <v>1</v>
      </c>
      <c r="AQ25" s="13">
        <f t="shared" si="22"/>
        <v>1</v>
      </c>
      <c r="AR25" s="13">
        <f t="shared" si="23"/>
        <v>1.3076923076923077</v>
      </c>
      <c r="AS25" s="13">
        <f t="shared" si="24"/>
        <v>1.3076923076923077</v>
      </c>
      <c r="AT25" s="13">
        <f t="shared" si="25"/>
        <v>1</v>
      </c>
      <c r="AU25" s="13">
        <f t="shared" si="26"/>
        <v>7.6923076923076916</v>
      </c>
    </row>
    <row r="26" spans="1:47" customFormat="1" x14ac:dyDescent="0.2">
      <c r="A26" s="1" t="s">
        <v>49</v>
      </c>
      <c r="B26" s="11" t="s">
        <v>28</v>
      </c>
      <c r="C26" s="13">
        <f t="shared" si="0"/>
        <v>0.97166100000000022</v>
      </c>
      <c r="D26" s="13">
        <f t="shared" si="1"/>
        <v>1</v>
      </c>
      <c r="E26" s="16">
        <v>1</v>
      </c>
      <c r="F26" s="16">
        <v>1</v>
      </c>
      <c r="G26" s="16">
        <v>1</v>
      </c>
      <c r="H26" s="13">
        <f t="shared" si="2"/>
        <v>27.000000000000007</v>
      </c>
      <c r="I26" s="13">
        <f t="shared" si="3"/>
        <v>0.27000000000000007</v>
      </c>
      <c r="J26" s="13">
        <f t="shared" si="4"/>
        <v>0.27000000000000007</v>
      </c>
      <c r="K26" s="16">
        <v>1</v>
      </c>
      <c r="L26" s="16">
        <v>100</v>
      </c>
      <c r="M26" s="16">
        <v>1</v>
      </c>
      <c r="N26" s="13">
        <f t="shared" si="5"/>
        <v>13.000000000000004</v>
      </c>
      <c r="O26" s="13">
        <f t="shared" si="6"/>
        <v>0.13000000000000003</v>
      </c>
      <c r="P26" s="13">
        <f t="shared" si="7"/>
        <v>0.13000000000000003</v>
      </c>
      <c r="Q26" s="16">
        <v>1</v>
      </c>
      <c r="R26" s="16">
        <v>100</v>
      </c>
      <c r="S26" s="16">
        <v>1</v>
      </c>
      <c r="T26" s="13">
        <f t="shared" si="8"/>
        <v>13.000000000000004</v>
      </c>
      <c r="U26" s="13">
        <f t="shared" si="9"/>
        <v>0.13000000000000003</v>
      </c>
      <c r="V26" s="13">
        <f t="shared" si="10"/>
        <v>0.13000000000000003</v>
      </c>
      <c r="W26" s="16">
        <v>1</v>
      </c>
      <c r="X26" s="16">
        <v>1</v>
      </c>
      <c r="Y26" s="16">
        <v>1</v>
      </c>
      <c r="Z26" s="13">
        <f t="shared" si="11"/>
        <v>17.000000000000004</v>
      </c>
      <c r="AA26" s="13">
        <f t="shared" si="12"/>
        <v>0.17000000000000004</v>
      </c>
      <c r="AB26" s="13">
        <f t="shared" si="13"/>
        <v>0.17000000000000004</v>
      </c>
      <c r="AC26" s="16">
        <v>1</v>
      </c>
      <c r="AD26" s="16">
        <v>83.333299999999994</v>
      </c>
      <c r="AE26" s="16">
        <v>0.83330000000000004</v>
      </c>
      <c r="AF26" s="13">
        <f t="shared" si="14"/>
        <v>17.000000000000004</v>
      </c>
      <c r="AG26" s="13">
        <f t="shared" si="15"/>
        <v>0.14166100000000004</v>
      </c>
      <c r="AH26" s="13">
        <f t="shared" si="16"/>
        <v>0.14166100000000004</v>
      </c>
      <c r="AI26" s="16">
        <v>1</v>
      </c>
      <c r="AJ26" s="16">
        <v>1.72E-2</v>
      </c>
      <c r="AK26" s="16">
        <v>1</v>
      </c>
      <c r="AL26" s="13">
        <f t="shared" si="17"/>
        <v>13.000000000000004</v>
      </c>
      <c r="AM26" s="13">
        <f t="shared" si="18"/>
        <v>0.13000000000000003</v>
      </c>
      <c r="AN26" s="13">
        <f t="shared" si="19"/>
        <v>0.13000000000000003</v>
      </c>
      <c r="AO26" s="13">
        <f t="shared" si="20"/>
        <v>2.0769230769230771</v>
      </c>
      <c r="AP26" s="13">
        <f t="shared" si="21"/>
        <v>1</v>
      </c>
      <c r="AQ26" s="13">
        <f t="shared" si="22"/>
        <v>1</v>
      </c>
      <c r="AR26" s="13">
        <f t="shared" si="23"/>
        <v>1.3076923076923077</v>
      </c>
      <c r="AS26" s="13">
        <f t="shared" si="24"/>
        <v>1.3076923076923077</v>
      </c>
      <c r="AT26" s="13">
        <f t="shared" si="25"/>
        <v>1</v>
      </c>
      <c r="AU26" s="13">
        <f t="shared" si="26"/>
        <v>7.6923076923076916</v>
      </c>
    </row>
    <row r="27" spans="1:47" customFormat="1" ht="25.5" x14ac:dyDescent="0.2">
      <c r="A27" s="1" t="s">
        <v>150</v>
      </c>
      <c r="B27" s="11" t="s">
        <v>147</v>
      </c>
      <c r="C27" s="13">
        <f t="shared" si="0"/>
        <v>0.83000000000000018</v>
      </c>
      <c r="D27" s="13">
        <f t="shared" si="1"/>
        <v>1</v>
      </c>
      <c r="E27" s="16">
        <v>1</v>
      </c>
      <c r="F27" s="16">
        <v>1</v>
      </c>
      <c r="G27" s="16">
        <v>1</v>
      </c>
      <c r="H27" s="13">
        <f t="shared" si="2"/>
        <v>27.000000000000007</v>
      </c>
      <c r="I27" s="13">
        <f t="shared" si="3"/>
        <v>0.27000000000000007</v>
      </c>
      <c r="J27" s="13">
        <f t="shared" si="4"/>
        <v>0.27000000000000007</v>
      </c>
      <c r="K27" s="16">
        <v>1</v>
      </c>
      <c r="L27" s="16">
        <v>100</v>
      </c>
      <c r="M27" s="16">
        <v>1</v>
      </c>
      <c r="N27" s="13">
        <f t="shared" si="5"/>
        <v>13.000000000000004</v>
      </c>
      <c r="O27" s="13">
        <f t="shared" si="6"/>
        <v>0.13000000000000003</v>
      </c>
      <c r="P27" s="13">
        <f t="shared" si="7"/>
        <v>0.13000000000000003</v>
      </c>
      <c r="Q27" s="16">
        <v>1</v>
      </c>
      <c r="R27" s="16">
        <v>100</v>
      </c>
      <c r="S27" s="16">
        <v>1</v>
      </c>
      <c r="T27" s="13">
        <f t="shared" si="8"/>
        <v>13.000000000000004</v>
      </c>
      <c r="U27" s="13">
        <f t="shared" si="9"/>
        <v>0.13000000000000003</v>
      </c>
      <c r="V27" s="13">
        <f t="shared" si="10"/>
        <v>0.13000000000000003</v>
      </c>
      <c r="W27" s="16">
        <v>1</v>
      </c>
      <c r="X27" s="16">
        <v>0</v>
      </c>
      <c r="Y27" s="16">
        <v>0</v>
      </c>
      <c r="Z27" s="13">
        <f t="shared" si="11"/>
        <v>17.000000000000004</v>
      </c>
      <c r="AA27" s="13">
        <f t="shared" si="12"/>
        <v>0</v>
      </c>
      <c r="AB27" s="13">
        <f t="shared" si="13"/>
        <v>0</v>
      </c>
      <c r="AC27" s="16">
        <v>1</v>
      </c>
      <c r="AD27" s="16">
        <v>100</v>
      </c>
      <c r="AE27" s="16">
        <v>1</v>
      </c>
      <c r="AF27" s="13">
        <f t="shared" si="14"/>
        <v>17.000000000000004</v>
      </c>
      <c r="AG27" s="13">
        <f t="shared" si="15"/>
        <v>0.17000000000000004</v>
      </c>
      <c r="AH27" s="13">
        <f t="shared" si="16"/>
        <v>0.17000000000000004</v>
      </c>
      <c r="AI27" s="16">
        <v>1</v>
      </c>
      <c r="AJ27" s="16">
        <v>3.3972000000000002</v>
      </c>
      <c r="AK27" s="16">
        <v>1</v>
      </c>
      <c r="AL27" s="13">
        <f t="shared" si="17"/>
        <v>13.000000000000004</v>
      </c>
      <c r="AM27" s="13">
        <f t="shared" si="18"/>
        <v>0.13000000000000003</v>
      </c>
      <c r="AN27" s="13">
        <f t="shared" si="19"/>
        <v>0.13000000000000003</v>
      </c>
      <c r="AO27" s="13">
        <f t="shared" si="20"/>
        <v>2.0769230769230771</v>
      </c>
      <c r="AP27" s="13">
        <f t="shared" si="21"/>
        <v>1</v>
      </c>
      <c r="AQ27" s="13">
        <f t="shared" si="22"/>
        <v>1</v>
      </c>
      <c r="AR27" s="13">
        <f t="shared" si="23"/>
        <v>1.3076923076923077</v>
      </c>
      <c r="AS27" s="13">
        <f t="shared" si="24"/>
        <v>1.3076923076923077</v>
      </c>
      <c r="AT27" s="13">
        <f t="shared" si="25"/>
        <v>1</v>
      </c>
      <c r="AU27" s="13">
        <f t="shared" si="26"/>
        <v>7.6923076923076916</v>
      </c>
    </row>
    <row r="28" spans="1:47" customFormat="1" x14ac:dyDescent="0.2">
      <c r="A28" s="1" t="s">
        <v>50</v>
      </c>
      <c r="B28" s="11" t="s">
        <v>29</v>
      </c>
      <c r="C28" s="13">
        <f t="shared" si="0"/>
        <v>0.69626100000000013</v>
      </c>
      <c r="D28" s="13">
        <f t="shared" si="1"/>
        <v>1</v>
      </c>
      <c r="E28" s="16">
        <v>1</v>
      </c>
      <c r="F28" s="16">
        <v>1</v>
      </c>
      <c r="G28" s="16">
        <v>1</v>
      </c>
      <c r="H28" s="13">
        <f t="shared" si="2"/>
        <v>27.000000000000007</v>
      </c>
      <c r="I28" s="13">
        <f t="shared" si="3"/>
        <v>0.27000000000000007</v>
      </c>
      <c r="J28" s="13">
        <f t="shared" si="4"/>
        <v>0.27000000000000007</v>
      </c>
      <c r="K28" s="16">
        <v>1</v>
      </c>
      <c r="L28" s="16">
        <v>100</v>
      </c>
      <c r="M28" s="16">
        <v>1</v>
      </c>
      <c r="N28" s="13">
        <f t="shared" si="5"/>
        <v>13.000000000000004</v>
      </c>
      <c r="O28" s="13">
        <f t="shared" si="6"/>
        <v>0.13000000000000003</v>
      </c>
      <c r="P28" s="13">
        <f t="shared" si="7"/>
        <v>0.13000000000000003</v>
      </c>
      <c r="Q28" s="16">
        <v>1</v>
      </c>
      <c r="R28" s="16">
        <v>100</v>
      </c>
      <c r="S28" s="16">
        <v>1</v>
      </c>
      <c r="T28" s="13">
        <f t="shared" si="8"/>
        <v>13.000000000000004</v>
      </c>
      <c r="U28" s="13">
        <f t="shared" si="9"/>
        <v>0.13000000000000003</v>
      </c>
      <c r="V28" s="13">
        <f t="shared" si="10"/>
        <v>0.13000000000000003</v>
      </c>
      <c r="W28" s="16">
        <v>1</v>
      </c>
      <c r="X28" s="16">
        <v>0</v>
      </c>
      <c r="Y28" s="16">
        <v>0</v>
      </c>
      <c r="Z28" s="13">
        <f t="shared" si="11"/>
        <v>17.000000000000004</v>
      </c>
      <c r="AA28" s="13">
        <f t="shared" si="12"/>
        <v>0</v>
      </c>
      <c r="AB28" s="13">
        <f t="shared" si="13"/>
        <v>0</v>
      </c>
      <c r="AC28" s="16">
        <v>1</v>
      </c>
      <c r="AD28" s="16">
        <v>21.333300000000001</v>
      </c>
      <c r="AE28" s="16">
        <v>0.21329999999999999</v>
      </c>
      <c r="AF28" s="13">
        <f t="shared" si="14"/>
        <v>17.000000000000004</v>
      </c>
      <c r="AG28" s="13">
        <f t="shared" si="15"/>
        <v>3.6261000000000009E-2</v>
      </c>
      <c r="AH28" s="13">
        <f t="shared" si="16"/>
        <v>3.6261000000000009E-2</v>
      </c>
      <c r="AI28" s="16">
        <v>1</v>
      </c>
      <c r="AJ28" s="16">
        <v>1.8700000000000001E-2</v>
      </c>
      <c r="AK28" s="16">
        <v>1</v>
      </c>
      <c r="AL28" s="13">
        <f t="shared" si="17"/>
        <v>13.000000000000004</v>
      </c>
      <c r="AM28" s="13">
        <f t="shared" si="18"/>
        <v>0.13000000000000003</v>
      </c>
      <c r="AN28" s="13">
        <f t="shared" si="19"/>
        <v>0.13000000000000003</v>
      </c>
      <c r="AO28" s="13">
        <f t="shared" si="20"/>
        <v>2.0769230769230771</v>
      </c>
      <c r="AP28" s="13">
        <f t="shared" si="21"/>
        <v>1</v>
      </c>
      <c r="AQ28" s="13">
        <f t="shared" si="22"/>
        <v>1</v>
      </c>
      <c r="AR28" s="13">
        <f t="shared" si="23"/>
        <v>1.3076923076923077</v>
      </c>
      <c r="AS28" s="13">
        <f t="shared" si="24"/>
        <v>1.3076923076923077</v>
      </c>
      <c r="AT28" s="13">
        <f t="shared" si="25"/>
        <v>1</v>
      </c>
      <c r="AU28" s="13">
        <f t="shared" si="26"/>
        <v>7.6923076923076916</v>
      </c>
    </row>
    <row r="29" spans="1:47" customFormat="1" x14ac:dyDescent="0.2">
      <c r="A29" s="1" t="s">
        <v>51</v>
      </c>
      <c r="B29" s="11" t="s">
        <v>30</v>
      </c>
      <c r="C29" s="13">
        <f t="shared" si="0"/>
        <v>0.39000000000000012</v>
      </c>
      <c r="D29" s="13">
        <f t="shared" si="1"/>
        <v>1</v>
      </c>
      <c r="E29" s="16">
        <v>1</v>
      </c>
      <c r="F29" s="16">
        <v>0</v>
      </c>
      <c r="G29" s="16">
        <v>0</v>
      </c>
      <c r="H29" s="13">
        <f t="shared" si="2"/>
        <v>27.000000000000007</v>
      </c>
      <c r="I29" s="13">
        <f t="shared" si="3"/>
        <v>0</v>
      </c>
      <c r="J29" s="13">
        <f t="shared" si="4"/>
        <v>0</v>
      </c>
      <c r="K29" s="16">
        <v>1</v>
      </c>
      <c r="L29" s="16">
        <v>100</v>
      </c>
      <c r="M29" s="16">
        <v>1</v>
      </c>
      <c r="N29" s="13">
        <f t="shared" si="5"/>
        <v>13.000000000000004</v>
      </c>
      <c r="O29" s="13">
        <f t="shared" si="6"/>
        <v>0.13000000000000003</v>
      </c>
      <c r="P29" s="13">
        <f t="shared" si="7"/>
        <v>0.13000000000000003</v>
      </c>
      <c r="Q29" s="16">
        <v>1</v>
      </c>
      <c r="R29" s="16">
        <v>100</v>
      </c>
      <c r="S29" s="16">
        <v>1</v>
      </c>
      <c r="T29" s="13">
        <f t="shared" si="8"/>
        <v>13.000000000000004</v>
      </c>
      <c r="U29" s="13">
        <f t="shared" si="9"/>
        <v>0.13000000000000003</v>
      </c>
      <c r="V29" s="13">
        <f t="shared" si="10"/>
        <v>0.13000000000000003</v>
      </c>
      <c r="W29" s="16">
        <v>1</v>
      </c>
      <c r="X29" s="16">
        <v>0</v>
      </c>
      <c r="Y29" s="16">
        <v>0</v>
      </c>
      <c r="Z29" s="13">
        <f t="shared" si="11"/>
        <v>17.000000000000004</v>
      </c>
      <c r="AA29" s="13">
        <f t="shared" si="12"/>
        <v>0</v>
      </c>
      <c r="AB29" s="13">
        <f t="shared" si="13"/>
        <v>0</v>
      </c>
      <c r="AC29" s="16">
        <v>1</v>
      </c>
      <c r="AD29" s="16">
        <v>0</v>
      </c>
      <c r="AE29" s="16">
        <v>0</v>
      </c>
      <c r="AF29" s="13">
        <f t="shared" si="14"/>
        <v>17.000000000000004</v>
      </c>
      <c r="AG29" s="13">
        <f t="shared" si="15"/>
        <v>0</v>
      </c>
      <c r="AH29" s="13">
        <f t="shared" si="16"/>
        <v>0</v>
      </c>
      <c r="AI29" s="16">
        <v>1</v>
      </c>
      <c r="AJ29" s="16">
        <v>1.9055</v>
      </c>
      <c r="AK29" s="16">
        <v>1</v>
      </c>
      <c r="AL29" s="13">
        <f t="shared" si="17"/>
        <v>13.000000000000004</v>
      </c>
      <c r="AM29" s="13">
        <f t="shared" si="18"/>
        <v>0.13000000000000003</v>
      </c>
      <c r="AN29" s="13">
        <f t="shared" si="19"/>
        <v>0.13000000000000003</v>
      </c>
      <c r="AO29" s="13">
        <f t="shared" si="20"/>
        <v>2.0769230769230771</v>
      </c>
      <c r="AP29" s="13">
        <f t="shared" si="21"/>
        <v>1</v>
      </c>
      <c r="AQ29" s="13">
        <f t="shared" si="22"/>
        <v>1</v>
      </c>
      <c r="AR29" s="13">
        <f t="shared" si="23"/>
        <v>1.3076923076923077</v>
      </c>
      <c r="AS29" s="13">
        <f t="shared" si="24"/>
        <v>1.3076923076923077</v>
      </c>
      <c r="AT29" s="13">
        <f t="shared" si="25"/>
        <v>1</v>
      </c>
      <c r="AU29" s="13">
        <f t="shared" si="26"/>
        <v>7.6923076923076916</v>
      </c>
    </row>
    <row r="30" spans="1:47" customFormat="1" ht="25.5" x14ac:dyDescent="0.2">
      <c r="A30" s="1" t="s">
        <v>52</v>
      </c>
      <c r="B30" s="11" t="s">
        <v>31</v>
      </c>
      <c r="C30" s="13">
        <f t="shared" si="0"/>
        <v>0.55668100000000009</v>
      </c>
      <c r="D30" s="13">
        <f t="shared" si="1"/>
        <v>1</v>
      </c>
      <c r="E30" s="16">
        <v>1</v>
      </c>
      <c r="F30" s="16">
        <v>1</v>
      </c>
      <c r="G30" s="16">
        <v>1</v>
      </c>
      <c r="H30" s="13">
        <f t="shared" si="2"/>
        <v>27.000000000000007</v>
      </c>
      <c r="I30" s="13">
        <f t="shared" si="3"/>
        <v>0.27000000000000007</v>
      </c>
      <c r="J30" s="13">
        <f t="shared" si="4"/>
        <v>0.27000000000000007</v>
      </c>
      <c r="K30" s="16">
        <v>1</v>
      </c>
      <c r="L30" s="16">
        <v>16.666699999999999</v>
      </c>
      <c r="M30" s="16">
        <v>0.16669999999999999</v>
      </c>
      <c r="N30" s="13">
        <f t="shared" si="5"/>
        <v>13.000000000000004</v>
      </c>
      <c r="O30" s="13">
        <f t="shared" si="6"/>
        <v>2.1671000000000006E-2</v>
      </c>
      <c r="P30" s="13">
        <f t="shared" si="7"/>
        <v>2.1671000000000006E-2</v>
      </c>
      <c r="Q30" s="16">
        <v>1</v>
      </c>
      <c r="R30" s="16">
        <v>16.666699999999999</v>
      </c>
      <c r="S30" s="16">
        <v>0.16669999999999999</v>
      </c>
      <c r="T30" s="13">
        <f t="shared" si="8"/>
        <v>13.000000000000004</v>
      </c>
      <c r="U30" s="13">
        <f t="shared" si="9"/>
        <v>2.1671000000000006E-2</v>
      </c>
      <c r="V30" s="13">
        <f t="shared" si="10"/>
        <v>2.1671000000000006E-2</v>
      </c>
      <c r="W30" s="16">
        <v>1</v>
      </c>
      <c r="X30" s="16">
        <v>0</v>
      </c>
      <c r="Y30" s="16">
        <v>0</v>
      </c>
      <c r="Z30" s="13">
        <f t="shared" si="11"/>
        <v>17.000000000000004</v>
      </c>
      <c r="AA30" s="13">
        <f t="shared" si="12"/>
        <v>0</v>
      </c>
      <c r="AB30" s="13">
        <f t="shared" si="13"/>
        <v>0</v>
      </c>
      <c r="AC30" s="16">
        <v>1</v>
      </c>
      <c r="AD30" s="16">
        <v>66.666700000000006</v>
      </c>
      <c r="AE30" s="16">
        <v>0.66669999999999996</v>
      </c>
      <c r="AF30" s="13">
        <f t="shared" si="14"/>
        <v>17.000000000000004</v>
      </c>
      <c r="AG30" s="13">
        <f t="shared" si="15"/>
        <v>0.11333900000000002</v>
      </c>
      <c r="AH30" s="13">
        <f t="shared" si="16"/>
        <v>0.11333900000000002</v>
      </c>
      <c r="AI30" s="16">
        <v>1</v>
      </c>
      <c r="AJ30" s="16">
        <v>0.32590000000000002</v>
      </c>
      <c r="AK30" s="16">
        <v>1</v>
      </c>
      <c r="AL30" s="13">
        <f t="shared" si="17"/>
        <v>13.000000000000004</v>
      </c>
      <c r="AM30" s="13">
        <f t="shared" si="18"/>
        <v>0.13000000000000003</v>
      </c>
      <c r="AN30" s="13">
        <f t="shared" si="19"/>
        <v>0.13000000000000003</v>
      </c>
      <c r="AO30" s="13">
        <f t="shared" si="20"/>
        <v>2.0769230769230771</v>
      </c>
      <c r="AP30" s="13">
        <f t="shared" si="21"/>
        <v>1</v>
      </c>
      <c r="AQ30" s="13">
        <f t="shared" si="22"/>
        <v>1</v>
      </c>
      <c r="AR30" s="13">
        <f t="shared" si="23"/>
        <v>1.3076923076923077</v>
      </c>
      <c r="AS30" s="13">
        <f t="shared" si="24"/>
        <v>1.3076923076923077</v>
      </c>
      <c r="AT30" s="13">
        <f t="shared" si="25"/>
        <v>1</v>
      </c>
      <c r="AU30" s="13">
        <f t="shared" si="26"/>
        <v>7.6923076923076916</v>
      </c>
    </row>
    <row r="31" spans="1:47" customFormat="1" ht="25.5" x14ac:dyDescent="0.2">
      <c r="A31" s="1" t="s">
        <v>53</v>
      </c>
      <c r="B31" s="11" t="s">
        <v>32</v>
      </c>
      <c r="C31" s="13">
        <f t="shared" si="0"/>
        <v>0.57000000000000017</v>
      </c>
      <c r="D31" s="13">
        <f t="shared" si="1"/>
        <v>1</v>
      </c>
      <c r="E31" s="16">
        <v>1</v>
      </c>
      <c r="F31" s="16">
        <v>1</v>
      </c>
      <c r="G31" s="16">
        <v>1</v>
      </c>
      <c r="H31" s="13">
        <f t="shared" si="2"/>
        <v>27.000000000000007</v>
      </c>
      <c r="I31" s="13">
        <f t="shared" si="3"/>
        <v>0.27000000000000007</v>
      </c>
      <c r="J31" s="13">
        <f t="shared" si="4"/>
        <v>0.27000000000000007</v>
      </c>
      <c r="K31" s="16">
        <v>1</v>
      </c>
      <c r="L31" s="16">
        <v>0</v>
      </c>
      <c r="M31" s="16">
        <v>0</v>
      </c>
      <c r="N31" s="13">
        <f t="shared" si="5"/>
        <v>13.000000000000004</v>
      </c>
      <c r="O31" s="13">
        <f t="shared" si="6"/>
        <v>0</v>
      </c>
      <c r="P31" s="13">
        <f t="shared" si="7"/>
        <v>0</v>
      </c>
      <c r="Q31" s="16">
        <v>1</v>
      </c>
      <c r="R31" s="16">
        <v>0</v>
      </c>
      <c r="S31" s="16">
        <v>0</v>
      </c>
      <c r="T31" s="13">
        <f t="shared" si="8"/>
        <v>13.000000000000004</v>
      </c>
      <c r="U31" s="13">
        <f t="shared" si="9"/>
        <v>0</v>
      </c>
      <c r="V31" s="13">
        <f t="shared" si="10"/>
        <v>0</v>
      </c>
      <c r="W31" s="16">
        <v>1</v>
      </c>
      <c r="X31" s="16">
        <v>0</v>
      </c>
      <c r="Y31" s="16">
        <v>0</v>
      </c>
      <c r="Z31" s="13">
        <f t="shared" si="11"/>
        <v>17.000000000000004</v>
      </c>
      <c r="AA31" s="13">
        <f t="shared" si="12"/>
        <v>0</v>
      </c>
      <c r="AB31" s="13">
        <f t="shared" si="13"/>
        <v>0</v>
      </c>
      <c r="AC31" s="16">
        <v>1</v>
      </c>
      <c r="AD31" s="16">
        <v>100</v>
      </c>
      <c r="AE31" s="16">
        <v>1</v>
      </c>
      <c r="AF31" s="13">
        <f t="shared" si="14"/>
        <v>17.000000000000004</v>
      </c>
      <c r="AG31" s="13">
        <f t="shared" si="15"/>
        <v>0.17000000000000004</v>
      </c>
      <c r="AH31" s="13">
        <f t="shared" si="16"/>
        <v>0.17000000000000004</v>
      </c>
      <c r="AI31" s="16">
        <v>1</v>
      </c>
      <c r="AJ31" s="16">
        <v>1.8118000000000001</v>
      </c>
      <c r="AK31" s="16">
        <v>1</v>
      </c>
      <c r="AL31" s="13">
        <f t="shared" si="17"/>
        <v>13.000000000000004</v>
      </c>
      <c r="AM31" s="13">
        <f t="shared" si="18"/>
        <v>0.13000000000000003</v>
      </c>
      <c r="AN31" s="13">
        <f t="shared" si="19"/>
        <v>0.13000000000000003</v>
      </c>
      <c r="AO31" s="13">
        <f t="shared" si="20"/>
        <v>2.0769230769230771</v>
      </c>
      <c r="AP31" s="13">
        <f t="shared" si="21"/>
        <v>1</v>
      </c>
      <c r="AQ31" s="13">
        <f t="shared" si="22"/>
        <v>1</v>
      </c>
      <c r="AR31" s="13">
        <f t="shared" si="23"/>
        <v>1.3076923076923077</v>
      </c>
      <c r="AS31" s="13">
        <f t="shared" si="24"/>
        <v>1.3076923076923077</v>
      </c>
      <c r="AT31" s="13">
        <f t="shared" si="25"/>
        <v>1</v>
      </c>
      <c r="AU31" s="13">
        <f t="shared" si="26"/>
        <v>7.6923076923076916</v>
      </c>
    </row>
    <row r="32" spans="1:47" customFormat="1" x14ac:dyDescent="0.2">
      <c r="A32" s="1" t="s">
        <v>54</v>
      </c>
      <c r="B32" s="11" t="s">
        <v>33</v>
      </c>
      <c r="C32" s="13">
        <f t="shared" si="0"/>
        <v>0.13000000000000003</v>
      </c>
      <c r="D32" s="13">
        <f t="shared" si="1"/>
        <v>1</v>
      </c>
      <c r="E32" s="16">
        <v>1</v>
      </c>
      <c r="F32" s="16">
        <v>0</v>
      </c>
      <c r="G32" s="16">
        <v>0</v>
      </c>
      <c r="H32" s="13">
        <f t="shared" si="2"/>
        <v>27.000000000000007</v>
      </c>
      <c r="I32" s="13">
        <f t="shared" si="3"/>
        <v>0</v>
      </c>
      <c r="J32" s="13">
        <f t="shared" si="4"/>
        <v>0</v>
      </c>
      <c r="K32" s="16">
        <v>1</v>
      </c>
      <c r="L32" s="16">
        <v>0</v>
      </c>
      <c r="M32" s="16">
        <v>0</v>
      </c>
      <c r="N32" s="13">
        <f t="shared" si="5"/>
        <v>13.000000000000004</v>
      </c>
      <c r="O32" s="13">
        <f t="shared" si="6"/>
        <v>0</v>
      </c>
      <c r="P32" s="13">
        <f t="shared" si="7"/>
        <v>0</v>
      </c>
      <c r="Q32" s="16">
        <v>1</v>
      </c>
      <c r="R32" s="16">
        <v>0</v>
      </c>
      <c r="S32" s="16">
        <v>0</v>
      </c>
      <c r="T32" s="13">
        <f t="shared" si="8"/>
        <v>13.000000000000004</v>
      </c>
      <c r="U32" s="13">
        <f t="shared" si="9"/>
        <v>0</v>
      </c>
      <c r="V32" s="13">
        <f t="shared" si="10"/>
        <v>0</v>
      </c>
      <c r="W32" s="16">
        <v>1</v>
      </c>
      <c r="X32" s="16">
        <v>0</v>
      </c>
      <c r="Y32" s="16">
        <v>0</v>
      </c>
      <c r="Z32" s="13">
        <f t="shared" si="11"/>
        <v>17.000000000000004</v>
      </c>
      <c r="AA32" s="13">
        <f t="shared" si="12"/>
        <v>0</v>
      </c>
      <c r="AB32" s="13">
        <f t="shared" si="13"/>
        <v>0</v>
      </c>
      <c r="AC32" s="16">
        <v>1</v>
      </c>
      <c r="AD32" s="16">
        <v>0</v>
      </c>
      <c r="AE32" s="16">
        <v>0</v>
      </c>
      <c r="AF32" s="13">
        <f t="shared" si="14"/>
        <v>17.000000000000004</v>
      </c>
      <c r="AG32" s="13">
        <f t="shared" si="15"/>
        <v>0</v>
      </c>
      <c r="AH32" s="13">
        <f t="shared" si="16"/>
        <v>0</v>
      </c>
      <c r="AI32" s="16">
        <v>1</v>
      </c>
      <c r="AJ32" s="16">
        <v>0.24909999999999999</v>
      </c>
      <c r="AK32" s="16">
        <v>1</v>
      </c>
      <c r="AL32" s="13">
        <f t="shared" si="17"/>
        <v>13.000000000000004</v>
      </c>
      <c r="AM32" s="13">
        <f t="shared" si="18"/>
        <v>0.13000000000000003</v>
      </c>
      <c r="AN32" s="13">
        <f t="shared" si="19"/>
        <v>0.13000000000000003</v>
      </c>
      <c r="AO32" s="13">
        <f t="shared" si="20"/>
        <v>2.0769230769230771</v>
      </c>
      <c r="AP32" s="13">
        <f t="shared" si="21"/>
        <v>1</v>
      </c>
      <c r="AQ32" s="13">
        <f t="shared" si="22"/>
        <v>1</v>
      </c>
      <c r="AR32" s="13">
        <f t="shared" si="23"/>
        <v>1.3076923076923077</v>
      </c>
      <c r="AS32" s="13">
        <f t="shared" si="24"/>
        <v>1.3076923076923077</v>
      </c>
      <c r="AT32" s="13">
        <f t="shared" si="25"/>
        <v>1</v>
      </c>
      <c r="AU32" s="13">
        <f t="shared" si="26"/>
        <v>7.6923076923076916</v>
      </c>
    </row>
    <row r="33" spans="1:47" customFormat="1" x14ac:dyDescent="0.2">
      <c r="A33" s="1" t="s">
        <v>55</v>
      </c>
      <c r="B33" s="11" t="s">
        <v>34</v>
      </c>
      <c r="C33" s="13">
        <f t="shared" si="0"/>
        <v>0.30000000000000004</v>
      </c>
      <c r="D33" s="13">
        <f t="shared" si="1"/>
        <v>1</v>
      </c>
      <c r="E33" s="16">
        <v>1</v>
      </c>
      <c r="F33" s="16">
        <v>0</v>
      </c>
      <c r="G33" s="16">
        <v>0</v>
      </c>
      <c r="H33" s="13">
        <f t="shared" si="2"/>
        <v>27.000000000000007</v>
      </c>
      <c r="I33" s="13">
        <f t="shared" si="3"/>
        <v>0</v>
      </c>
      <c r="J33" s="13">
        <f t="shared" si="4"/>
        <v>0</v>
      </c>
      <c r="K33" s="16">
        <v>1</v>
      </c>
      <c r="L33" s="16">
        <v>0</v>
      </c>
      <c r="M33" s="16">
        <v>0</v>
      </c>
      <c r="N33" s="13">
        <f t="shared" si="5"/>
        <v>13.000000000000004</v>
      </c>
      <c r="O33" s="13">
        <f t="shared" si="6"/>
        <v>0</v>
      </c>
      <c r="P33" s="13">
        <f t="shared" si="7"/>
        <v>0</v>
      </c>
      <c r="Q33" s="16">
        <v>1</v>
      </c>
      <c r="R33" s="16">
        <v>0</v>
      </c>
      <c r="S33" s="16">
        <v>0</v>
      </c>
      <c r="T33" s="13">
        <f t="shared" si="8"/>
        <v>13.000000000000004</v>
      </c>
      <c r="U33" s="13">
        <f t="shared" si="9"/>
        <v>0</v>
      </c>
      <c r="V33" s="13">
        <f t="shared" si="10"/>
        <v>0</v>
      </c>
      <c r="W33" s="16">
        <v>1</v>
      </c>
      <c r="X33" s="16">
        <v>0</v>
      </c>
      <c r="Y33" s="16">
        <v>0</v>
      </c>
      <c r="Z33" s="13">
        <f t="shared" si="11"/>
        <v>17.000000000000004</v>
      </c>
      <c r="AA33" s="13">
        <f t="shared" si="12"/>
        <v>0</v>
      </c>
      <c r="AB33" s="13">
        <f t="shared" si="13"/>
        <v>0</v>
      </c>
      <c r="AC33" s="16">
        <v>1</v>
      </c>
      <c r="AD33" s="16">
        <v>100</v>
      </c>
      <c r="AE33" s="16">
        <v>1</v>
      </c>
      <c r="AF33" s="13">
        <f t="shared" si="14"/>
        <v>17.000000000000004</v>
      </c>
      <c r="AG33" s="13">
        <f t="shared" si="15"/>
        <v>0.17000000000000004</v>
      </c>
      <c r="AH33" s="13">
        <f t="shared" si="16"/>
        <v>0.17000000000000004</v>
      </c>
      <c r="AI33" s="16">
        <v>1</v>
      </c>
      <c r="AJ33" s="16">
        <v>1.04E-2</v>
      </c>
      <c r="AK33" s="16">
        <v>1</v>
      </c>
      <c r="AL33" s="13">
        <f t="shared" si="17"/>
        <v>13.000000000000004</v>
      </c>
      <c r="AM33" s="13">
        <f t="shared" si="18"/>
        <v>0.13000000000000003</v>
      </c>
      <c r="AN33" s="13">
        <f t="shared" si="19"/>
        <v>0.13000000000000003</v>
      </c>
      <c r="AO33" s="13">
        <f t="shared" si="20"/>
        <v>2.0769230769230771</v>
      </c>
      <c r="AP33" s="13">
        <f t="shared" si="21"/>
        <v>1</v>
      </c>
      <c r="AQ33" s="13">
        <f t="shared" si="22"/>
        <v>1</v>
      </c>
      <c r="AR33" s="13">
        <f t="shared" si="23"/>
        <v>1.3076923076923077</v>
      </c>
      <c r="AS33" s="13">
        <f t="shared" si="24"/>
        <v>1.3076923076923077</v>
      </c>
      <c r="AT33" s="13">
        <f t="shared" si="25"/>
        <v>1</v>
      </c>
      <c r="AU33" s="13">
        <f t="shared" si="26"/>
        <v>7.6923076923076916</v>
      </c>
    </row>
    <row r="34" spans="1:47" customFormat="1" x14ac:dyDescent="0.2">
      <c r="A34" s="1" t="s">
        <v>56</v>
      </c>
      <c r="B34" s="11" t="s">
        <v>35</v>
      </c>
      <c r="C34" s="13">
        <f t="shared" si="0"/>
        <v>0.40000000000000013</v>
      </c>
      <c r="D34" s="13">
        <f t="shared" si="1"/>
        <v>1</v>
      </c>
      <c r="E34" s="16">
        <v>1</v>
      </c>
      <c r="F34" s="16">
        <v>1</v>
      </c>
      <c r="G34" s="16">
        <v>1</v>
      </c>
      <c r="H34" s="13">
        <f t="shared" si="2"/>
        <v>27.000000000000007</v>
      </c>
      <c r="I34" s="13">
        <f t="shared" si="3"/>
        <v>0.27000000000000007</v>
      </c>
      <c r="J34" s="13">
        <f t="shared" si="4"/>
        <v>0.27000000000000007</v>
      </c>
      <c r="K34" s="16">
        <v>1</v>
      </c>
      <c r="L34" s="16">
        <v>0</v>
      </c>
      <c r="M34" s="16">
        <v>0</v>
      </c>
      <c r="N34" s="13">
        <f t="shared" si="5"/>
        <v>13.000000000000004</v>
      </c>
      <c r="O34" s="13">
        <f t="shared" si="6"/>
        <v>0</v>
      </c>
      <c r="P34" s="13">
        <f t="shared" si="7"/>
        <v>0</v>
      </c>
      <c r="Q34" s="16">
        <v>1</v>
      </c>
      <c r="R34" s="16">
        <v>0</v>
      </c>
      <c r="S34" s="16">
        <v>0</v>
      </c>
      <c r="T34" s="13">
        <f t="shared" si="8"/>
        <v>13.000000000000004</v>
      </c>
      <c r="U34" s="13">
        <f t="shared" si="9"/>
        <v>0</v>
      </c>
      <c r="V34" s="13">
        <f t="shared" si="10"/>
        <v>0</v>
      </c>
      <c r="W34" s="16">
        <v>1</v>
      </c>
      <c r="X34" s="16">
        <v>0</v>
      </c>
      <c r="Y34" s="16">
        <v>0</v>
      </c>
      <c r="Z34" s="13">
        <f t="shared" si="11"/>
        <v>17.000000000000004</v>
      </c>
      <c r="AA34" s="13">
        <f t="shared" si="12"/>
        <v>0</v>
      </c>
      <c r="AB34" s="13">
        <f t="shared" si="13"/>
        <v>0</v>
      </c>
      <c r="AC34" s="16">
        <v>1</v>
      </c>
      <c r="AD34" s="16">
        <v>0</v>
      </c>
      <c r="AE34" s="16">
        <v>0</v>
      </c>
      <c r="AF34" s="13">
        <f t="shared" si="14"/>
        <v>17.000000000000004</v>
      </c>
      <c r="AG34" s="13">
        <f t="shared" si="15"/>
        <v>0</v>
      </c>
      <c r="AH34" s="13">
        <f t="shared" si="16"/>
        <v>0</v>
      </c>
      <c r="AI34" s="16">
        <v>1</v>
      </c>
      <c r="AJ34" s="16">
        <v>3.4599999999999999E-2</v>
      </c>
      <c r="AK34" s="16">
        <v>1</v>
      </c>
      <c r="AL34" s="13">
        <f t="shared" si="17"/>
        <v>13.000000000000004</v>
      </c>
      <c r="AM34" s="13">
        <f t="shared" si="18"/>
        <v>0.13000000000000003</v>
      </c>
      <c r="AN34" s="13">
        <f t="shared" si="19"/>
        <v>0.13000000000000003</v>
      </c>
      <c r="AO34" s="13">
        <f t="shared" si="20"/>
        <v>2.0769230769230771</v>
      </c>
      <c r="AP34" s="13">
        <f t="shared" si="21"/>
        <v>1</v>
      </c>
      <c r="AQ34" s="13">
        <f t="shared" si="22"/>
        <v>1</v>
      </c>
      <c r="AR34" s="13">
        <f t="shared" si="23"/>
        <v>1.3076923076923077</v>
      </c>
      <c r="AS34" s="13">
        <f t="shared" si="24"/>
        <v>1.3076923076923077</v>
      </c>
      <c r="AT34" s="13">
        <f t="shared" si="25"/>
        <v>1</v>
      </c>
      <c r="AU34" s="13">
        <f t="shared" si="26"/>
        <v>7.6923076923076916</v>
      </c>
    </row>
    <row r="35" spans="1:47" customFormat="1" x14ac:dyDescent="0.2">
      <c r="A35" s="1" t="s">
        <v>57</v>
      </c>
      <c r="B35" s="11" t="s">
        <v>36</v>
      </c>
      <c r="C35" s="13">
        <f t="shared" si="0"/>
        <v>0.65665800000000007</v>
      </c>
      <c r="D35" s="13">
        <f t="shared" si="1"/>
        <v>1</v>
      </c>
      <c r="E35" s="16">
        <v>1</v>
      </c>
      <c r="F35" s="16">
        <v>1</v>
      </c>
      <c r="G35" s="16">
        <v>1</v>
      </c>
      <c r="H35" s="13">
        <f t="shared" si="2"/>
        <v>27.000000000000007</v>
      </c>
      <c r="I35" s="13">
        <f t="shared" si="3"/>
        <v>0.27000000000000007</v>
      </c>
      <c r="J35" s="13">
        <f t="shared" si="4"/>
        <v>0.27000000000000007</v>
      </c>
      <c r="K35" s="16">
        <v>1</v>
      </c>
      <c r="L35" s="16">
        <v>33.333300000000001</v>
      </c>
      <c r="M35" s="16">
        <v>0.33329999999999999</v>
      </c>
      <c r="N35" s="13">
        <f t="shared" si="5"/>
        <v>13.000000000000004</v>
      </c>
      <c r="O35" s="13">
        <f t="shared" si="6"/>
        <v>4.3329000000000013E-2</v>
      </c>
      <c r="P35" s="13">
        <f t="shared" si="7"/>
        <v>4.3329000000000013E-2</v>
      </c>
      <c r="Q35" s="16">
        <v>1</v>
      </c>
      <c r="R35" s="16">
        <v>33.333300000000001</v>
      </c>
      <c r="S35" s="16">
        <v>0.33329999999999999</v>
      </c>
      <c r="T35" s="13">
        <f t="shared" si="8"/>
        <v>13.000000000000004</v>
      </c>
      <c r="U35" s="13">
        <f t="shared" si="9"/>
        <v>4.3329000000000013E-2</v>
      </c>
      <c r="V35" s="13">
        <f t="shared" si="10"/>
        <v>4.3329000000000013E-2</v>
      </c>
      <c r="W35" s="16">
        <v>1</v>
      </c>
      <c r="X35" s="16">
        <v>0</v>
      </c>
      <c r="Y35" s="16">
        <v>0</v>
      </c>
      <c r="Z35" s="13">
        <f t="shared" si="11"/>
        <v>17.000000000000004</v>
      </c>
      <c r="AA35" s="13">
        <f t="shared" si="12"/>
        <v>0</v>
      </c>
      <c r="AB35" s="13">
        <f t="shared" si="13"/>
        <v>0</v>
      </c>
      <c r="AC35" s="16">
        <v>1</v>
      </c>
      <c r="AD35" s="16">
        <v>100</v>
      </c>
      <c r="AE35" s="16">
        <v>1</v>
      </c>
      <c r="AF35" s="13">
        <f t="shared" si="14"/>
        <v>17.000000000000004</v>
      </c>
      <c r="AG35" s="13">
        <f t="shared" si="15"/>
        <v>0.17000000000000004</v>
      </c>
      <c r="AH35" s="13">
        <f t="shared" si="16"/>
        <v>0.17000000000000004</v>
      </c>
      <c r="AI35" s="16">
        <v>1</v>
      </c>
      <c r="AJ35" s="16">
        <v>0.54830000000000001</v>
      </c>
      <c r="AK35" s="16">
        <v>1</v>
      </c>
      <c r="AL35" s="13">
        <f t="shared" si="17"/>
        <v>13.000000000000004</v>
      </c>
      <c r="AM35" s="13">
        <f t="shared" si="18"/>
        <v>0.13000000000000003</v>
      </c>
      <c r="AN35" s="13">
        <f t="shared" si="19"/>
        <v>0.13000000000000003</v>
      </c>
      <c r="AO35" s="13">
        <f t="shared" si="20"/>
        <v>2.0769230769230771</v>
      </c>
      <c r="AP35" s="13">
        <f t="shared" si="21"/>
        <v>1</v>
      </c>
      <c r="AQ35" s="13">
        <f t="shared" si="22"/>
        <v>1</v>
      </c>
      <c r="AR35" s="13">
        <f t="shared" si="23"/>
        <v>1.3076923076923077</v>
      </c>
      <c r="AS35" s="13">
        <f t="shared" si="24"/>
        <v>1.3076923076923077</v>
      </c>
      <c r="AT35" s="13">
        <f t="shared" si="25"/>
        <v>1</v>
      </c>
      <c r="AU35" s="13">
        <f t="shared" si="26"/>
        <v>7.6923076923076916</v>
      </c>
    </row>
    <row r="36" spans="1:47" customFormat="1" ht="25.5" x14ac:dyDescent="0.2">
      <c r="A36" s="1" t="s">
        <v>58</v>
      </c>
      <c r="B36" s="11" t="s">
        <v>37</v>
      </c>
      <c r="C36" s="13">
        <f t="shared" si="0"/>
        <v>0.54583900000000007</v>
      </c>
      <c r="D36" s="13">
        <f t="shared" si="1"/>
        <v>1</v>
      </c>
      <c r="E36" s="16">
        <v>1</v>
      </c>
      <c r="F36" s="16">
        <v>0</v>
      </c>
      <c r="G36" s="16">
        <v>0</v>
      </c>
      <c r="H36" s="13">
        <f t="shared" si="2"/>
        <v>27.000000000000007</v>
      </c>
      <c r="I36" s="13">
        <f t="shared" si="3"/>
        <v>0</v>
      </c>
      <c r="J36" s="13">
        <f t="shared" si="4"/>
        <v>0</v>
      </c>
      <c r="K36" s="16">
        <v>1</v>
      </c>
      <c r="L36" s="16">
        <v>100</v>
      </c>
      <c r="M36" s="16">
        <v>1</v>
      </c>
      <c r="N36" s="13">
        <f t="shared" si="5"/>
        <v>13.000000000000004</v>
      </c>
      <c r="O36" s="13">
        <f t="shared" si="6"/>
        <v>0.13000000000000003</v>
      </c>
      <c r="P36" s="13">
        <f t="shared" si="7"/>
        <v>0.13000000000000003</v>
      </c>
      <c r="Q36" s="16">
        <v>1</v>
      </c>
      <c r="R36" s="16">
        <v>100</v>
      </c>
      <c r="S36" s="16">
        <v>1</v>
      </c>
      <c r="T36" s="13">
        <f t="shared" si="8"/>
        <v>13.000000000000004</v>
      </c>
      <c r="U36" s="13">
        <f t="shared" si="9"/>
        <v>0.13000000000000003</v>
      </c>
      <c r="V36" s="13">
        <f t="shared" si="10"/>
        <v>0.13000000000000003</v>
      </c>
      <c r="W36" s="16">
        <v>1</v>
      </c>
      <c r="X36" s="16">
        <v>0</v>
      </c>
      <c r="Y36" s="16">
        <v>0</v>
      </c>
      <c r="Z36" s="13">
        <f t="shared" si="11"/>
        <v>17.000000000000004</v>
      </c>
      <c r="AA36" s="13">
        <f t="shared" si="12"/>
        <v>0</v>
      </c>
      <c r="AB36" s="13">
        <f t="shared" si="13"/>
        <v>0</v>
      </c>
      <c r="AC36" s="16">
        <v>1</v>
      </c>
      <c r="AD36" s="16">
        <v>91.666700000000006</v>
      </c>
      <c r="AE36" s="16">
        <v>0.91669999999999996</v>
      </c>
      <c r="AF36" s="13">
        <f t="shared" si="14"/>
        <v>17.000000000000004</v>
      </c>
      <c r="AG36" s="13">
        <f t="shared" si="15"/>
        <v>0.15583900000000003</v>
      </c>
      <c r="AH36" s="13">
        <f t="shared" si="16"/>
        <v>0.15583900000000003</v>
      </c>
      <c r="AI36" s="16">
        <v>1</v>
      </c>
      <c r="AJ36" s="16">
        <v>5.45E-2</v>
      </c>
      <c r="AK36" s="16">
        <v>1</v>
      </c>
      <c r="AL36" s="13">
        <f t="shared" si="17"/>
        <v>13.000000000000004</v>
      </c>
      <c r="AM36" s="13">
        <f t="shared" si="18"/>
        <v>0.13000000000000003</v>
      </c>
      <c r="AN36" s="13">
        <f t="shared" si="19"/>
        <v>0.13000000000000003</v>
      </c>
      <c r="AO36" s="13">
        <f t="shared" si="20"/>
        <v>2.0769230769230771</v>
      </c>
      <c r="AP36" s="13">
        <f t="shared" si="21"/>
        <v>1</v>
      </c>
      <c r="AQ36" s="13">
        <f t="shared" si="22"/>
        <v>1</v>
      </c>
      <c r="AR36" s="13">
        <f t="shared" si="23"/>
        <v>1.3076923076923077</v>
      </c>
      <c r="AS36" s="13">
        <f t="shared" si="24"/>
        <v>1.3076923076923077</v>
      </c>
      <c r="AT36" s="13">
        <f t="shared" si="25"/>
        <v>1</v>
      </c>
      <c r="AU36" s="13">
        <f t="shared" si="26"/>
        <v>7.6923076923076916</v>
      </c>
    </row>
    <row r="37" spans="1:47" customFormat="1" ht="25.5" x14ac:dyDescent="0.2">
      <c r="A37" s="1" t="s">
        <v>59</v>
      </c>
      <c r="B37" s="11" t="s">
        <v>38</v>
      </c>
      <c r="C37" s="13">
        <f t="shared" si="0"/>
        <v>0.52750000000000008</v>
      </c>
      <c r="D37" s="13">
        <f t="shared" si="1"/>
        <v>1</v>
      </c>
      <c r="E37" s="16">
        <v>1</v>
      </c>
      <c r="F37" s="16">
        <v>1</v>
      </c>
      <c r="G37" s="16">
        <v>1</v>
      </c>
      <c r="H37" s="13">
        <f t="shared" si="2"/>
        <v>27.000000000000007</v>
      </c>
      <c r="I37" s="13">
        <f t="shared" si="3"/>
        <v>0.27000000000000007</v>
      </c>
      <c r="J37" s="13">
        <f t="shared" si="4"/>
        <v>0.27000000000000007</v>
      </c>
      <c r="K37" s="16">
        <v>1</v>
      </c>
      <c r="L37" s="16">
        <v>0</v>
      </c>
      <c r="M37" s="16">
        <v>0</v>
      </c>
      <c r="N37" s="13">
        <f t="shared" si="5"/>
        <v>13.000000000000004</v>
      </c>
      <c r="O37" s="13">
        <f t="shared" si="6"/>
        <v>0</v>
      </c>
      <c r="P37" s="13">
        <f t="shared" si="7"/>
        <v>0</v>
      </c>
      <c r="Q37" s="16">
        <v>1</v>
      </c>
      <c r="R37" s="16">
        <v>0</v>
      </c>
      <c r="S37" s="16">
        <v>0</v>
      </c>
      <c r="T37" s="13">
        <f t="shared" si="8"/>
        <v>13.000000000000004</v>
      </c>
      <c r="U37" s="13">
        <f t="shared" si="9"/>
        <v>0</v>
      </c>
      <c r="V37" s="13">
        <f t="shared" si="10"/>
        <v>0</v>
      </c>
      <c r="W37" s="16">
        <v>1</v>
      </c>
      <c r="X37" s="16">
        <v>0</v>
      </c>
      <c r="Y37" s="16">
        <v>0</v>
      </c>
      <c r="Z37" s="13">
        <f t="shared" si="11"/>
        <v>17.000000000000004</v>
      </c>
      <c r="AA37" s="13">
        <f t="shared" si="12"/>
        <v>0</v>
      </c>
      <c r="AB37" s="13">
        <f t="shared" si="13"/>
        <v>0</v>
      </c>
      <c r="AC37" s="16">
        <v>1</v>
      </c>
      <c r="AD37" s="16">
        <v>75</v>
      </c>
      <c r="AE37" s="16">
        <v>0.75</v>
      </c>
      <c r="AF37" s="13">
        <f t="shared" si="14"/>
        <v>17.000000000000004</v>
      </c>
      <c r="AG37" s="13">
        <f t="shared" si="15"/>
        <v>0.12750000000000003</v>
      </c>
      <c r="AH37" s="13">
        <f t="shared" si="16"/>
        <v>0.12750000000000003</v>
      </c>
      <c r="AI37" s="16">
        <v>1</v>
      </c>
      <c r="AJ37" s="16">
        <v>0.96289999999999998</v>
      </c>
      <c r="AK37" s="16">
        <v>1</v>
      </c>
      <c r="AL37" s="13">
        <f t="shared" si="17"/>
        <v>13.000000000000004</v>
      </c>
      <c r="AM37" s="13">
        <f t="shared" si="18"/>
        <v>0.13000000000000003</v>
      </c>
      <c r="AN37" s="13">
        <f t="shared" si="19"/>
        <v>0.13000000000000003</v>
      </c>
      <c r="AO37" s="13">
        <f t="shared" si="20"/>
        <v>2.0769230769230771</v>
      </c>
      <c r="AP37" s="13">
        <f t="shared" si="21"/>
        <v>1</v>
      </c>
      <c r="AQ37" s="13">
        <f t="shared" si="22"/>
        <v>1</v>
      </c>
      <c r="AR37" s="13">
        <f t="shared" si="23"/>
        <v>1.3076923076923077</v>
      </c>
      <c r="AS37" s="13">
        <f t="shared" si="24"/>
        <v>1.3076923076923077</v>
      </c>
      <c r="AT37" s="13">
        <f t="shared" si="25"/>
        <v>1</v>
      </c>
      <c r="AU37" s="13">
        <f t="shared" si="26"/>
        <v>7.6923076923076916</v>
      </c>
    </row>
    <row r="38" spans="1:47" customFormat="1" ht="25.5" x14ac:dyDescent="0.2">
      <c r="A38" s="1" t="s">
        <v>60</v>
      </c>
      <c r="B38" s="11" t="s">
        <v>39</v>
      </c>
      <c r="C38" s="13">
        <f t="shared" si="0"/>
        <v>0.41416100000000011</v>
      </c>
      <c r="D38" s="13">
        <f t="shared" si="1"/>
        <v>1</v>
      </c>
      <c r="E38" s="16">
        <v>1</v>
      </c>
      <c r="F38" s="16">
        <v>1</v>
      </c>
      <c r="G38" s="16">
        <v>1</v>
      </c>
      <c r="H38" s="13">
        <f t="shared" si="2"/>
        <v>27.000000000000007</v>
      </c>
      <c r="I38" s="13">
        <f t="shared" si="3"/>
        <v>0.27000000000000007</v>
      </c>
      <c r="J38" s="13">
        <f t="shared" si="4"/>
        <v>0.27000000000000007</v>
      </c>
      <c r="K38" s="16">
        <v>1</v>
      </c>
      <c r="L38" s="16">
        <v>0</v>
      </c>
      <c r="M38" s="16">
        <v>0</v>
      </c>
      <c r="N38" s="13">
        <f t="shared" si="5"/>
        <v>13.000000000000004</v>
      </c>
      <c r="O38" s="13">
        <f t="shared" si="6"/>
        <v>0</v>
      </c>
      <c r="P38" s="13">
        <f t="shared" si="7"/>
        <v>0</v>
      </c>
      <c r="Q38" s="16">
        <v>1</v>
      </c>
      <c r="R38" s="16">
        <v>0</v>
      </c>
      <c r="S38" s="16">
        <v>0</v>
      </c>
      <c r="T38" s="13">
        <f t="shared" si="8"/>
        <v>13.000000000000004</v>
      </c>
      <c r="U38" s="13">
        <f t="shared" si="9"/>
        <v>0</v>
      </c>
      <c r="V38" s="13">
        <f t="shared" si="10"/>
        <v>0</v>
      </c>
      <c r="W38" s="16">
        <v>1</v>
      </c>
      <c r="X38" s="16">
        <v>0</v>
      </c>
      <c r="Y38" s="16">
        <v>0</v>
      </c>
      <c r="Z38" s="13">
        <f t="shared" si="11"/>
        <v>17.000000000000004</v>
      </c>
      <c r="AA38" s="13">
        <f t="shared" si="12"/>
        <v>0</v>
      </c>
      <c r="AB38" s="13">
        <f t="shared" si="13"/>
        <v>0</v>
      </c>
      <c r="AC38" s="16">
        <v>1</v>
      </c>
      <c r="AD38" s="16">
        <v>8.3332999999999995</v>
      </c>
      <c r="AE38" s="16">
        <v>8.3299999999999999E-2</v>
      </c>
      <c r="AF38" s="13">
        <f t="shared" si="14"/>
        <v>17.000000000000004</v>
      </c>
      <c r="AG38" s="13">
        <f t="shared" si="15"/>
        <v>1.4161000000000003E-2</v>
      </c>
      <c r="AH38" s="13">
        <f t="shared" si="16"/>
        <v>1.4161000000000003E-2</v>
      </c>
      <c r="AI38" s="16">
        <v>1</v>
      </c>
      <c r="AJ38" s="16">
        <v>0.1651</v>
      </c>
      <c r="AK38" s="16">
        <v>1</v>
      </c>
      <c r="AL38" s="13">
        <f t="shared" si="17"/>
        <v>13.000000000000004</v>
      </c>
      <c r="AM38" s="13">
        <f t="shared" si="18"/>
        <v>0.13000000000000003</v>
      </c>
      <c r="AN38" s="13">
        <f t="shared" si="19"/>
        <v>0.13000000000000003</v>
      </c>
      <c r="AO38" s="13">
        <f t="shared" si="20"/>
        <v>2.0769230769230771</v>
      </c>
      <c r="AP38" s="13">
        <f t="shared" si="21"/>
        <v>1</v>
      </c>
      <c r="AQ38" s="13">
        <f t="shared" si="22"/>
        <v>1</v>
      </c>
      <c r="AR38" s="13">
        <f t="shared" si="23"/>
        <v>1.3076923076923077</v>
      </c>
      <c r="AS38" s="13">
        <f t="shared" si="24"/>
        <v>1.3076923076923077</v>
      </c>
      <c r="AT38" s="13">
        <f t="shared" si="25"/>
        <v>1</v>
      </c>
      <c r="AU38" s="13">
        <f t="shared" si="26"/>
        <v>7.6923076923076916</v>
      </c>
    </row>
    <row r="39" spans="1:47" customFormat="1" x14ac:dyDescent="0.2">
      <c r="A39" s="1" t="s">
        <v>61</v>
      </c>
      <c r="B39" s="11" t="s">
        <v>40</v>
      </c>
      <c r="C39" s="13">
        <f t="shared" si="0"/>
        <v>0.57000000000000017</v>
      </c>
      <c r="D39" s="13">
        <f t="shared" si="1"/>
        <v>1</v>
      </c>
      <c r="E39" s="16">
        <v>1</v>
      </c>
      <c r="F39" s="16">
        <v>1</v>
      </c>
      <c r="G39" s="16">
        <v>1</v>
      </c>
      <c r="H39" s="13">
        <f t="shared" si="2"/>
        <v>27.000000000000007</v>
      </c>
      <c r="I39" s="13">
        <f t="shared" si="3"/>
        <v>0.27000000000000007</v>
      </c>
      <c r="J39" s="13">
        <f t="shared" si="4"/>
        <v>0.27000000000000007</v>
      </c>
      <c r="K39" s="16">
        <v>1</v>
      </c>
      <c r="L39" s="16">
        <v>0</v>
      </c>
      <c r="M39" s="16">
        <v>0</v>
      </c>
      <c r="N39" s="13">
        <f t="shared" si="5"/>
        <v>13.000000000000004</v>
      </c>
      <c r="O39" s="13">
        <f t="shared" si="6"/>
        <v>0</v>
      </c>
      <c r="P39" s="13">
        <f t="shared" si="7"/>
        <v>0</v>
      </c>
      <c r="Q39" s="16">
        <v>1</v>
      </c>
      <c r="R39" s="16">
        <v>0</v>
      </c>
      <c r="S39" s="16">
        <v>0</v>
      </c>
      <c r="T39" s="13">
        <f t="shared" si="8"/>
        <v>13.000000000000004</v>
      </c>
      <c r="U39" s="13">
        <f t="shared" si="9"/>
        <v>0</v>
      </c>
      <c r="V39" s="13">
        <f t="shared" si="10"/>
        <v>0</v>
      </c>
      <c r="W39" s="16">
        <v>1</v>
      </c>
      <c r="X39" s="16">
        <v>0</v>
      </c>
      <c r="Y39" s="16">
        <v>0</v>
      </c>
      <c r="Z39" s="13">
        <f t="shared" si="11"/>
        <v>17.000000000000004</v>
      </c>
      <c r="AA39" s="13">
        <f t="shared" si="12"/>
        <v>0</v>
      </c>
      <c r="AB39" s="13">
        <f t="shared" si="13"/>
        <v>0</v>
      </c>
      <c r="AC39" s="16">
        <v>1</v>
      </c>
      <c r="AD39" s="16">
        <v>100</v>
      </c>
      <c r="AE39" s="16">
        <v>1</v>
      </c>
      <c r="AF39" s="13">
        <f t="shared" si="14"/>
        <v>17.000000000000004</v>
      </c>
      <c r="AG39" s="13">
        <f t="shared" si="15"/>
        <v>0.17000000000000004</v>
      </c>
      <c r="AH39" s="13">
        <f t="shared" si="16"/>
        <v>0.17000000000000004</v>
      </c>
      <c r="AI39" s="16">
        <v>1</v>
      </c>
      <c r="AJ39" s="16">
        <v>0.24249999999999999</v>
      </c>
      <c r="AK39" s="16">
        <v>1</v>
      </c>
      <c r="AL39" s="13">
        <f t="shared" si="17"/>
        <v>13.000000000000004</v>
      </c>
      <c r="AM39" s="13">
        <f t="shared" si="18"/>
        <v>0.13000000000000003</v>
      </c>
      <c r="AN39" s="13">
        <f t="shared" si="19"/>
        <v>0.13000000000000003</v>
      </c>
      <c r="AO39" s="13">
        <f t="shared" si="20"/>
        <v>2.0769230769230771</v>
      </c>
      <c r="AP39" s="13">
        <f t="shared" si="21"/>
        <v>1</v>
      </c>
      <c r="AQ39" s="13">
        <f t="shared" si="22"/>
        <v>1</v>
      </c>
      <c r="AR39" s="13">
        <f t="shared" si="23"/>
        <v>1.3076923076923077</v>
      </c>
      <c r="AS39" s="13">
        <f t="shared" si="24"/>
        <v>1.3076923076923077</v>
      </c>
      <c r="AT39" s="13">
        <f t="shared" si="25"/>
        <v>1</v>
      </c>
      <c r="AU39" s="13">
        <f t="shared" si="26"/>
        <v>7.6923076923076916</v>
      </c>
    </row>
    <row r="40" spans="1:47" x14ac:dyDescent="0.2">
      <c r="AJ40" s="56"/>
      <c r="AK40" s="56"/>
      <c r="AL40" s="56"/>
      <c r="AM40" s="56"/>
      <c r="AN40" s="56"/>
      <c r="AO40" s="56"/>
    </row>
    <row r="41" spans="1:47" x14ac:dyDescent="0.2">
      <c r="AJ41" s="56"/>
      <c r="AK41" s="56"/>
      <c r="AL41" s="56"/>
      <c r="AM41" s="56"/>
      <c r="AN41" s="56"/>
      <c r="AO41" s="56"/>
    </row>
    <row r="42" spans="1:47" x14ac:dyDescent="0.2">
      <c r="AJ42" s="56"/>
      <c r="AK42" s="56"/>
      <c r="AL42" s="56"/>
      <c r="AM42" s="56"/>
      <c r="AN42" s="56"/>
      <c r="AO42" s="56"/>
    </row>
    <row r="43" spans="1:47" x14ac:dyDescent="0.2">
      <c r="AJ43" s="56"/>
      <c r="AK43" s="56"/>
      <c r="AL43" s="56"/>
      <c r="AM43" s="56"/>
      <c r="AN43" s="56"/>
      <c r="AO43" s="56"/>
    </row>
    <row r="44" spans="1:47" x14ac:dyDescent="0.2">
      <c r="AJ44" s="56"/>
      <c r="AK44" s="56"/>
      <c r="AL44" s="56"/>
      <c r="AM44" s="56"/>
      <c r="AN44" s="56"/>
      <c r="AO44" s="56"/>
    </row>
    <row r="45" spans="1:47" x14ac:dyDescent="0.2">
      <c r="AJ45" s="56"/>
      <c r="AK45" s="56"/>
      <c r="AL45" s="56"/>
      <c r="AM45" s="56"/>
      <c r="AN45" s="56"/>
      <c r="AO45" s="56"/>
    </row>
    <row r="46" spans="1:47" x14ac:dyDescent="0.2">
      <c r="AJ46" s="56"/>
      <c r="AK46" s="56"/>
      <c r="AL46" s="56"/>
      <c r="AM46" s="56"/>
      <c r="AN46" s="56"/>
      <c r="AO46" s="56"/>
    </row>
    <row r="47" spans="1:47" x14ac:dyDescent="0.2">
      <c r="AJ47" s="56"/>
      <c r="AK47" s="56"/>
      <c r="AL47" s="56"/>
      <c r="AM47" s="56"/>
      <c r="AN47" s="56"/>
      <c r="AO47" s="56"/>
    </row>
    <row r="48" spans="1:47" x14ac:dyDescent="0.2">
      <c r="AJ48" s="56"/>
      <c r="AK48" s="56"/>
      <c r="AL48" s="56"/>
      <c r="AM48" s="56"/>
      <c r="AN48" s="56"/>
      <c r="AO48" s="56"/>
    </row>
    <row r="49" spans="36:41" x14ac:dyDescent="0.2">
      <c r="AJ49" s="56"/>
      <c r="AK49" s="56"/>
      <c r="AL49" s="56"/>
      <c r="AM49" s="56"/>
      <c r="AN49" s="56"/>
      <c r="AO49" s="56"/>
    </row>
    <row r="50" spans="36:41" x14ac:dyDescent="0.2">
      <c r="AJ50" s="56"/>
      <c r="AK50" s="56"/>
      <c r="AL50" s="56"/>
      <c r="AM50" s="56"/>
      <c r="AN50" s="56"/>
      <c r="AO50" s="56"/>
    </row>
    <row r="51" spans="36:41" x14ac:dyDescent="0.2">
      <c r="AJ51" s="56"/>
      <c r="AK51" s="56"/>
      <c r="AL51" s="56"/>
      <c r="AM51" s="56"/>
      <c r="AN51" s="56"/>
      <c r="AO51" s="56"/>
    </row>
    <row r="52" spans="36:41" x14ac:dyDescent="0.2">
      <c r="AJ52" s="56"/>
      <c r="AK52" s="56"/>
      <c r="AL52" s="56"/>
      <c r="AM52" s="56"/>
      <c r="AN52" s="56"/>
      <c r="AO52" s="56"/>
    </row>
    <row r="53" spans="36:41" ht="30" customHeight="1" x14ac:dyDescent="0.2"/>
  </sheetData>
  <sheetProtection algorithmName="SHA-512" hashValue="jGuQfco2tvc5PBW3WJv7KKurnTUlqVjEXjogfWfymRueDVIaASsRQC5VJRAJhtGn4Erw9RC9yEy1qm0G/+EHsw==" saltValue="KcMLSewqlD8MOyeErcJ9RA==" spinCount="100000" sheet="1" objects="1" scenarios="1" formatCells="0" formatColumns="0" formatRows="0" deleteColumns="0" deleteRows="0"/>
  <protectedRanges>
    <protectedRange sqref="C17:C39" name="krista_tr_48286_0_0"/>
    <protectedRange sqref="D17:D39" name="krista_tr_40531_0_0"/>
    <protectedRange sqref="H17:H39" name="krista_tf_40535_0_0"/>
    <protectedRange sqref="I17:I39" name="krista_tf_40536_0_0"/>
    <protectedRange sqref="J17:J39" name="krista_tr_40537_0_0"/>
    <protectedRange sqref="N17:N39" name="krista_tf_40541_0_0"/>
    <protectedRange sqref="O17:O39" name="krista_tf_40542_0_0"/>
    <protectedRange sqref="P17:P39" name="krista_tr_40543_0_0"/>
    <protectedRange sqref="T17:T39" name="krista_tf_40547_0_0"/>
    <protectedRange sqref="U17:U39" name="krista_tf_40548_0_0"/>
    <protectedRange sqref="V17:V39" name="krista_tr_40549_0_0"/>
    <protectedRange sqref="Z17:Z39" name="krista_tf_40553_0_0"/>
    <protectedRange sqref="AA17:AA39" name="krista_tf_40554_0_0"/>
    <protectedRange sqref="AB17:AB39" name="krista_tr_40555_0_0"/>
    <protectedRange sqref="AF17:AF39" name="krista_tf_40559_0_0"/>
    <protectedRange sqref="AG17:AG39" name="krista_tf_40560_0_0"/>
    <protectedRange sqref="AH17:AH39" name="krista_tr_40561_0_0"/>
    <protectedRange sqref="AL17:AL39" name="krista_tf_51275_0_0"/>
    <protectedRange sqref="AM17:AM39" name="krista_tf_51276_0_0"/>
    <protectedRange sqref="AN17:AN39" name="krista_tr_51277_0_0"/>
    <protectedRange sqref="AO17:AO39" name="krista_tf_40580_0_0"/>
    <protectedRange sqref="AP17:AP39" name="krista_tf_40581_0_0"/>
    <protectedRange sqref="AQ17:AQ39" name="krista_tf_40582_0_0"/>
    <protectedRange sqref="AR17:AR39" name="krista_tf_40583_0_0"/>
    <protectedRange sqref="AS17:AS39" name="krista_tf_40584_0_0"/>
    <protectedRange sqref="AT17:AT39" name="krista_tf_51278_0_0"/>
    <protectedRange sqref="AU17:AU39" name="krista_tf_40588_0_0"/>
  </protectedRanges>
  <mergeCells count="17">
    <mergeCell ref="Q15:V15"/>
    <mergeCell ref="W15:AB15"/>
    <mergeCell ref="AC15:AH15"/>
    <mergeCell ref="AI15:AN15"/>
    <mergeCell ref="AO15:AU15"/>
    <mergeCell ref="K15:P15"/>
    <mergeCell ref="A1:E1"/>
    <mergeCell ref="B8:H8"/>
    <mergeCell ref="B9:H9"/>
    <mergeCell ref="B10:H10"/>
    <mergeCell ref="B11:H11"/>
    <mergeCell ref="B12:H12"/>
    <mergeCell ref="A15:A16"/>
    <mergeCell ref="B15:B16"/>
    <mergeCell ref="C15:C16"/>
    <mergeCell ref="D15:D16"/>
    <mergeCell ref="E15:J15"/>
  </mergeCells>
  <conditionalFormatting sqref="A8:A14">
    <cfRule type="expression" dxfId="3" priority="1" stopIfTrue="1">
      <formula>"(сумм(A8:F12)&lt;&gt;100"</formula>
    </cfRule>
  </conditionalFormatting>
  <pageMargins left="0.7" right="0.7" top="0.75" bottom="0.75" header="0.3" footer="0.3"/>
  <pageSetup paperSize="8" scale="73" fitToWidth="0" orientation="landscape" r:id="rId1"/>
  <headerFooter alignWithMargins="0"/>
  <colBreaks count="1" manualBreakCount="1">
    <brk id="27" max="59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52381" r:id="rId8"/>
    <customPr name="krista_fm_columnsmarkup" r:id="rId9"/>
    <customPr name="krista_fm_consts" r:id="rId10"/>
    <customPr name="krista_fm_Events" r:id="rId11"/>
    <customPr name="krista_fm_metadataXML" r:id="rId12"/>
    <customPr name="krista_fm_rowsaxis" r:id="rId13"/>
    <customPr name="krista_fm_rowsmarkup" r:id="rId14"/>
    <customPr name="krista_SheetHistory" r:id="rId15"/>
    <customPr name="p14" r:id="rId16"/>
    <customPr name="p15" r:id="rId17"/>
    <customPr name="p19" r:id="rId18"/>
  </customProperties>
  <legacy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C000"/>
    <pageSetUpPr fitToPage="1"/>
  </sheetPr>
  <dimension ref="A1:AU58"/>
  <sheetViews>
    <sheetView view="pageBreakPreview" topLeftCell="A4" zoomScale="70" zoomScaleNormal="75" zoomScaleSheetLayoutView="70" workbookViewId="0">
      <selection activeCell="A15" sqref="A15:A16"/>
    </sheetView>
  </sheetViews>
  <sheetFormatPr defaultRowHeight="12.75" x14ac:dyDescent="0.2"/>
  <cols>
    <col min="1" max="1" width="6.28515625" customWidth="1"/>
    <col min="2" max="2" width="81.42578125" customWidth="1"/>
    <col min="3" max="3" width="10" customWidth="1"/>
    <col min="4" max="4" width="17.7109375" customWidth="1"/>
    <col min="5" max="6" width="12.7109375" customWidth="1"/>
    <col min="7" max="7" width="11.5703125" customWidth="1"/>
    <col min="8" max="8" width="13" customWidth="1"/>
    <col min="9" max="9" width="9.5703125" customWidth="1"/>
    <col min="10" max="10" width="11" customWidth="1"/>
    <col min="11" max="11" width="13.42578125" customWidth="1"/>
    <col min="12" max="12" width="12.5703125" customWidth="1"/>
    <col min="13" max="13" width="11.7109375" customWidth="1"/>
    <col min="14" max="14" width="12" customWidth="1"/>
    <col min="15" max="15" width="13.140625" customWidth="1"/>
    <col min="16" max="16" width="13.28515625" customWidth="1"/>
    <col min="17" max="17" width="11.7109375" customWidth="1"/>
    <col min="18" max="18" width="11.42578125" customWidth="1"/>
    <col min="19" max="19" width="13" customWidth="1"/>
    <col min="20" max="20" width="13.5703125" customWidth="1"/>
    <col min="21" max="21" width="10.140625" customWidth="1"/>
    <col min="22" max="22" width="13.28515625" customWidth="1"/>
    <col min="23" max="23" width="13.140625" customWidth="1"/>
    <col min="24" max="24" width="12.140625" customWidth="1"/>
    <col min="25" max="25" width="11.85546875" customWidth="1"/>
    <col min="26" max="26" width="12.140625" customWidth="1"/>
    <col min="27" max="27" width="9.7109375" customWidth="1"/>
    <col min="28" max="28" width="12.28515625" bestFit="1" customWidth="1"/>
    <col min="29" max="29" width="10.85546875" bestFit="1" customWidth="1"/>
    <col min="30" max="30" width="11.85546875" customWidth="1"/>
    <col min="31" max="31" width="13.140625" customWidth="1"/>
    <col min="32" max="32" width="11.5703125" customWidth="1"/>
    <col min="33" max="33" width="16.28515625" customWidth="1"/>
    <col min="34" max="34" width="11.140625" customWidth="1"/>
    <col min="35" max="35" width="13" customWidth="1"/>
    <col min="36" max="36" width="12.5703125" customWidth="1"/>
    <col min="37" max="37" width="11.85546875" customWidth="1"/>
    <col min="38" max="38" width="11.28515625" customWidth="1"/>
    <col min="39" max="39" width="10.42578125" customWidth="1"/>
    <col min="40" max="40" width="11.140625" customWidth="1"/>
    <col min="41" max="41" width="14.5703125" hidden="1" customWidth="1"/>
    <col min="42" max="42" width="11.7109375" style="8" hidden="1" customWidth="1"/>
    <col min="43" max="43" width="12.42578125" style="8" hidden="1" customWidth="1"/>
    <col min="44" max="44" width="10.85546875" style="8" hidden="1" customWidth="1"/>
    <col min="45" max="45" width="10.5703125" style="8" hidden="1" customWidth="1"/>
    <col min="46" max="46" width="9.28515625" style="8" hidden="1" customWidth="1"/>
    <col min="47" max="47" width="13.28515625" style="8" hidden="1" customWidth="1"/>
    <col min="48" max="55" width="27.42578125" customWidth="1"/>
    <col min="56" max="56" width="60.85546875" customWidth="1"/>
    <col min="57" max="62" width="27.42578125" customWidth="1"/>
    <col min="63" max="65" width="31.28515625" customWidth="1"/>
    <col min="66" max="66" width="27.42578125" customWidth="1"/>
    <col min="67" max="69" width="34.28515625" customWidth="1"/>
    <col min="70" max="73" width="27.42578125" customWidth="1"/>
    <col min="74" max="74" width="39.42578125" customWidth="1"/>
    <col min="75" max="75" width="41.28515625" customWidth="1"/>
    <col min="76" max="87" width="27.42578125" customWidth="1"/>
    <col min="90" max="90" width="10.28515625" bestFit="1" customWidth="1"/>
    <col min="93" max="93" width="10.28515625" bestFit="1" customWidth="1"/>
    <col min="96" max="96" width="10.28515625" bestFit="1" customWidth="1"/>
    <col min="99" max="99" width="10.28515625" bestFit="1" customWidth="1"/>
    <col min="102" max="102" width="10.28515625" bestFit="1" customWidth="1"/>
    <col min="105" max="105" width="10.28515625" bestFit="1" customWidth="1"/>
    <col min="108" max="108" width="10.28515625" bestFit="1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  <col min="210" max="210" width="10.28515625" bestFit="1" customWidth="1"/>
    <col min="213" max="213" width="10.28515625" bestFit="1" customWidth="1"/>
    <col min="216" max="216" width="10.28515625" bestFit="1" customWidth="1"/>
    <col min="219" max="219" width="10.28515625" bestFit="1" customWidth="1"/>
    <col min="222" max="222" width="10.28515625" bestFit="1" customWidth="1"/>
    <col min="225" max="225" width="10.28515625" bestFit="1" customWidth="1"/>
    <col min="228" max="228" width="10.28515625" bestFit="1" customWidth="1"/>
  </cols>
  <sheetData>
    <row r="1" spans="1:47" ht="20.25" customHeight="1" x14ac:dyDescent="0.25">
      <c r="A1" s="85" t="s">
        <v>74</v>
      </c>
      <c r="B1" s="86"/>
      <c r="C1" s="86"/>
      <c r="D1" s="86"/>
      <c r="E1" s="86"/>
      <c r="AP1" s="10"/>
      <c r="AQ1" s="10"/>
      <c r="AR1" s="10"/>
      <c r="AS1" s="10"/>
      <c r="AT1" s="10"/>
      <c r="AU1" s="10"/>
    </row>
    <row r="2" spans="1:47" x14ac:dyDescent="0.2">
      <c r="AP2" s="10"/>
      <c r="AQ2" s="10"/>
      <c r="AR2" s="10"/>
      <c r="AS2" s="10"/>
      <c r="AT2" s="10"/>
      <c r="AU2" s="10"/>
    </row>
    <row r="3" spans="1:47" x14ac:dyDescent="0.2">
      <c r="A3" s="2" t="s">
        <v>14</v>
      </c>
      <c r="B3" s="2"/>
      <c r="C3" s="2"/>
      <c r="D3" s="2"/>
      <c r="E3" s="2"/>
      <c r="F3" s="2"/>
      <c r="G3" s="2"/>
      <c r="H3" s="2"/>
      <c r="AP3" s="10"/>
      <c r="AQ3" s="10"/>
      <c r="AR3" s="10"/>
      <c r="AS3" s="10"/>
      <c r="AT3" s="10"/>
      <c r="AU3" s="10"/>
    </row>
    <row r="4" spans="1:47" x14ac:dyDescent="0.2">
      <c r="A4" s="2" t="s">
        <v>15</v>
      </c>
      <c r="B4" s="2"/>
      <c r="C4" s="2"/>
      <c r="D4" s="2"/>
      <c r="E4" s="2"/>
      <c r="F4" s="2"/>
      <c r="G4" s="2"/>
      <c r="H4" s="2"/>
      <c r="AP4" s="10"/>
      <c r="AQ4" s="10"/>
      <c r="AR4" s="10"/>
      <c r="AS4" s="10"/>
      <c r="AT4" s="10"/>
      <c r="AU4" s="10"/>
    </row>
    <row r="5" spans="1:47" x14ac:dyDescent="0.2">
      <c r="A5" s="2" t="s">
        <v>1</v>
      </c>
      <c r="B5" s="2"/>
      <c r="C5" s="2"/>
      <c r="D5" s="2"/>
      <c r="E5" s="2"/>
      <c r="F5" s="2"/>
      <c r="G5" s="2"/>
      <c r="H5" s="2"/>
      <c r="AP5" s="10"/>
      <c r="AQ5" s="10"/>
      <c r="AR5" s="10"/>
      <c r="AS5" s="10"/>
      <c r="AT5" s="10"/>
      <c r="AU5" s="10"/>
    </row>
    <row r="6" spans="1:47" x14ac:dyDescent="0.2">
      <c r="A6" s="2" t="s">
        <v>7</v>
      </c>
      <c r="B6" s="2"/>
      <c r="C6" s="2"/>
      <c r="D6" s="2"/>
      <c r="E6" s="2"/>
      <c r="F6" s="2"/>
      <c r="G6" s="2"/>
      <c r="H6" s="2"/>
      <c r="AP6" s="10"/>
      <c r="AQ6" s="10"/>
      <c r="AR6" s="10"/>
      <c r="AS6" s="10"/>
      <c r="AT6" s="10"/>
      <c r="AU6" s="10"/>
    </row>
    <row r="7" spans="1:47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AP7" s="10"/>
      <c r="AQ7" s="10"/>
      <c r="AR7" s="10"/>
      <c r="AS7" s="10"/>
      <c r="AT7" s="10"/>
      <c r="AU7" s="10"/>
    </row>
    <row r="8" spans="1:47" ht="21" customHeight="1" thickBot="1" x14ac:dyDescent="0.25">
      <c r="A8" s="6">
        <v>30</v>
      </c>
      <c r="B8" s="81" t="s">
        <v>116</v>
      </c>
      <c r="C8" s="82"/>
      <c r="D8" s="82"/>
      <c r="E8" s="82"/>
      <c r="F8" s="82"/>
      <c r="G8" s="82"/>
      <c r="H8" s="82"/>
      <c r="AP8" s="10"/>
      <c r="AQ8" s="10"/>
      <c r="AR8" s="10"/>
      <c r="AS8" s="10"/>
      <c r="AT8" s="10"/>
      <c r="AU8" s="10"/>
    </row>
    <row r="9" spans="1:47" ht="29.25" customHeight="1" thickBot="1" x14ac:dyDescent="0.25">
      <c r="A9" s="6">
        <v>30</v>
      </c>
      <c r="B9" s="81" t="s">
        <v>117</v>
      </c>
      <c r="C9" s="82"/>
      <c r="D9" s="82"/>
      <c r="E9" s="82"/>
      <c r="F9" s="83"/>
      <c r="G9" s="83"/>
      <c r="H9" s="83"/>
      <c r="AP9" s="10"/>
      <c r="AQ9" s="10"/>
      <c r="AR9" s="10"/>
      <c r="AS9" s="10"/>
      <c r="AT9" s="10"/>
      <c r="AU9" s="10"/>
    </row>
    <row r="10" spans="1:47" ht="27" customHeight="1" thickBot="1" x14ac:dyDescent="0.25">
      <c r="A10" s="6">
        <v>10</v>
      </c>
      <c r="B10" s="147" t="s">
        <v>119</v>
      </c>
      <c r="C10" s="148"/>
      <c r="D10" s="148"/>
      <c r="E10" s="148"/>
      <c r="F10" s="149"/>
      <c r="G10" s="149"/>
      <c r="H10" s="149"/>
      <c r="AP10" s="10"/>
      <c r="AQ10" s="10"/>
      <c r="AR10" s="10"/>
      <c r="AS10" s="10"/>
      <c r="AT10" s="10"/>
      <c r="AU10" s="10"/>
    </row>
    <row r="11" spans="1:47" ht="27.75" customHeight="1" thickBot="1" x14ac:dyDescent="0.25">
      <c r="A11" s="6">
        <v>10</v>
      </c>
      <c r="B11" s="147" t="s">
        <v>122</v>
      </c>
      <c r="C11" s="148"/>
      <c r="D11" s="148"/>
      <c r="E11" s="148"/>
      <c r="F11" s="149"/>
      <c r="G11" s="149"/>
      <c r="H11" s="149"/>
      <c r="AP11" s="10"/>
      <c r="AQ11" s="10"/>
      <c r="AR11" s="10"/>
      <c r="AS11" s="10"/>
      <c r="AT11" s="10"/>
      <c r="AU11" s="10"/>
    </row>
    <row r="12" spans="1:47" ht="27.75" customHeight="1" thickBot="1" x14ac:dyDescent="0.25">
      <c r="A12" s="6">
        <v>10</v>
      </c>
      <c r="B12" s="147" t="s">
        <v>123</v>
      </c>
      <c r="C12" s="148"/>
      <c r="D12" s="148"/>
      <c r="E12" s="148"/>
      <c r="F12" s="149"/>
      <c r="G12" s="149"/>
      <c r="H12" s="149"/>
      <c r="AP12" s="10"/>
      <c r="AQ12" s="10"/>
      <c r="AR12" s="10"/>
      <c r="AS12" s="10"/>
      <c r="AT12" s="10"/>
      <c r="AU12" s="10"/>
    </row>
    <row r="13" spans="1:47" ht="28.5" customHeight="1" thickBot="1" x14ac:dyDescent="0.25">
      <c r="A13" s="6">
        <v>10</v>
      </c>
      <c r="B13" s="147" t="s">
        <v>124</v>
      </c>
      <c r="C13" s="148"/>
      <c r="D13" s="148"/>
      <c r="E13" s="148"/>
      <c r="F13" s="149"/>
      <c r="G13" s="149"/>
      <c r="H13" s="149"/>
      <c r="AP13" s="10"/>
      <c r="AQ13" s="10"/>
      <c r="AR13" s="10"/>
      <c r="AS13" s="10"/>
      <c r="AT13" s="10"/>
      <c r="AU13" s="10"/>
    </row>
    <row r="14" spans="1:47" s="10" customFormat="1" ht="28.5" customHeight="1" thickBot="1" x14ac:dyDescent="0.25">
      <c r="A14" s="22"/>
      <c r="B14" s="25"/>
      <c r="C14" s="26"/>
      <c r="D14" s="26"/>
      <c r="E14" s="26"/>
      <c r="F14" s="26"/>
      <c r="G14" s="26"/>
      <c r="H14" s="26"/>
    </row>
    <row r="15" spans="1:47" ht="60" customHeight="1" x14ac:dyDescent="0.2">
      <c r="A15" s="150" t="s">
        <v>9</v>
      </c>
      <c r="B15" s="151" t="s">
        <v>8</v>
      </c>
      <c r="C15" s="152" t="s">
        <v>20</v>
      </c>
      <c r="D15" s="104" t="s">
        <v>140</v>
      </c>
      <c r="E15" s="103" t="s">
        <v>116</v>
      </c>
      <c r="F15" s="101"/>
      <c r="G15" s="101"/>
      <c r="H15" s="101"/>
      <c r="I15" s="101"/>
      <c r="J15" s="102"/>
      <c r="K15" s="106" t="s">
        <v>118</v>
      </c>
      <c r="L15" s="106"/>
      <c r="M15" s="106"/>
      <c r="N15" s="106"/>
      <c r="O15" s="106"/>
      <c r="P15" s="106"/>
      <c r="Q15" s="100" t="s">
        <v>120</v>
      </c>
      <c r="R15" s="101"/>
      <c r="S15" s="101"/>
      <c r="T15" s="101"/>
      <c r="U15" s="101"/>
      <c r="V15" s="102"/>
      <c r="W15" s="106" t="s">
        <v>121</v>
      </c>
      <c r="X15" s="101"/>
      <c r="Y15" s="101"/>
      <c r="Z15" s="101"/>
      <c r="AA15" s="101"/>
      <c r="AB15" s="101"/>
      <c r="AC15" s="103" t="s">
        <v>125</v>
      </c>
      <c r="AD15" s="101"/>
      <c r="AE15" s="101"/>
      <c r="AF15" s="101"/>
      <c r="AG15" s="101"/>
      <c r="AH15" s="102"/>
      <c r="AI15" s="103" t="s">
        <v>126</v>
      </c>
      <c r="AJ15" s="101"/>
      <c r="AK15" s="101"/>
      <c r="AL15" s="101"/>
      <c r="AM15" s="101"/>
      <c r="AN15" s="102"/>
      <c r="AO15" s="98" t="s">
        <v>5</v>
      </c>
      <c r="AP15" s="101"/>
      <c r="AQ15" s="101"/>
      <c r="AR15" s="101"/>
      <c r="AS15" s="101"/>
      <c r="AT15" s="101"/>
      <c r="AU15" s="102"/>
    </row>
    <row r="16" spans="1:47" ht="58.5" customHeight="1" thickBot="1" x14ac:dyDescent="0.25">
      <c r="A16" s="150"/>
      <c r="B16" s="151"/>
      <c r="C16" s="153"/>
      <c r="D16" s="105"/>
      <c r="E16" s="40" t="s">
        <v>63</v>
      </c>
      <c r="F16" s="30" t="s">
        <v>141</v>
      </c>
      <c r="G16" s="30" t="s">
        <v>17</v>
      </c>
      <c r="H16" s="30" t="s">
        <v>62</v>
      </c>
      <c r="I16" s="30" t="s">
        <v>144</v>
      </c>
      <c r="J16" s="41" t="s">
        <v>64</v>
      </c>
      <c r="K16" s="39" t="s">
        <v>63</v>
      </c>
      <c r="L16" s="30" t="s">
        <v>141</v>
      </c>
      <c r="M16" s="30" t="s">
        <v>17</v>
      </c>
      <c r="N16" s="30" t="s">
        <v>62</v>
      </c>
      <c r="O16" s="30" t="s">
        <v>144</v>
      </c>
      <c r="P16" s="38" t="s">
        <v>64</v>
      </c>
      <c r="Q16" s="40" t="s">
        <v>63</v>
      </c>
      <c r="R16" s="30" t="s">
        <v>141</v>
      </c>
      <c r="S16" s="30" t="s">
        <v>17</v>
      </c>
      <c r="T16" s="30" t="s">
        <v>62</v>
      </c>
      <c r="U16" s="30" t="s">
        <v>144</v>
      </c>
      <c r="V16" s="41" t="s">
        <v>64</v>
      </c>
      <c r="W16" s="39" t="s">
        <v>63</v>
      </c>
      <c r="X16" s="30" t="s">
        <v>141</v>
      </c>
      <c r="Y16" s="30" t="s">
        <v>17</v>
      </c>
      <c r="Z16" s="30" t="s">
        <v>62</v>
      </c>
      <c r="AA16" s="30" t="s">
        <v>144</v>
      </c>
      <c r="AB16" s="38" t="s">
        <v>64</v>
      </c>
      <c r="AC16" s="40" t="s">
        <v>63</v>
      </c>
      <c r="AD16" s="30" t="s">
        <v>141</v>
      </c>
      <c r="AE16" s="30" t="s">
        <v>17</v>
      </c>
      <c r="AF16" s="30" t="s">
        <v>18</v>
      </c>
      <c r="AG16" s="30" t="s">
        <v>144</v>
      </c>
      <c r="AH16" s="41" t="s">
        <v>64</v>
      </c>
      <c r="AI16" s="40" t="s">
        <v>63</v>
      </c>
      <c r="AJ16" s="30" t="s">
        <v>141</v>
      </c>
      <c r="AK16" s="30" t="s">
        <v>17</v>
      </c>
      <c r="AL16" s="30" t="s">
        <v>18</v>
      </c>
      <c r="AM16" s="30" t="s">
        <v>144</v>
      </c>
      <c r="AN16" s="41" t="s">
        <v>64</v>
      </c>
      <c r="AO16" s="43">
        <v>1</v>
      </c>
      <c r="AP16" s="28">
        <v>2</v>
      </c>
      <c r="AQ16" s="28">
        <v>3</v>
      </c>
      <c r="AR16" s="28">
        <v>4</v>
      </c>
      <c r="AS16" s="28">
        <v>5</v>
      </c>
      <c r="AT16" s="28">
        <v>6</v>
      </c>
      <c r="AU16" s="29" t="s">
        <v>135</v>
      </c>
    </row>
    <row r="17" spans="1:47" ht="25.5" x14ac:dyDescent="0.2">
      <c r="A17" s="1" t="s">
        <v>41</v>
      </c>
      <c r="B17" s="11" t="s">
        <v>21</v>
      </c>
      <c r="C17" s="13">
        <f t="shared" ref="C17:C39" si="0">IF(D17&lt;&gt;1,"",SUM(J17,P17,V17,AB17,AH17,AN17))</f>
        <v>0.57142857142857151</v>
      </c>
      <c r="D17" s="13">
        <f t="shared" ref="D17:D39" si="1">IF(SUM(E17,K17,Q17,W17,AC17,AI17)=0,0,1)</f>
        <v>1</v>
      </c>
      <c r="E17" s="16">
        <v>1</v>
      </c>
      <c r="F17" s="16">
        <v>100</v>
      </c>
      <c r="G17" s="16">
        <v>1</v>
      </c>
      <c r="H17" s="13">
        <f t="shared" ref="H17:H39" si="2">IF(E17=1,(MIN(Вес5.1,Вес5.2,Вес5.3,Вес5.4,Вес5.5,Вес5.6))*((100/MIN(Вес5.1,Вес5.2,Вес5.3,Вес5.4,Вес5.5,Вес5.6))/AU17*Вес5.1/MIN(Вес5.1,Вес5.2,Вес5.3,Вес5.4,Вес5.5,Вес5.6)),"")</f>
        <v>42.857142857142861</v>
      </c>
      <c r="I17" s="13">
        <f t="shared" ref="I17:I39" si="3">IF(H17="","не применяется",IF(E17=0,"не применяется",H17*G17/100))</f>
        <v>0.4285714285714286</v>
      </c>
      <c r="J17" s="13">
        <f t="shared" ref="J17:J39" si="4">IF(ISNUMBER(I17),I17,"")</f>
        <v>0.4285714285714286</v>
      </c>
      <c r="K17" s="16">
        <v>0</v>
      </c>
      <c r="L17" s="16">
        <v>0</v>
      </c>
      <c r="M17" s="16">
        <v>0</v>
      </c>
      <c r="N17" s="13" t="str">
        <f t="shared" ref="N17:N39" si="5">IF(K17=1,(MIN(Вес5.1,Вес5.2,Вес5.3,Вес5.4,Вес5.5,Вес5.6))*((100/MIN(Вес5.1,Вес5.2,Вес5.3,Вес5.4,Вес5.5,Вес5.6))/AU17*Вес5.2/MIN(Вес5.1,Вес5.2,Вес5.3,Вес5.4,Вес5.5,Вес5.6)),"")</f>
        <v/>
      </c>
      <c r="O17" s="13" t="str">
        <f t="shared" ref="O17:O39" si="6">IF(N17="","не применяется",IF(K17=0,"не применяется",N17*M17/100))</f>
        <v>не применяется</v>
      </c>
      <c r="P17" s="13" t="str">
        <f t="shared" ref="P17:P39" si="7">IF(ISNUMBER(O17),O17,"")</f>
        <v/>
      </c>
      <c r="Q17" s="16">
        <v>1</v>
      </c>
      <c r="R17" s="16">
        <v>0</v>
      </c>
      <c r="S17" s="16">
        <v>0</v>
      </c>
      <c r="T17" s="13">
        <f t="shared" ref="T17:T39" si="8">IF(Q17=1,(MIN(Вес5.1,Вес5.2,Вес5.3,Вес5.4,Вес5.5,Вес5.6))*((100/MIN(Вес5.1,Вес5.2,Вес5.3,Вес5.4,Вес5.5,Вес5.6))/AU17*Вес5.3/MIN(Вес5.1,Вес5.2,Вес5.3,Вес5.4,Вес5.5,Вес5.6)),"")</f>
        <v>14.285714285714286</v>
      </c>
      <c r="U17" s="13">
        <f t="shared" ref="U17:U39" si="9">IF(T17="","не применяется",IF(Q17=0,"не применяется",T17*S17/100))</f>
        <v>0</v>
      </c>
      <c r="V17" s="13">
        <f t="shared" ref="V17:V39" si="10">IF(ISNUMBER(U17),U17,"")</f>
        <v>0</v>
      </c>
      <c r="W17" s="16">
        <v>1</v>
      </c>
      <c r="X17" s="16">
        <v>100</v>
      </c>
      <c r="Y17" s="16">
        <v>1</v>
      </c>
      <c r="Z17" s="13">
        <f t="shared" ref="Z17:Z39" si="11">IF(W17=1,(MIN(Вес5.1,Вес5.2,Вес5.3,Вес5.4,Вес5.5,Вес5.6))*((100/MIN(Вес5.1,Вес5.2,Вес5.3,Вес5.4,Вес5.5,Вес5.6))/AU17*Вес5.4/MIN(Вес5.1,Вес5.2,Вес5.3,Вес5.4,Вес5.5,Вес5.6)),"")</f>
        <v>14.285714285714286</v>
      </c>
      <c r="AA17" s="13">
        <f t="shared" ref="AA17:AA39" si="12">IF(Z17="","не применяется",IF(W17=0,"не применяется",Y17*Z17/100))</f>
        <v>0.14285714285714288</v>
      </c>
      <c r="AB17" s="13">
        <f t="shared" ref="AB17:AB39" si="13">IF(ISNUMBER(AA17),AA17,"")</f>
        <v>0.14285714285714288</v>
      </c>
      <c r="AC17" s="16">
        <v>1</v>
      </c>
      <c r="AD17" s="16">
        <v>0</v>
      </c>
      <c r="AE17" s="16">
        <v>0</v>
      </c>
      <c r="AF17" s="13">
        <f t="shared" ref="AF17:AF39" si="14">IF(AC17=1,(MIN(Вес5.1,Вес5.2,Вес5.3,Вес5.4,Вес5.5,Вес5.6))*((100/MIN(Вес5.1,Вес5.2,Вес5.3,Вес5.4,Вес5.5,Вес5.6))/AU17*Вес5.5/MIN(Вес5.1,Вес5.2,Вес5.3,Вес5.4,Вес5.5,Вес5.6)),"")</f>
        <v>14.285714285714286</v>
      </c>
      <c r="AG17" s="13">
        <f t="shared" ref="AG17:AG39" si="15">IF(AF17="","не применяется",IF(AC17=0,"не применяется",AF17*AE17/100))</f>
        <v>0</v>
      </c>
      <c r="AH17" s="13">
        <f t="shared" ref="AH17:AH39" si="16">IF(ISNUMBER(AG17),AG17,"")</f>
        <v>0</v>
      </c>
      <c r="AI17" s="16">
        <v>1</v>
      </c>
      <c r="AJ17" s="16">
        <v>0</v>
      </c>
      <c r="AK17" s="16">
        <v>0</v>
      </c>
      <c r="AL17" s="13">
        <f t="shared" ref="AL17:AL39" si="17">IF(AI17=1,(MIN(Вес5.1,Вес5.2,Вес5.3,Вес5.4,Вес5.5,Вес5.6))*((100/MIN(Вес5.1,Вес5.2,Вес5.3,Вес5.4,Вес5.5,Вес5.6))/AU17*Вес5.6/MIN(Вес5.1,Вес5.2,Вес5.3,Вес5.4,Вес5.5,Вес5.6)),"")</f>
        <v>14.285714285714286</v>
      </c>
      <c r="AM17" s="13">
        <f t="shared" ref="AM17:AM39" si="18">IF(AL17="","не применяется",IF(AI17=0,"не применяется",AL17*AK17/100))</f>
        <v>0</v>
      </c>
      <c r="AN17" s="13">
        <f t="shared" ref="AN17:AN39" si="19">IF(ISNUMBER(AM17),AM17,"")</f>
        <v>0</v>
      </c>
      <c r="AO17" s="13">
        <f t="shared" ref="AO17:AO39" si="20">IF(E17=1,Вес5.1/MIN(Вес5.1,Вес5.2,Вес5.3,Вес5.4,Вес5.5,Вес5.6),"")</f>
        <v>3</v>
      </c>
      <c r="AP17" s="13" t="str">
        <f t="shared" ref="AP17:AP39" si="21">IF(K17=1,Вес5.2/MIN(Вес5.1,Вес5.2,Вес5.3,Вес5.4,Вес5.5,Вес5.6),"")</f>
        <v/>
      </c>
      <c r="AQ17" s="13">
        <f t="shared" ref="AQ17:AQ39" si="22">IF(Q17=1,Вес5.3/MIN(Вес5.1,Вес5.2,Вес5.3,Вес5.4,Вес5.5,Вес5.6),"")</f>
        <v>1</v>
      </c>
      <c r="AR17" s="13">
        <f t="shared" ref="AR17:AR39" si="23">IF(W17=1,Вес5.4/MIN(Вес5.1,Вес5.2,Вес5.3,Вес5.4,Вес5.5,Вес5.6),"")</f>
        <v>1</v>
      </c>
      <c r="AS17" s="13">
        <f t="shared" ref="AS17:AS39" si="24">IF(AC17=1,Вес5.5/MIN(Вес5.1,Вес5.2,Вес5.3,Вес5.4,Вес5.5,Вес5.6),"")</f>
        <v>1</v>
      </c>
      <c r="AT17" s="13">
        <f t="shared" ref="AT17:AT39" si="25">IF(AI17=1,Вес5.6/MIN(Вес5.1,Вес5.2,Вес5.3,Вес5.4,Вес5.5,Вес5.6),"")</f>
        <v>1</v>
      </c>
      <c r="AU17" s="13">
        <f t="shared" ref="AU17:AU39" si="26">SUM(AO17:AT17)</f>
        <v>7</v>
      </c>
    </row>
    <row r="18" spans="1:47" x14ac:dyDescent="0.2">
      <c r="A18" s="1" t="s">
        <v>42</v>
      </c>
      <c r="B18" s="11" t="s">
        <v>148</v>
      </c>
      <c r="C18" s="13">
        <f t="shared" si="0"/>
        <v>0.79999999999999993</v>
      </c>
      <c r="D18" s="13">
        <f t="shared" si="1"/>
        <v>1</v>
      </c>
      <c r="E18" s="16">
        <v>1</v>
      </c>
      <c r="F18" s="16">
        <v>100</v>
      </c>
      <c r="G18" s="16">
        <v>1</v>
      </c>
      <c r="H18" s="13">
        <f t="shared" si="2"/>
        <v>30</v>
      </c>
      <c r="I18" s="13">
        <f t="shared" si="3"/>
        <v>0.3</v>
      </c>
      <c r="J18" s="13">
        <f t="shared" si="4"/>
        <v>0.3</v>
      </c>
      <c r="K18" s="16">
        <v>1</v>
      </c>
      <c r="L18" s="16">
        <v>1</v>
      </c>
      <c r="M18" s="16">
        <v>1</v>
      </c>
      <c r="N18" s="13">
        <f t="shared" si="5"/>
        <v>30</v>
      </c>
      <c r="O18" s="13">
        <f t="shared" si="6"/>
        <v>0.3</v>
      </c>
      <c r="P18" s="13">
        <f t="shared" si="7"/>
        <v>0.3</v>
      </c>
      <c r="Q18" s="16">
        <v>1</v>
      </c>
      <c r="R18" s="16">
        <v>0</v>
      </c>
      <c r="S18" s="16">
        <v>0</v>
      </c>
      <c r="T18" s="13">
        <f t="shared" si="8"/>
        <v>10</v>
      </c>
      <c r="U18" s="13">
        <f t="shared" si="9"/>
        <v>0</v>
      </c>
      <c r="V18" s="13">
        <f t="shared" si="10"/>
        <v>0</v>
      </c>
      <c r="W18" s="16">
        <v>1</v>
      </c>
      <c r="X18" s="16">
        <v>100</v>
      </c>
      <c r="Y18" s="16">
        <v>1</v>
      </c>
      <c r="Z18" s="13">
        <f t="shared" si="11"/>
        <v>10</v>
      </c>
      <c r="AA18" s="13">
        <f t="shared" si="12"/>
        <v>0.1</v>
      </c>
      <c r="AB18" s="13">
        <f t="shared" si="13"/>
        <v>0.1</v>
      </c>
      <c r="AC18" s="16">
        <v>1</v>
      </c>
      <c r="AD18" s="16">
        <v>1</v>
      </c>
      <c r="AE18" s="16">
        <v>1</v>
      </c>
      <c r="AF18" s="13">
        <f t="shared" si="14"/>
        <v>10</v>
      </c>
      <c r="AG18" s="13">
        <f t="shared" si="15"/>
        <v>0.1</v>
      </c>
      <c r="AH18" s="13">
        <f t="shared" si="16"/>
        <v>0.1</v>
      </c>
      <c r="AI18" s="16">
        <v>1</v>
      </c>
      <c r="AJ18" s="16">
        <v>0</v>
      </c>
      <c r="AK18" s="16">
        <v>0</v>
      </c>
      <c r="AL18" s="13">
        <f t="shared" si="17"/>
        <v>10</v>
      </c>
      <c r="AM18" s="13">
        <f t="shared" si="18"/>
        <v>0</v>
      </c>
      <c r="AN18" s="13">
        <f t="shared" si="19"/>
        <v>0</v>
      </c>
      <c r="AO18" s="13">
        <f t="shared" si="20"/>
        <v>3</v>
      </c>
      <c r="AP18" s="13">
        <f t="shared" si="21"/>
        <v>3</v>
      </c>
      <c r="AQ18" s="13">
        <f t="shared" si="22"/>
        <v>1</v>
      </c>
      <c r="AR18" s="13">
        <f t="shared" si="23"/>
        <v>1</v>
      </c>
      <c r="AS18" s="13">
        <f t="shared" si="24"/>
        <v>1</v>
      </c>
      <c r="AT18" s="13">
        <f t="shared" si="25"/>
        <v>1</v>
      </c>
      <c r="AU18" s="13">
        <f t="shared" si="26"/>
        <v>10</v>
      </c>
    </row>
    <row r="19" spans="1:47" ht="25.5" x14ac:dyDescent="0.2">
      <c r="A19" s="1" t="s">
        <v>43</v>
      </c>
      <c r="B19" s="11" t="s">
        <v>22</v>
      </c>
      <c r="C19" s="13">
        <f t="shared" si="0"/>
        <v>0.57142857142857151</v>
      </c>
      <c r="D19" s="13">
        <f t="shared" si="1"/>
        <v>1</v>
      </c>
      <c r="E19" s="16">
        <v>1</v>
      </c>
      <c r="F19" s="16">
        <v>100</v>
      </c>
      <c r="G19" s="16">
        <v>1</v>
      </c>
      <c r="H19" s="13">
        <f t="shared" si="2"/>
        <v>42.857142857142861</v>
      </c>
      <c r="I19" s="13">
        <f t="shared" si="3"/>
        <v>0.4285714285714286</v>
      </c>
      <c r="J19" s="13">
        <f t="shared" si="4"/>
        <v>0.4285714285714286</v>
      </c>
      <c r="K19" s="16">
        <v>0</v>
      </c>
      <c r="L19" s="16">
        <v>0</v>
      </c>
      <c r="M19" s="16">
        <v>0</v>
      </c>
      <c r="N19" s="13" t="str">
        <f t="shared" si="5"/>
        <v/>
      </c>
      <c r="O19" s="13" t="str">
        <f t="shared" si="6"/>
        <v>не применяется</v>
      </c>
      <c r="P19" s="13" t="str">
        <f t="shared" si="7"/>
        <v/>
      </c>
      <c r="Q19" s="16">
        <v>1</v>
      </c>
      <c r="R19" s="16">
        <v>0</v>
      </c>
      <c r="S19" s="16">
        <v>0</v>
      </c>
      <c r="T19" s="13">
        <f t="shared" si="8"/>
        <v>14.285714285714286</v>
      </c>
      <c r="U19" s="13">
        <f t="shared" si="9"/>
        <v>0</v>
      </c>
      <c r="V19" s="13">
        <f t="shared" si="10"/>
        <v>0</v>
      </c>
      <c r="W19" s="16">
        <v>1</v>
      </c>
      <c r="X19" s="16">
        <v>100</v>
      </c>
      <c r="Y19" s="16">
        <v>1</v>
      </c>
      <c r="Z19" s="13">
        <f t="shared" si="11"/>
        <v>14.285714285714286</v>
      </c>
      <c r="AA19" s="13">
        <f t="shared" si="12"/>
        <v>0.14285714285714288</v>
      </c>
      <c r="AB19" s="13">
        <f t="shared" si="13"/>
        <v>0.14285714285714288</v>
      </c>
      <c r="AC19" s="16">
        <v>1</v>
      </c>
      <c r="AD19" s="16">
        <v>0</v>
      </c>
      <c r="AE19" s="16">
        <v>0</v>
      </c>
      <c r="AF19" s="13">
        <f t="shared" si="14"/>
        <v>14.285714285714286</v>
      </c>
      <c r="AG19" s="13">
        <f t="shared" si="15"/>
        <v>0</v>
      </c>
      <c r="AH19" s="13">
        <f t="shared" si="16"/>
        <v>0</v>
      </c>
      <c r="AI19" s="16">
        <v>1</v>
      </c>
      <c r="AJ19" s="16">
        <v>0</v>
      </c>
      <c r="AK19" s="16">
        <v>0</v>
      </c>
      <c r="AL19" s="13">
        <f t="shared" si="17"/>
        <v>14.285714285714286</v>
      </c>
      <c r="AM19" s="13">
        <f t="shared" si="18"/>
        <v>0</v>
      </c>
      <c r="AN19" s="13">
        <f t="shared" si="19"/>
        <v>0</v>
      </c>
      <c r="AO19" s="13">
        <f t="shared" si="20"/>
        <v>3</v>
      </c>
      <c r="AP19" s="13" t="str">
        <f t="shared" si="21"/>
        <v/>
      </c>
      <c r="AQ19" s="13">
        <f t="shared" si="22"/>
        <v>1</v>
      </c>
      <c r="AR19" s="13">
        <f t="shared" si="23"/>
        <v>1</v>
      </c>
      <c r="AS19" s="13">
        <f t="shared" si="24"/>
        <v>1</v>
      </c>
      <c r="AT19" s="13">
        <f t="shared" si="25"/>
        <v>1</v>
      </c>
      <c r="AU19" s="13">
        <f t="shared" si="26"/>
        <v>7</v>
      </c>
    </row>
    <row r="20" spans="1:47" ht="25.5" x14ac:dyDescent="0.2">
      <c r="A20" s="1" t="s">
        <v>152</v>
      </c>
      <c r="B20" s="11" t="s">
        <v>153</v>
      </c>
      <c r="C20" s="13">
        <f t="shared" si="0"/>
        <v>0</v>
      </c>
      <c r="D20" s="13">
        <f t="shared" si="1"/>
        <v>1</v>
      </c>
      <c r="E20" s="16">
        <v>1</v>
      </c>
      <c r="F20" s="16">
        <v>0</v>
      </c>
      <c r="G20" s="16">
        <v>0</v>
      </c>
      <c r="H20" s="13">
        <f t="shared" si="2"/>
        <v>30</v>
      </c>
      <c r="I20" s="13">
        <f t="shared" si="3"/>
        <v>0</v>
      </c>
      <c r="J20" s="13">
        <f t="shared" si="4"/>
        <v>0</v>
      </c>
      <c r="K20" s="16">
        <v>1</v>
      </c>
      <c r="L20" s="16">
        <v>0</v>
      </c>
      <c r="M20" s="16">
        <v>0</v>
      </c>
      <c r="N20" s="13">
        <f t="shared" si="5"/>
        <v>30</v>
      </c>
      <c r="O20" s="13">
        <f t="shared" si="6"/>
        <v>0</v>
      </c>
      <c r="P20" s="13">
        <f t="shared" si="7"/>
        <v>0</v>
      </c>
      <c r="Q20" s="16">
        <v>1</v>
      </c>
      <c r="R20" s="16">
        <v>0</v>
      </c>
      <c r="S20" s="16">
        <v>0</v>
      </c>
      <c r="T20" s="13">
        <f t="shared" si="8"/>
        <v>10</v>
      </c>
      <c r="U20" s="13">
        <f t="shared" si="9"/>
        <v>0</v>
      </c>
      <c r="V20" s="13">
        <f t="shared" si="10"/>
        <v>0</v>
      </c>
      <c r="W20" s="16">
        <v>1</v>
      </c>
      <c r="X20" s="16">
        <v>0</v>
      </c>
      <c r="Y20" s="16">
        <v>0</v>
      </c>
      <c r="Z20" s="13">
        <f t="shared" si="11"/>
        <v>10</v>
      </c>
      <c r="AA20" s="13">
        <f t="shared" si="12"/>
        <v>0</v>
      </c>
      <c r="AB20" s="13">
        <f t="shared" si="13"/>
        <v>0</v>
      </c>
      <c r="AC20" s="16">
        <v>1</v>
      </c>
      <c r="AD20" s="16">
        <v>0</v>
      </c>
      <c r="AE20" s="16">
        <v>0</v>
      </c>
      <c r="AF20" s="13">
        <f t="shared" si="14"/>
        <v>10</v>
      </c>
      <c r="AG20" s="13">
        <f t="shared" si="15"/>
        <v>0</v>
      </c>
      <c r="AH20" s="13">
        <f t="shared" si="16"/>
        <v>0</v>
      </c>
      <c r="AI20" s="16">
        <v>1</v>
      </c>
      <c r="AJ20" s="16">
        <v>0</v>
      </c>
      <c r="AK20" s="16">
        <v>0</v>
      </c>
      <c r="AL20" s="13">
        <f t="shared" si="17"/>
        <v>10</v>
      </c>
      <c r="AM20" s="13">
        <f t="shared" si="18"/>
        <v>0</v>
      </c>
      <c r="AN20" s="13">
        <f t="shared" si="19"/>
        <v>0</v>
      </c>
      <c r="AO20" s="13">
        <f t="shared" si="20"/>
        <v>3</v>
      </c>
      <c r="AP20" s="13">
        <f t="shared" si="21"/>
        <v>3</v>
      </c>
      <c r="AQ20" s="13">
        <f t="shared" si="22"/>
        <v>1</v>
      </c>
      <c r="AR20" s="13">
        <f t="shared" si="23"/>
        <v>1</v>
      </c>
      <c r="AS20" s="13">
        <f t="shared" si="24"/>
        <v>1</v>
      </c>
      <c r="AT20" s="13">
        <f t="shared" si="25"/>
        <v>1</v>
      </c>
      <c r="AU20" s="13">
        <f t="shared" si="26"/>
        <v>10</v>
      </c>
    </row>
    <row r="21" spans="1:47" ht="25.5" x14ac:dyDescent="0.2">
      <c r="A21" s="1" t="s">
        <v>44</v>
      </c>
      <c r="B21" s="11" t="s">
        <v>23</v>
      </c>
      <c r="C21" s="13">
        <f t="shared" si="0"/>
        <v>0.57142857142857151</v>
      </c>
      <c r="D21" s="13">
        <f t="shared" si="1"/>
        <v>1</v>
      </c>
      <c r="E21" s="16">
        <v>1</v>
      </c>
      <c r="F21" s="16">
        <v>100</v>
      </c>
      <c r="G21" s="16">
        <v>1</v>
      </c>
      <c r="H21" s="13">
        <f t="shared" si="2"/>
        <v>42.857142857142861</v>
      </c>
      <c r="I21" s="13">
        <f t="shared" si="3"/>
        <v>0.4285714285714286</v>
      </c>
      <c r="J21" s="13">
        <f t="shared" si="4"/>
        <v>0.4285714285714286</v>
      </c>
      <c r="K21" s="16">
        <v>0</v>
      </c>
      <c r="L21" s="16">
        <v>0</v>
      </c>
      <c r="M21" s="16">
        <v>0</v>
      </c>
      <c r="N21" s="13" t="str">
        <f t="shared" si="5"/>
        <v/>
      </c>
      <c r="O21" s="13" t="str">
        <f t="shared" si="6"/>
        <v>не применяется</v>
      </c>
      <c r="P21" s="13" t="str">
        <f t="shared" si="7"/>
        <v/>
      </c>
      <c r="Q21" s="16">
        <v>1</v>
      </c>
      <c r="R21" s="16">
        <v>0</v>
      </c>
      <c r="S21" s="16">
        <v>0</v>
      </c>
      <c r="T21" s="13">
        <f t="shared" si="8"/>
        <v>14.285714285714286</v>
      </c>
      <c r="U21" s="13">
        <f t="shared" si="9"/>
        <v>0</v>
      </c>
      <c r="V21" s="13">
        <f t="shared" si="10"/>
        <v>0</v>
      </c>
      <c r="W21" s="16">
        <v>1</v>
      </c>
      <c r="X21" s="16">
        <v>100</v>
      </c>
      <c r="Y21" s="16">
        <v>1</v>
      </c>
      <c r="Z21" s="13">
        <f t="shared" si="11"/>
        <v>14.285714285714286</v>
      </c>
      <c r="AA21" s="13">
        <f t="shared" si="12"/>
        <v>0.14285714285714288</v>
      </c>
      <c r="AB21" s="13">
        <f t="shared" si="13"/>
        <v>0.14285714285714288</v>
      </c>
      <c r="AC21" s="16">
        <v>1</v>
      </c>
      <c r="AD21" s="16">
        <v>0</v>
      </c>
      <c r="AE21" s="16">
        <v>0</v>
      </c>
      <c r="AF21" s="13">
        <f t="shared" si="14"/>
        <v>14.285714285714286</v>
      </c>
      <c r="AG21" s="13">
        <f t="shared" si="15"/>
        <v>0</v>
      </c>
      <c r="AH21" s="13">
        <f t="shared" si="16"/>
        <v>0</v>
      </c>
      <c r="AI21" s="16">
        <v>1</v>
      </c>
      <c r="AJ21" s="16">
        <v>0</v>
      </c>
      <c r="AK21" s="16">
        <v>0</v>
      </c>
      <c r="AL21" s="13">
        <f t="shared" si="17"/>
        <v>14.285714285714286</v>
      </c>
      <c r="AM21" s="13">
        <f t="shared" si="18"/>
        <v>0</v>
      </c>
      <c r="AN21" s="13">
        <f t="shared" si="19"/>
        <v>0</v>
      </c>
      <c r="AO21" s="13">
        <f t="shared" si="20"/>
        <v>3</v>
      </c>
      <c r="AP21" s="13" t="str">
        <f t="shared" si="21"/>
        <v/>
      </c>
      <c r="AQ21" s="13">
        <f t="shared" si="22"/>
        <v>1</v>
      </c>
      <c r="AR21" s="13">
        <f t="shared" si="23"/>
        <v>1</v>
      </c>
      <c r="AS21" s="13">
        <f t="shared" si="24"/>
        <v>1</v>
      </c>
      <c r="AT21" s="13">
        <f t="shared" si="25"/>
        <v>1</v>
      </c>
      <c r="AU21" s="13">
        <f t="shared" si="26"/>
        <v>7</v>
      </c>
    </row>
    <row r="22" spans="1:47" ht="25.5" x14ac:dyDescent="0.2">
      <c r="A22" s="1" t="s">
        <v>45</v>
      </c>
      <c r="B22" s="11" t="s">
        <v>24</v>
      </c>
      <c r="C22" s="13">
        <f t="shared" si="0"/>
        <v>0.7</v>
      </c>
      <c r="D22" s="13">
        <f t="shared" si="1"/>
        <v>1</v>
      </c>
      <c r="E22" s="16">
        <v>1</v>
      </c>
      <c r="F22" s="16">
        <v>100</v>
      </c>
      <c r="G22" s="16">
        <v>1</v>
      </c>
      <c r="H22" s="13">
        <f t="shared" si="2"/>
        <v>30</v>
      </c>
      <c r="I22" s="13">
        <f t="shared" si="3"/>
        <v>0.3</v>
      </c>
      <c r="J22" s="13">
        <f t="shared" si="4"/>
        <v>0.3</v>
      </c>
      <c r="K22" s="16">
        <v>1</v>
      </c>
      <c r="L22" s="16">
        <v>1</v>
      </c>
      <c r="M22" s="16">
        <v>1</v>
      </c>
      <c r="N22" s="13">
        <f t="shared" si="5"/>
        <v>30</v>
      </c>
      <c r="O22" s="13">
        <f t="shared" si="6"/>
        <v>0.3</v>
      </c>
      <c r="P22" s="13">
        <f t="shared" si="7"/>
        <v>0.3</v>
      </c>
      <c r="Q22" s="16">
        <v>1</v>
      </c>
      <c r="R22" s="16">
        <v>0</v>
      </c>
      <c r="S22" s="16">
        <v>0</v>
      </c>
      <c r="T22" s="13">
        <f t="shared" si="8"/>
        <v>10</v>
      </c>
      <c r="U22" s="13">
        <f t="shared" si="9"/>
        <v>0</v>
      </c>
      <c r="V22" s="13">
        <f t="shared" si="10"/>
        <v>0</v>
      </c>
      <c r="W22" s="16">
        <v>1</v>
      </c>
      <c r="X22" s="16">
        <v>100</v>
      </c>
      <c r="Y22" s="16">
        <v>1</v>
      </c>
      <c r="Z22" s="13">
        <f t="shared" si="11"/>
        <v>10</v>
      </c>
      <c r="AA22" s="13">
        <f t="shared" si="12"/>
        <v>0.1</v>
      </c>
      <c r="AB22" s="13">
        <f t="shared" si="13"/>
        <v>0.1</v>
      </c>
      <c r="AC22" s="16">
        <v>1</v>
      </c>
      <c r="AD22" s="16">
        <v>0</v>
      </c>
      <c r="AE22" s="16">
        <v>0</v>
      </c>
      <c r="AF22" s="13">
        <f t="shared" si="14"/>
        <v>10</v>
      </c>
      <c r="AG22" s="13">
        <f t="shared" si="15"/>
        <v>0</v>
      </c>
      <c r="AH22" s="13">
        <f t="shared" si="16"/>
        <v>0</v>
      </c>
      <c r="AI22" s="16">
        <v>1</v>
      </c>
      <c r="AJ22" s="16">
        <v>0</v>
      </c>
      <c r="AK22" s="16">
        <v>0</v>
      </c>
      <c r="AL22" s="13">
        <f t="shared" si="17"/>
        <v>10</v>
      </c>
      <c r="AM22" s="13">
        <f t="shared" si="18"/>
        <v>0</v>
      </c>
      <c r="AN22" s="13">
        <f t="shared" si="19"/>
        <v>0</v>
      </c>
      <c r="AO22" s="13">
        <f t="shared" si="20"/>
        <v>3</v>
      </c>
      <c r="AP22" s="13">
        <f t="shared" si="21"/>
        <v>3</v>
      </c>
      <c r="AQ22" s="13">
        <f t="shared" si="22"/>
        <v>1</v>
      </c>
      <c r="AR22" s="13">
        <f t="shared" si="23"/>
        <v>1</v>
      </c>
      <c r="AS22" s="13">
        <f t="shared" si="24"/>
        <v>1</v>
      </c>
      <c r="AT22" s="13">
        <f t="shared" si="25"/>
        <v>1</v>
      </c>
      <c r="AU22" s="13">
        <f t="shared" si="26"/>
        <v>10</v>
      </c>
    </row>
    <row r="23" spans="1:47" ht="25.5" x14ac:dyDescent="0.2">
      <c r="A23" s="1" t="s">
        <v>46</v>
      </c>
      <c r="B23" s="11" t="s">
        <v>25</v>
      </c>
      <c r="C23" s="13">
        <f t="shared" si="0"/>
        <v>0.7</v>
      </c>
      <c r="D23" s="13">
        <f t="shared" si="1"/>
        <v>1</v>
      </c>
      <c r="E23" s="16">
        <v>1</v>
      </c>
      <c r="F23" s="16">
        <v>100</v>
      </c>
      <c r="G23" s="16">
        <v>1</v>
      </c>
      <c r="H23" s="13">
        <f t="shared" si="2"/>
        <v>30</v>
      </c>
      <c r="I23" s="13">
        <f t="shared" si="3"/>
        <v>0.3</v>
      </c>
      <c r="J23" s="13">
        <f t="shared" si="4"/>
        <v>0.3</v>
      </c>
      <c r="K23" s="16">
        <v>1</v>
      </c>
      <c r="L23" s="16">
        <v>1</v>
      </c>
      <c r="M23" s="16">
        <v>1</v>
      </c>
      <c r="N23" s="13">
        <f t="shared" si="5"/>
        <v>30</v>
      </c>
      <c r="O23" s="13">
        <f t="shared" si="6"/>
        <v>0.3</v>
      </c>
      <c r="P23" s="13">
        <f t="shared" si="7"/>
        <v>0.3</v>
      </c>
      <c r="Q23" s="16">
        <v>1</v>
      </c>
      <c r="R23" s="16">
        <v>0</v>
      </c>
      <c r="S23" s="16">
        <v>0</v>
      </c>
      <c r="T23" s="13">
        <f t="shared" si="8"/>
        <v>10</v>
      </c>
      <c r="U23" s="13">
        <f t="shared" si="9"/>
        <v>0</v>
      </c>
      <c r="V23" s="13">
        <f t="shared" si="10"/>
        <v>0</v>
      </c>
      <c r="W23" s="16">
        <v>1</v>
      </c>
      <c r="X23" s="16">
        <v>100</v>
      </c>
      <c r="Y23" s="16">
        <v>1</v>
      </c>
      <c r="Z23" s="13">
        <f t="shared" si="11"/>
        <v>10</v>
      </c>
      <c r="AA23" s="13">
        <f t="shared" si="12"/>
        <v>0.1</v>
      </c>
      <c r="AB23" s="13">
        <f t="shared" si="13"/>
        <v>0.1</v>
      </c>
      <c r="AC23" s="16">
        <v>1</v>
      </c>
      <c r="AD23" s="16">
        <v>0</v>
      </c>
      <c r="AE23" s="16">
        <v>0</v>
      </c>
      <c r="AF23" s="13">
        <f t="shared" si="14"/>
        <v>10</v>
      </c>
      <c r="AG23" s="13">
        <f t="shared" si="15"/>
        <v>0</v>
      </c>
      <c r="AH23" s="13">
        <f t="shared" si="16"/>
        <v>0</v>
      </c>
      <c r="AI23" s="16">
        <v>1</v>
      </c>
      <c r="AJ23" s="16">
        <v>0</v>
      </c>
      <c r="AK23" s="16">
        <v>0</v>
      </c>
      <c r="AL23" s="13">
        <f t="shared" si="17"/>
        <v>10</v>
      </c>
      <c r="AM23" s="13">
        <f t="shared" si="18"/>
        <v>0</v>
      </c>
      <c r="AN23" s="13">
        <f t="shared" si="19"/>
        <v>0</v>
      </c>
      <c r="AO23" s="13">
        <f t="shared" si="20"/>
        <v>3</v>
      </c>
      <c r="AP23" s="13">
        <f t="shared" si="21"/>
        <v>3</v>
      </c>
      <c r="AQ23" s="13">
        <f t="shared" si="22"/>
        <v>1</v>
      </c>
      <c r="AR23" s="13">
        <f t="shared" si="23"/>
        <v>1</v>
      </c>
      <c r="AS23" s="13">
        <f t="shared" si="24"/>
        <v>1</v>
      </c>
      <c r="AT23" s="13">
        <f t="shared" si="25"/>
        <v>1</v>
      </c>
      <c r="AU23" s="13">
        <f t="shared" si="26"/>
        <v>10</v>
      </c>
    </row>
    <row r="24" spans="1:47" ht="25.5" x14ac:dyDescent="0.2">
      <c r="A24" s="1" t="s">
        <v>47</v>
      </c>
      <c r="B24" s="11" t="s">
        <v>26</v>
      </c>
      <c r="C24" s="13">
        <f t="shared" si="0"/>
        <v>0.4</v>
      </c>
      <c r="D24" s="13">
        <f t="shared" si="1"/>
        <v>1</v>
      </c>
      <c r="E24" s="16">
        <v>1</v>
      </c>
      <c r="F24" s="16">
        <v>100</v>
      </c>
      <c r="G24" s="16">
        <v>1</v>
      </c>
      <c r="H24" s="13">
        <f t="shared" si="2"/>
        <v>30</v>
      </c>
      <c r="I24" s="13">
        <f t="shared" si="3"/>
        <v>0.3</v>
      </c>
      <c r="J24" s="13">
        <f t="shared" si="4"/>
        <v>0.3</v>
      </c>
      <c r="K24" s="16">
        <v>1</v>
      </c>
      <c r="L24" s="16">
        <v>0</v>
      </c>
      <c r="M24" s="16">
        <v>0</v>
      </c>
      <c r="N24" s="13">
        <f t="shared" si="5"/>
        <v>30</v>
      </c>
      <c r="O24" s="13">
        <f t="shared" si="6"/>
        <v>0</v>
      </c>
      <c r="P24" s="13">
        <f t="shared" si="7"/>
        <v>0</v>
      </c>
      <c r="Q24" s="16">
        <v>1</v>
      </c>
      <c r="R24" s="16">
        <v>0</v>
      </c>
      <c r="S24" s="16">
        <v>0</v>
      </c>
      <c r="T24" s="13">
        <f t="shared" si="8"/>
        <v>10</v>
      </c>
      <c r="U24" s="13">
        <f t="shared" si="9"/>
        <v>0</v>
      </c>
      <c r="V24" s="13">
        <f t="shared" si="10"/>
        <v>0</v>
      </c>
      <c r="W24" s="16">
        <v>1</v>
      </c>
      <c r="X24" s="16">
        <v>100</v>
      </c>
      <c r="Y24" s="16">
        <v>1</v>
      </c>
      <c r="Z24" s="13">
        <f t="shared" si="11"/>
        <v>10</v>
      </c>
      <c r="AA24" s="13">
        <f t="shared" si="12"/>
        <v>0.1</v>
      </c>
      <c r="AB24" s="13">
        <f t="shared" si="13"/>
        <v>0.1</v>
      </c>
      <c r="AC24" s="16">
        <v>1</v>
      </c>
      <c r="AD24" s="16">
        <v>0</v>
      </c>
      <c r="AE24" s="16">
        <v>0</v>
      </c>
      <c r="AF24" s="13">
        <f t="shared" si="14"/>
        <v>10</v>
      </c>
      <c r="AG24" s="13">
        <f t="shared" si="15"/>
        <v>0</v>
      </c>
      <c r="AH24" s="13">
        <f t="shared" si="16"/>
        <v>0</v>
      </c>
      <c r="AI24" s="16">
        <v>1</v>
      </c>
      <c r="AJ24" s="16">
        <v>0</v>
      </c>
      <c r="AK24" s="16">
        <v>0</v>
      </c>
      <c r="AL24" s="13">
        <f t="shared" si="17"/>
        <v>10</v>
      </c>
      <c r="AM24" s="13">
        <f t="shared" si="18"/>
        <v>0</v>
      </c>
      <c r="AN24" s="13">
        <f t="shared" si="19"/>
        <v>0</v>
      </c>
      <c r="AO24" s="13">
        <f t="shared" si="20"/>
        <v>3</v>
      </c>
      <c r="AP24" s="13">
        <f t="shared" si="21"/>
        <v>3</v>
      </c>
      <c r="AQ24" s="13">
        <f t="shared" si="22"/>
        <v>1</v>
      </c>
      <c r="AR24" s="13">
        <f t="shared" si="23"/>
        <v>1</v>
      </c>
      <c r="AS24" s="13">
        <f t="shared" si="24"/>
        <v>1</v>
      </c>
      <c r="AT24" s="13">
        <f t="shared" si="25"/>
        <v>1</v>
      </c>
      <c r="AU24" s="13">
        <f t="shared" si="26"/>
        <v>10</v>
      </c>
    </row>
    <row r="25" spans="1:47" ht="25.5" x14ac:dyDescent="0.2">
      <c r="A25" s="1" t="s">
        <v>48</v>
      </c>
      <c r="B25" s="11" t="s">
        <v>27</v>
      </c>
      <c r="C25" s="13">
        <f t="shared" si="0"/>
        <v>0.1</v>
      </c>
      <c r="D25" s="13">
        <f t="shared" si="1"/>
        <v>1</v>
      </c>
      <c r="E25" s="16">
        <v>1</v>
      </c>
      <c r="F25" s="16">
        <v>0</v>
      </c>
      <c r="G25" s="16">
        <v>0</v>
      </c>
      <c r="H25" s="13">
        <f t="shared" si="2"/>
        <v>30</v>
      </c>
      <c r="I25" s="13">
        <f t="shared" si="3"/>
        <v>0</v>
      </c>
      <c r="J25" s="13">
        <f t="shared" si="4"/>
        <v>0</v>
      </c>
      <c r="K25" s="16">
        <v>1</v>
      </c>
      <c r="L25" s="16">
        <v>0</v>
      </c>
      <c r="M25" s="16">
        <v>0</v>
      </c>
      <c r="N25" s="13">
        <f t="shared" si="5"/>
        <v>30</v>
      </c>
      <c r="O25" s="13">
        <f t="shared" si="6"/>
        <v>0</v>
      </c>
      <c r="P25" s="13">
        <f t="shared" si="7"/>
        <v>0</v>
      </c>
      <c r="Q25" s="16">
        <v>1</v>
      </c>
      <c r="R25" s="16">
        <v>0</v>
      </c>
      <c r="S25" s="16">
        <v>0</v>
      </c>
      <c r="T25" s="13">
        <f t="shared" si="8"/>
        <v>10</v>
      </c>
      <c r="U25" s="13">
        <f t="shared" si="9"/>
        <v>0</v>
      </c>
      <c r="V25" s="13">
        <f t="shared" si="10"/>
        <v>0</v>
      </c>
      <c r="W25" s="16">
        <v>1</v>
      </c>
      <c r="X25" s="16">
        <v>100</v>
      </c>
      <c r="Y25" s="16">
        <v>1</v>
      </c>
      <c r="Z25" s="13">
        <f t="shared" si="11"/>
        <v>10</v>
      </c>
      <c r="AA25" s="13">
        <f t="shared" si="12"/>
        <v>0.1</v>
      </c>
      <c r="AB25" s="13">
        <f t="shared" si="13"/>
        <v>0.1</v>
      </c>
      <c r="AC25" s="16">
        <v>1</v>
      </c>
      <c r="AD25" s="16">
        <v>0</v>
      </c>
      <c r="AE25" s="16">
        <v>0</v>
      </c>
      <c r="AF25" s="13">
        <f t="shared" si="14"/>
        <v>10</v>
      </c>
      <c r="AG25" s="13">
        <f t="shared" si="15"/>
        <v>0</v>
      </c>
      <c r="AH25" s="13">
        <f t="shared" si="16"/>
        <v>0</v>
      </c>
      <c r="AI25" s="16">
        <v>1</v>
      </c>
      <c r="AJ25" s="16">
        <v>0</v>
      </c>
      <c r="AK25" s="16">
        <v>0</v>
      </c>
      <c r="AL25" s="13">
        <f t="shared" si="17"/>
        <v>10</v>
      </c>
      <c r="AM25" s="13">
        <f t="shared" si="18"/>
        <v>0</v>
      </c>
      <c r="AN25" s="13">
        <f t="shared" si="19"/>
        <v>0</v>
      </c>
      <c r="AO25" s="13">
        <f t="shared" si="20"/>
        <v>3</v>
      </c>
      <c r="AP25" s="13">
        <f t="shared" si="21"/>
        <v>3</v>
      </c>
      <c r="AQ25" s="13">
        <f t="shared" si="22"/>
        <v>1</v>
      </c>
      <c r="AR25" s="13">
        <f t="shared" si="23"/>
        <v>1</v>
      </c>
      <c r="AS25" s="13">
        <f t="shared" si="24"/>
        <v>1</v>
      </c>
      <c r="AT25" s="13">
        <f t="shared" si="25"/>
        <v>1</v>
      </c>
      <c r="AU25" s="13">
        <f t="shared" si="26"/>
        <v>10</v>
      </c>
    </row>
    <row r="26" spans="1:47" x14ac:dyDescent="0.2">
      <c r="A26" s="1" t="s">
        <v>49</v>
      </c>
      <c r="B26" s="11" t="s">
        <v>28</v>
      </c>
      <c r="C26" s="13">
        <f t="shared" si="0"/>
        <v>0.1</v>
      </c>
      <c r="D26" s="13">
        <f t="shared" si="1"/>
        <v>1</v>
      </c>
      <c r="E26" s="16">
        <v>1</v>
      </c>
      <c r="F26" s="16">
        <v>0</v>
      </c>
      <c r="G26" s="16">
        <v>0</v>
      </c>
      <c r="H26" s="13">
        <f t="shared" si="2"/>
        <v>30</v>
      </c>
      <c r="I26" s="13">
        <f t="shared" si="3"/>
        <v>0</v>
      </c>
      <c r="J26" s="13">
        <f t="shared" si="4"/>
        <v>0</v>
      </c>
      <c r="K26" s="16">
        <v>1</v>
      </c>
      <c r="L26" s="16">
        <v>0</v>
      </c>
      <c r="M26" s="16">
        <v>0</v>
      </c>
      <c r="N26" s="13">
        <f t="shared" si="5"/>
        <v>30</v>
      </c>
      <c r="O26" s="13">
        <f t="shared" si="6"/>
        <v>0</v>
      </c>
      <c r="P26" s="13">
        <f t="shared" si="7"/>
        <v>0</v>
      </c>
      <c r="Q26" s="16">
        <v>1</v>
      </c>
      <c r="R26" s="16">
        <v>0</v>
      </c>
      <c r="S26" s="16">
        <v>0</v>
      </c>
      <c r="T26" s="13">
        <f t="shared" si="8"/>
        <v>10</v>
      </c>
      <c r="U26" s="13">
        <f t="shared" si="9"/>
        <v>0</v>
      </c>
      <c r="V26" s="13">
        <f t="shared" si="10"/>
        <v>0</v>
      </c>
      <c r="W26" s="16">
        <v>1</v>
      </c>
      <c r="X26" s="16">
        <v>100</v>
      </c>
      <c r="Y26" s="16">
        <v>1</v>
      </c>
      <c r="Z26" s="13">
        <f t="shared" si="11"/>
        <v>10</v>
      </c>
      <c r="AA26" s="13">
        <f t="shared" si="12"/>
        <v>0.1</v>
      </c>
      <c r="AB26" s="13">
        <f t="shared" si="13"/>
        <v>0.1</v>
      </c>
      <c r="AC26" s="16">
        <v>1</v>
      </c>
      <c r="AD26" s="16">
        <v>0</v>
      </c>
      <c r="AE26" s="16">
        <v>0</v>
      </c>
      <c r="AF26" s="13">
        <f t="shared" si="14"/>
        <v>10</v>
      </c>
      <c r="AG26" s="13">
        <f t="shared" si="15"/>
        <v>0</v>
      </c>
      <c r="AH26" s="13">
        <f t="shared" si="16"/>
        <v>0</v>
      </c>
      <c r="AI26" s="16">
        <v>1</v>
      </c>
      <c r="AJ26" s="16">
        <v>0</v>
      </c>
      <c r="AK26" s="16">
        <v>0</v>
      </c>
      <c r="AL26" s="13">
        <f t="shared" si="17"/>
        <v>10</v>
      </c>
      <c r="AM26" s="13">
        <f t="shared" si="18"/>
        <v>0</v>
      </c>
      <c r="AN26" s="13">
        <f t="shared" si="19"/>
        <v>0</v>
      </c>
      <c r="AO26" s="13">
        <f t="shared" si="20"/>
        <v>3</v>
      </c>
      <c r="AP26" s="13">
        <f t="shared" si="21"/>
        <v>3</v>
      </c>
      <c r="AQ26" s="13">
        <f t="shared" si="22"/>
        <v>1</v>
      </c>
      <c r="AR26" s="13">
        <f t="shared" si="23"/>
        <v>1</v>
      </c>
      <c r="AS26" s="13">
        <f t="shared" si="24"/>
        <v>1</v>
      </c>
      <c r="AT26" s="13">
        <f t="shared" si="25"/>
        <v>1</v>
      </c>
      <c r="AU26" s="13">
        <f t="shared" si="26"/>
        <v>10</v>
      </c>
    </row>
    <row r="27" spans="1:47" ht="25.5" x14ac:dyDescent="0.2">
      <c r="A27" s="1" t="s">
        <v>150</v>
      </c>
      <c r="B27" s="11" t="s">
        <v>147</v>
      </c>
      <c r="C27" s="13">
        <f t="shared" si="0"/>
        <v>0.7</v>
      </c>
      <c r="D27" s="13">
        <f t="shared" si="1"/>
        <v>1</v>
      </c>
      <c r="E27" s="16">
        <v>1</v>
      </c>
      <c r="F27" s="16">
        <v>100</v>
      </c>
      <c r="G27" s="16">
        <v>1</v>
      </c>
      <c r="H27" s="13">
        <f t="shared" si="2"/>
        <v>30</v>
      </c>
      <c r="I27" s="13">
        <f t="shared" si="3"/>
        <v>0.3</v>
      </c>
      <c r="J27" s="13">
        <f t="shared" si="4"/>
        <v>0.3</v>
      </c>
      <c r="K27" s="16">
        <v>1</v>
      </c>
      <c r="L27" s="16">
        <v>1</v>
      </c>
      <c r="M27" s="16">
        <v>1</v>
      </c>
      <c r="N27" s="13">
        <f t="shared" si="5"/>
        <v>30</v>
      </c>
      <c r="O27" s="13">
        <f t="shared" si="6"/>
        <v>0.3</v>
      </c>
      <c r="P27" s="13">
        <f t="shared" si="7"/>
        <v>0.3</v>
      </c>
      <c r="Q27" s="16">
        <v>1</v>
      </c>
      <c r="R27" s="16">
        <v>0</v>
      </c>
      <c r="S27" s="16">
        <v>0</v>
      </c>
      <c r="T27" s="13">
        <f t="shared" si="8"/>
        <v>10</v>
      </c>
      <c r="U27" s="13">
        <f t="shared" si="9"/>
        <v>0</v>
      </c>
      <c r="V27" s="13">
        <f t="shared" si="10"/>
        <v>0</v>
      </c>
      <c r="W27" s="16">
        <v>1</v>
      </c>
      <c r="X27" s="16">
        <v>100</v>
      </c>
      <c r="Y27" s="16">
        <v>1</v>
      </c>
      <c r="Z27" s="13">
        <f t="shared" si="11"/>
        <v>10</v>
      </c>
      <c r="AA27" s="13">
        <f t="shared" si="12"/>
        <v>0.1</v>
      </c>
      <c r="AB27" s="13">
        <f t="shared" si="13"/>
        <v>0.1</v>
      </c>
      <c r="AC27" s="16">
        <v>1</v>
      </c>
      <c r="AD27" s="16">
        <v>0</v>
      </c>
      <c r="AE27" s="16">
        <v>0</v>
      </c>
      <c r="AF27" s="13">
        <f t="shared" si="14"/>
        <v>10</v>
      </c>
      <c r="AG27" s="13">
        <f t="shared" si="15"/>
        <v>0</v>
      </c>
      <c r="AH27" s="13">
        <f t="shared" si="16"/>
        <v>0</v>
      </c>
      <c r="AI27" s="16">
        <v>1</v>
      </c>
      <c r="AJ27" s="16">
        <v>0</v>
      </c>
      <c r="AK27" s="16">
        <v>0</v>
      </c>
      <c r="AL27" s="13">
        <f t="shared" si="17"/>
        <v>10</v>
      </c>
      <c r="AM27" s="13">
        <f t="shared" si="18"/>
        <v>0</v>
      </c>
      <c r="AN27" s="13">
        <f t="shared" si="19"/>
        <v>0</v>
      </c>
      <c r="AO27" s="13">
        <f t="shared" si="20"/>
        <v>3</v>
      </c>
      <c r="AP27" s="13">
        <f t="shared" si="21"/>
        <v>3</v>
      </c>
      <c r="AQ27" s="13">
        <f t="shared" si="22"/>
        <v>1</v>
      </c>
      <c r="AR27" s="13">
        <f t="shared" si="23"/>
        <v>1</v>
      </c>
      <c r="AS27" s="13">
        <f t="shared" si="24"/>
        <v>1</v>
      </c>
      <c r="AT27" s="13">
        <f t="shared" si="25"/>
        <v>1</v>
      </c>
      <c r="AU27" s="13">
        <f t="shared" si="26"/>
        <v>10</v>
      </c>
    </row>
    <row r="28" spans="1:47" x14ac:dyDescent="0.2">
      <c r="A28" s="1" t="s">
        <v>50</v>
      </c>
      <c r="B28" s="11" t="s">
        <v>29</v>
      </c>
      <c r="C28" s="13">
        <f t="shared" si="0"/>
        <v>0.3</v>
      </c>
      <c r="D28" s="13">
        <f t="shared" si="1"/>
        <v>1</v>
      </c>
      <c r="E28" s="16">
        <v>1</v>
      </c>
      <c r="F28" s="16">
        <v>0</v>
      </c>
      <c r="G28" s="16">
        <v>0</v>
      </c>
      <c r="H28" s="13">
        <f t="shared" si="2"/>
        <v>30</v>
      </c>
      <c r="I28" s="13">
        <f t="shared" si="3"/>
        <v>0</v>
      </c>
      <c r="J28" s="13">
        <f t="shared" si="4"/>
        <v>0</v>
      </c>
      <c r="K28" s="16">
        <v>1</v>
      </c>
      <c r="L28" s="16">
        <v>1</v>
      </c>
      <c r="M28" s="16">
        <v>1</v>
      </c>
      <c r="N28" s="13">
        <f t="shared" si="5"/>
        <v>30</v>
      </c>
      <c r="O28" s="13">
        <f t="shared" si="6"/>
        <v>0.3</v>
      </c>
      <c r="P28" s="13">
        <f t="shared" si="7"/>
        <v>0.3</v>
      </c>
      <c r="Q28" s="16">
        <v>1</v>
      </c>
      <c r="R28" s="16">
        <v>0</v>
      </c>
      <c r="S28" s="16">
        <v>0</v>
      </c>
      <c r="T28" s="13">
        <f t="shared" si="8"/>
        <v>10</v>
      </c>
      <c r="U28" s="13">
        <f t="shared" si="9"/>
        <v>0</v>
      </c>
      <c r="V28" s="13">
        <f t="shared" si="10"/>
        <v>0</v>
      </c>
      <c r="W28" s="16">
        <v>1</v>
      </c>
      <c r="X28" s="16">
        <v>0</v>
      </c>
      <c r="Y28" s="16">
        <v>0</v>
      </c>
      <c r="Z28" s="13">
        <f t="shared" si="11"/>
        <v>10</v>
      </c>
      <c r="AA28" s="13">
        <f t="shared" si="12"/>
        <v>0</v>
      </c>
      <c r="AB28" s="13">
        <f t="shared" si="13"/>
        <v>0</v>
      </c>
      <c r="AC28" s="16">
        <v>1</v>
      </c>
      <c r="AD28" s="16">
        <v>0</v>
      </c>
      <c r="AE28" s="16">
        <v>0</v>
      </c>
      <c r="AF28" s="13">
        <f t="shared" si="14"/>
        <v>10</v>
      </c>
      <c r="AG28" s="13">
        <f t="shared" si="15"/>
        <v>0</v>
      </c>
      <c r="AH28" s="13">
        <f t="shared" si="16"/>
        <v>0</v>
      </c>
      <c r="AI28" s="16">
        <v>1</v>
      </c>
      <c r="AJ28" s="16">
        <v>0</v>
      </c>
      <c r="AK28" s="16">
        <v>0</v>
      </c>
      <c r="AL28" s="13">
        <f t="shared" si="17"/>
        <v>10</v>
      </c>
      <c r="AM28" s="13">
        <f t="shared" si="18"/>
        <v>0</v>
      </c>
      <c r="AN28" s="13">
        <f t="shared" si="19"/>
        <v>0</v>
      </c>
      <c r="AO28" s="13">
        <f t="shared" si="20"/>
        <v>3</v>
      </c>
      <c r="AP28" s="13">
        <f t="shared" si="21"/>
        <v>3</v>
      </c>
      <c r="AQ28" s="13">
        <f t="shared" si="22"/>
        <v>1</v>
      </c>
      <c r="AR28" s="13">
        <f t="shared" si="23"/>
        <v>1</v>
      </c>
      <c r="AS28" s="13">
        <f t="shared" si="24"/>
        <v>1</v>
      </c>
      <c r="AT28" s="13">
        <f t="shared" si="25"/>
        <v>1</v>
      </c>
      <c r="AU28" s="13">
        <f t="shared" si="26"/>
        <v>10</v>
      </c>
    </row>
    <row r="29" spans="1:47" x14ac:dyDescent="0.2">
      <c r="A29" s="1" t="s">
        <v>51</v>
      </c>
      <c r="B29" s="11" t="s">
        <v>30</v>
      </c>
      <c r="C29" s="13">
        <f t="shared" si="0"/>
        <v>0.79999999999999993</v>
      </c>
      <c r="D29" s="13">
        <f t="shared" si="1"/>
        <v>1</v>
      </c>
      <c r="E29" s="16">
        <v>1</v>
      </c>
      <c r="F29" s="16">
        <v>100</v>
      </c>
      <c r="G29" s="16">
        <v>1</v>
      </c>
      <c r="H29" s="13">
        <f t="shared" si="2"/>
        <v>30</v>
      </c>
      <c r="I29" s="13">
        <f t="shared" si="3"/>
        <v>0.3</v>
      </c>
      <c r="J29" s="13">
        <f t="shared" si="4"/>
        <v>0.3</v>
      </c>
      <c r="K29" s="16">
        <v>1</v>
      </c>
      <c r="L29" s="16">
        <v>1</v>
      </c>
      <c r="M29" s="16">
        <v>1</v>
      </c>
      <c r="N29" s="13">
        <f t="shared" si="5"/>
        <v>30</v>
      </c>
      <c r="O29" s="13">
        <f t="shared" si="6"/>
        <v>0.3</v>
      </c>
      <c r="P29" s="13">
        <f t="shared" si="7"/>
        <v>0.3</v>
      </c>
      <c r="Q29" s="16">
        <v>1</v>
      </c>
      <c r="R29" s="16">
        <v>0</v>
      </c>
      <c r="S29" s="16">
        <v>0</v>
      </c>
      <c r="T29" s="13">
        <f t="shared" si="8"/>
        <v>10</v>
      </c>
      <c r="U29" s="13">
        <f t="shared" si="9"/>
        <v>0</v>
      </c>
      <c r="V29" s="13">
        <f t="shared" si="10"/>
        <v>0</v>
      </c>
      <c r="W29" s="16">
        <v>1</v>
      </c>
      <c r="X29" s="16">
        <v>100</v>
      </c>
      <c r="Y29" s="16">
        <v>1</v>
      </c>
      <c r="Z29" s="13">
        <f t="shared" si="11"/>
        <v>10</v>
      </c>
      <c r="AA29" s="13">
        <f t="shared" si="12"/>
        <v>0.1</v>
      </c>
      <c r="AB29" s="13">
        <f t="shared" si="13"/>
        <v>0.1</v>
      </c>
      <c r="AC29" s="16">
        <v>1</v>
      </c>
      <c r="AD29" s="16">
        <v>1</v>
      </c>
      <c r="AE29" s="16">
        <v>1</v>
      </c>
      <c r="AF29" s="13">
        <f t="shared" si="14"/>
        <v>10</v>
      </c>
      <c r="AG29" s="13">
        <f t="shared" si="15"/>
        <v>0.1</v>
      </c>
      <c r="AH29" s="13">
        <f t="shared" si="16"/>
        <v>0.1</v>
      </c>
      <c r="AI29" s="16">
        <v>1</v>
      </c>
      <c r="AJ29" s="16">
        <v>0</v>
      </c>
      <c r="AK29" s="16">
        <v>0</v>
      </c>
      <c r="AL29" s="13">
        <f t="shared" si="17"/>
        <v>10</v>
      </c>
      <c r="AM29" s="13">
        <f t="shared" si="18"/>
        <v>0</v>
      </c>
      <c r="AN29" s="13">
        <f t="shared" si="19"/>
        <v>0</v>
      </c>
      <c r="AO29" s="13">
        <f t="shared" si="20"/>
        <v>3</v>
      </c>
      <c r="AP29" s="13">
        <f t="shared" si="21"/>
        <v>3</v>
      </c>
      <c r="AQ29" s="13">
        <f t="shared" si="22"/>
        <v>1</v>
      </c>
      <c r="AR29" s="13">
        <f t="shared" si="23"/>
        <v>1</v>
      </c>
      <c r="AS29" s="13">
        <f t="shared" si="24"/>
        <v>1</v>
      </c>
      <c r="AT29" s="13">
        <f t="shared" si="25"/>
        <v>1</v>
      </c>
      <c r="AU29" s="13">
        <f t="shared" si="26"/>
        <v>10</v>
      </c>
    </row>
    <row r="30" spans="1:47" ht="25.5" x14ac:dyDescent="0.2">
      <c r="A30" s="1" t="s">
        <v>52</v>
      </c>
      <c r="B30" s="11" t="s">
        <v>31</v>
      </c>
      <c r="C30" s="13">
        <f t="shared" si="0"/>
        <v>0.7</v>
      </c>
      <c r="D30" s="13">
        <f t="shared" si="1"/>
        <v>1</v>
      </c>
      <c r="E30" s="16">
        <v>1</v>
      </c>
      <c r="F30" s="16">
        <v>100</v>
      </c>
      <c r="G30" s="16">
        <v>1</v>
      </c>
      <c r="H30" s="13">
        <f t="shared" si="2"/>
        <v>30</v>
      </c>
      <c r="I30" s="13">
        <f t="shared" si="3"/>
        <v>0.3</v>
      </c>
      <c r="J30" s="13">
        <f t="shared" si="4"/>
        <v>0.3</v>
      </c>
      <c r="K30" s="16">
        <v>1</v>
      </c>
      <c r="L30" s="16">
        <v>1</v>
      </c>
      <c r="M30" s="16">
        <v>1</v>
      </c>
      <c r="N30" s="13">
        <f t="shared" si="5"/>
        <v>30</v>
      </c>
      <c r="O30" s="13">
        <f t="shared" si="6"/>
        <v>0.3</v>
      </c>
      <c r="P30" s="13">
        <f t="shared" si="7"/>
        <v>0.3</v>
      </c>
      <c r="Q30" s="16">
        <v>1</v>
      </c>
      <c r="R30" s="16">
        <v>0</v>
      </c>
      <c r="S30" s="16">
        <v>0</v>
      </c>
      <c r="T30" s="13">
        <f t="shared" si="8"/>
        <v>10</v>
      </c>
      <c r="U30" s="13">
        <f t="shared" si="9"/>
        <v>0</v>
      </c>
      <c r="V30" s="13">
        <f t="shared" si="10"/>
        <v>0</v>
      </c>
      <c r="W30" s="16">
        <v>1</v>
      </c>
      <c r="X30" s="16">
        <v>54.902000000000001</v>
      </c>
      <c r="Y30" s="16">
        <v>1</v>
      </c>
      <c r="Z30" s="13">
        <f t="shared" si="11"/>
        <v>10</v>
      </c>
      <c r="AA30" s="13">
        <f t="shared" si="12"/>
        <v>0.1</v>
      </c>
      <c r="AB30" s="13">
        <f t="shared" si="13"/>
        <v>0.1</v>
      </c>
      <c r="AC30" s="16">
        <v>1</v>
      </c>
      <c r="AD30" s="16">
        <v>0</v>
      </c>
      <c r="AE30" s="16">
        <v>0</v>
      </c>
      <c r="AF30" s="13">
        <f t="shared" si="14"/>
        <v>10</v>
      </c>
      <c r="AG30" s="13">
        <f t="shared" si="15"/>
        <v>0</v>
      </c>
      <c r="AH30" s="13">
        <f t="shared" si="16"/>
        <v>0</v>
      </c>
      <c r="AI30" s="16">
        <v>1</v>
      </c>
      <c r="AJ30" s="16">
        <v>0</v>
      </c>
      <c r="AK30" s="16">
        <v>0</v>
      </c>
      <c r="AL30" s="13">
        <f t="shared" si="17"/>
        <v>10</v>
      </c>
      <c r="AM30" s="13">
        <f t="shared" si="18"/>
        <v>0</v>
      </c>
      <c r="AN30" s="13">
        <f t="shared" si="19"/>
        <v>0</v>
      </c>
      <c r="AO30" s="13">
        <f t="shared" si="20"/>
        <v>3</v>
      </c>
      <c r="AP30" s="13">
        <f t="shared" si="21"/>
        <v>3</v>
      </c>
      <c r="AQ30" s="13">
        <f t="shared" si="22"/>
        <v>1</v>
      </c>
      <c r="AR30" s="13">
        <f t="shared" si="23"/>
        <v>1</v>
      </c>
      <c r="AS30" s="13">
        <f t="shared" si="24"/>
        <v>1</v>
      </c>
      <c r="AT30" s="13">
        <f t="shared" si="25"/>
        <v>1</v>
      </c>
      <c r="AU30" s="13">
        <f t="shared" si="26"/>
        <v>10</v>
      </c>
    </row>
    <row r="31" spans="1:47" ht="25.5" x14ac:dyDescent="0.2">
      <c r="A31" s="1" t="s">
        <v>53</v>
      </c>
      <c r="B31" s="11" t="s">
        <v>32</v>
      </c>
      <c r="C31" s="13">
        <f t="shared" si="0"/>
        <v>0.87499999999999989</v>
      </c>
      <c r="D31" s="13">
        <f t="shared" si="1"/>
        <v>1</v>
      </c>
      <c r="E31" s="16">
        <v>1</v>
      </c>
      <c r="F31" s="16">
        <v>100</v>
      </c>
      <c r="G31" s="16">
        <v>1</v>
      </c>
      <c r="H31" s="13">
        <f t="shared" si="2"/>
        <v>30</v>
      </c>
      <c r="I31" s="13">
        <f t="shared" si="3"/>
        <v>0.3</v>
      </c>
      <c r="J31" s="13">
        <f t="shared" si="4"/>
        <v>0.3</v>
      </c>
      <c r="K31" s="16">
        <v>1</v>
      </c>
      <c r="L31" s="16">
        <v>1</v>
      </c>
      <c r="M31" s="16">
        <v>1</v>
      </c>
      <c r="N31" s="13">
        <f t="shared" si="5"/>
        <v>30</v>
      </c>
      <c r="O31" s="13">
        <f t="shared" si="6"/>
        <v>0.3</v>
      </c>
      <c r="P31" s="13">
        <f t="shared" si="7"/>
        <v>0.3</v>
      </c>
      <c r="Q31" s="16">
        <v>1</v>
      </c>
      <c r="R31" s="16">
        <v>1</v>
      </c>
      <c r="S31" s="16">
        <v>1</v>
      </c>
      <c r="T31" s="13">
        <f t="shared" si="8"/>
        <v>10</v>
      </c>
      <c r="U31" s="13">
        <f t="shared" si="9"/>
        <v>0.1</v>
      </c>
      <c r="V31" s="13">
        <f t="shared" si="10"/>
        <v>0.1</v>
      </c>
      <c r="W31" s="16">
        <v>1</v>
      </c>
      <c r="X31" s="16">
        <v>37.5</v>
      </c>
      <c r="Y31" s="16">
        <v>0.75</v>
      </c>
      <c r="Z31" s="13">
        <f t="shared" si="11"/>
        <v>10</v>
      </c>
      <c r="AA31" s="13">
        <f t="shared" si="12"/>
        <v>7.4999999999999997E-2</v>
      </c>
      <c r="AB31" s="13">
        <f t="shared" si="13"/>
        <v>7.4999999999999997E-2</v>
      </c>
      <c r="AC31" s="16">
        <v>1</v>
      </c>
      <c r="AD31" s="16">
        <v>1</v>
      </c>
      <c r="AE31" s="16">
        <v>1</v>
      </c>
      <c r="AF31" s="13">
        <f t="shared" si="14"/>
        <v>10</v>
      </c>
      <c r="AG31" s="13">
        <f t="shared" si="15"/>
        <v>0.1</v>
      </c>
      <c r="AH31" s="13">
        <f t="shared" si="16"/>
        <v>0.1</v>
      </c>
      <c r="AI31" s="16">
        <v>1</v>
      </c>
      <c r="AJ31" s="16">
        <v>0</v>
      </c>
      <c r="AK31" s="16">
        <v>0</v>
      </c>
      <c r="AL31" s="13">
        <f t="shared" si="17"/>
        <v>10</v>
      </c>
      <c r="AM31" s="13">
        <f t="shared" si="18"/>
        <v>0</v>
      </c>
      <c r="AN31" s="13">
        <f t="shared" si="19"/>
        <v>0</v>
      </c>
      <c r="AO31" s="13">
        <f t="shared" si="20"/>
        <v>3</v>
      </c>
      <c r="AP31" s="13">
        <f t="shared" si="21"/>
        <v>3</v>
      </c>
      <c r="AQ31" s="13">
        <f t="shared" si="22"/>
        <v>1</v>
      </c>
      <c r="AR31" s="13">
        <f t="shared" si="23"/>
        <v>1</v>
      </c>
      <c r="AS31" s="13">
        <f t="shared" si="24"/>
        <v>1</v>
      </c>
      <c r="AT31" s="13">
        <f t="shared" si="25"/>
        <v>1</v>
      </c>
      <c r="AU31" s="13">
        <f t="shared" si="26"/>
        <v>10</v>
      </c>
    </row>
    <row r="32" spans="1:47" x14ac:dyDescent="0.2">
      <c r="A32" s="1" t="s">
        <v>54</v>
      </c>
      <c r="B32" s="11" t="s">
        <v>33</v>
      </c>
      <c r="C32" s="13">
        <f t="shared" si="0"/>
        <v>0.7</v>
      </c>
      <c r="D32" s="13">
        <f t="shared" si="1"/>
        <v>1</v>
      </c>
      <c r="E32" s="16">
        <v>1</v>
      </c>
      <c r="F32" s="16">
        <v>100</v>
      </c>
      <c r="G32" s="16">
        <v>1</v>
      </c>
      <c r="H32" s="13">
        <f t="shared" si="2"/>
        <v>30</v>
      </c>
      <c r="I32" s="13">
        <f t="shared" si="3"/>
        <v>0.3</v>
      </c>
      <c r="J32" s="13">
        <f t="shared" si="4"/>
        <v>0.3</v>
      </c>
      <c r="K32" s="16">
        <v>1</v>
      </c>
      <c r="L32" s="16">
        <v>1</v>
      </c>
      <c r="M32" s="16">
        <v>1</v>
      </c>
      <c r="N32" s="13">
        <f t="shared" si="5"/>
        <v>30</v>
      </c>
      <c r="O32" s="13">
        <f t="shared" si="6"/>
        <v>0.3</v>
      </c>
      <c r="P32" s="13">
        <f t="shared" si="7"/>
        <v>0.3</v>
      </c>
      <c r="Q32" s="16">
        <v>1</v>
      </c>
      <c r="R32" s="16">
        <v>0</v>
      </c>
      <c r="S32" s="16">
        <v>0</v>
      </c>
      <c r="T32" s="13">
        <f t="shared" si="8"/>
        <v>10</v>
      </c>
      <c r="U32" s="13">
        <f t="shared" si="9"/>
        <v>0</v>
      </c>
      <c r="V32" s="13">
        <f t="shared" si="10"/>
        <v>0</v>
      </c>
      <c r="W32" s="16">
        <v>1</v>
      </c>
      <c r="X32" s="16">
        <v>0</v>
      </c>
      <c r="Y32" s="16">
        <v>0</v>
      </c>
      <c r="Z32" s="13">
        <f t="shared" si="11"/>
        <v>10</v>
      </c>
      <c r="AA32" s="13">
        <f t="shared" si="12"/>
        <v>0</v>
      </c>
      <c r="AB32" s="13">
        <f t="shared" si="13"/>
        <v>0</v>
      </c>
      <c r="AC32" s="16">
        <v>1</v>
      </c>
      <c r="AD32" s="16">
        <v>1</v>
      </c>
      <c r="AE32" s="16">
        <v>1</v>
      </c>
      <c r="AF32" s="13">
        <f t="shared" si="14"/>
        <v>10</v>
      </c>
      <c r="AG32" s="13">
        <f t="shared" si="15"/>
        <v>0.1</v>
      </c>
      <c r="AH32" s="13">
        <f t="shared" si="16"/>
        <v>0.1</v>
      </c>
      <c r="AI32" s="16">
        <v>1</v>
      </c>
      <c r="AJ32" s="16">
        <v>0</v>
      </c>
      <c r="AK32" s="16">
        <v>0</v>
      </c>
      <c r="AL32" s="13">
        <f t="shared" si="17"/>
        <v>10</v>
      </c>
      <c r="AM32" s="13">
        <f t="shared" si="18"/>
        <v>0</v>
      </c>
      <c r="AN32" s="13">
        <f t="shared" si="19"/>
        <v>0</v>
      </c>
      <c r="AO32" s="13">
        <f t="shared" si="20"/>
        <v>3</v>
      </c>
      <c r="AP32" s="13">
        <f t="shared" si="21"/>
        <v>3</v>
      </c>
      <c r="AQ32" s="13">
        <f t="shared" si="22"/>
        <v>1</v>
      </c>
      <c r="AR32" s="13">
        <f t="shared" si="23"/>
        <v>1</v>
      </c>
      <c r="AS32" s="13">
        <f t="shared" si="24"/>
        <v>1</v>
      </c>
      <c r="AT32" s="13">
        <f t="shared" si="25"/>
        <v>1</v>
      </c>
      <c r="AU32" s="13">
        <f t="shared" si="26"/>
        <v>10</v>
      </c>
    </row>
    <row r="33" spans="1:47" x14ac:dyDescent="0.2">
      <c r="A33" s="1" t="s">
        <v>55</v>
      </c>
      <c r="B33" s="11" t="s">
        <v>34</v>
      </c>
      <c r="C33" s="13">
        <f t="shared" si="0"/>
        <v>0.3</v>
      </c>
      <c r="D33" s="13">
        <f t="shared" si="1"/>
        <v>1</v>
      </c>
      <c r="E33" s="16">
        <v>1</v>
      </c>
      <c r="F33" s="16">
        <v>100</v>
      </c>
      <c r="G33" s="16">
        <v>1</v>
      </c>
      <c r="H33" s="13">
        <f t="shared" si="2"/>
        <v>30</v>
      </c>
      <c r="I33" s="13">
        <f t="shared" si="3"/>
        <v>0.3</v>
      </c>
      <c r="J33" s="13">
        <f t="shared" si="4"/>
        <v>0.3</v>
      </c>
      <c r="K33" s="16">
        <v>1</v>
      </c>
      <c r="L33" s="16">
        <v>0</v>
      </c>
      <c r="M33" s="16">
        <v>0</v>
      </c>
      <c r="N33" s="13">
        <f t="shared" si="5"/>
        <v>30</v>
      </c>
      <c r="O33" s="13">
        <f t="shared" si="6"/>
        <v>0</v>
      </c>
      <c r="P33" s="13">
        <f t="shared" si="7"/>
        <v>0</v>
      </c>
      <c r="Q33" s="16">
        <v>1</v>
      </c>
      <c r="R33" s="16">
        <v>0</v>
      </c>
      <c r="S33" s="16">
        <v>0</v>
      </c>
      <c r="T33" s="13">
        <f t="shared" si="8"/>
        <v>10</v>
      </c>
      <c r="U33" s="13">
        <f t="shared" si="9"/>
        <v>0</v>
      </c>
      <c r="V33" s="13">
        <f t="shared" si="10"/>
        <v>0</v>
      </c>
      <c r="W33" s="16">
        <v>1</v>
      </c>
      <c r="X33" s="16">
        <v>0</v>
      </c>
      <c r="Y33" s="16">
        <v>0</v>
      </c>
      <c r="Z33" s="13">
        <f t="shared" si="11"/>
        <v>10</v>
      </c>
      <c r="AA33" s="13">
        <f t="shared" si="12"/>
        <v>0</v>
      </c>
      <c r="AB33" s="13">
        <f t="shared" si="13"/>
        <v>0</v>
      </c>
      <c r="AC33" s="16">
        <v>1</v>
      </c>
      <c r="AD33" s="16">
        <v>0</v>
      </c>
      <c r="AE33" s="16">
        <v>0</v>
      </c>
      <c r="AF33" s="13">
        <f t="shared" si="14"/>
        <v>10</v>
      </c>
      <c r="AG33" s="13">
        <f t="shared" si="15"/>
        <v>0</v>
      </c>
      <c r="AH33" s="13">
        <f t="shared" si="16"/>
        <v>0</v>
      </c>
      <c r="AI33" s="16">
        <v>1</v>
      </c>
      <c r="AJ33" s="16">
        <v>0</v>
      </c>
      <c r="AK33" s="16">
        <v>0</v>
      </c>
      <c r="AL33" s="13">
        <f t="shared" si="17"/>
        <v>10</v>
      </c>
      <c r="AM33" s="13">
        <f t="shared" si="18"/>
        <v>0</v>
      </c>
      <c r="AN33" s="13">
        <f t="shared" si="19"/>
        <v>0</v>
      </c>
      <c r="AO33" s="13">
        <f t="shared" si="20"/>
        <v>3</v>
      </c>
      <c r="AP33" s="13">
        <f t="shared" si="21"/>
        <v>3</v>
      </c>
      <c r="AQ33" s="13">
        <f t="shared" si="22"/>
        <v>1</v>
      </c>
      <c r="AR33" s="13">
        <f t="shared" si="23"/>
        <v>1</v>
      </c>
      <c r="AS33" s="13">
        <f t="shared" si="24"/>
        <v>1</v>
      </c>
      <c r="AT33" s="13">
        <f t="shared" si="25"/>
        <v>1</v>
      </c>
      <c r="AU33" s="13">
        <f t="shared" si="26"/>
        <v>10</v>
      </c>
    </row>
    <row r="34" spans="1:47" x14ac:dyDescent="0.2">
      <c r="A34" s="1" t="s">
        <v>56</v>
      </c>
      <c r="B34" s="11" t="s">
        <v>35</v>
      </c>
      <c r="C34" s="13">
        <f t="shared" si="0"/>
        <v>0.4</v>
      </c>
      <c r="D34" s="13">
        <f t="shared" si="1"/>
        <v>1</v>
      </c>
      <c r="E34" s="16">
        <v>1</v>
      </c>
      <c r="F34" s="16">
        <v>0</v>
      </c>
      <c r="G34" s="16">
        <v>0</v>
      </c>
      <c r="H34" s="13">
        <f t="shared" si="2"/>
        <v>30</v>
      </c>
      <c r="I34" s="13">
        <f t="shared" si="3"/>
        <v>0</v>
      </c>
      <c r="J34" s="13">
        <f t="shared" si="4"/>
        <v>0</v>
      </c>
      <c r="K34" s="16">
        <v>1</v>
      </c>
      <c r="L34" s="16">
        <v>1</v>
      </c>
      <c r="M34" s="16">
        <v>1</v>
      </c>
      <c r="N34" s="13">
        <f t="shared" si="5"/>
        <v>30</v>
      </c>
      <c r="O34" s="13">
        <f t="shared" si="6"/>
        <v>0.3</v>
      </c>
      <c r="P34" s="13">
        <f t="shared" si="7"/>
        <v>0.3</v>
      </c>
      <c r="Q34" s="16">
        <v>1</v>
      </c>
      <c r="R34" s="16">
        <v>0</v>
      </c>
      <c r="S34" s="16">
        <v>0</v>
      </c>
      <c r="T34" s="13">
        <f t="shared" si="8"/>
        <v>10</v>
      </c>
      <c r="U34" s="13">
        <f t="shared" si="9"/>
        <v>0</v>
      </c>
      <c r="V34" s="13">
        <f t="shared" si="10"/>
        <v>0</v>
      </c>
      <c r="W34" s="16">
        <v>1</v>
      </c>
      <c r="X34" s="16">
        <v>100</v>
      </c>
      <c r="Y34" s="16">
        <v>1</v>
      </c>
      <c r="Z34" s="13">
        <f t="shared" si="11"/>
        <v>10</v>
      </c>
      <c r="AA34" s="13">
        <f t="shared" si="12"/>
        <v>0.1</v>
      </c>
      <c r="AB34" s="13">
        <f t="shared" si="13"/>
        <v>0.1</v>
      </c>
      <c r="AC34" s="16">
        <v>1</v>
      </c>
      <c r="AD34" s="16">
        <v>0</v>
      </c>
      <c r="AE34" s="16">
        <v>0</v>
      </c>
      <c r="AF34" s="13">
        <f t="shared" si="14"/>
        <v>10</v>
      </c>
      <c r="AG34" s="13">
        <f t="shared" si="15"/>
        <v>0</v>
      </c>
      <c r="AH34" s="13">
        <f t="shared" si="16"/>
        <v>0</v>
      </c>
      <c r="AI34" s="16">
        <v>1</v>
      </c>
      <c r="AJ34" s="16">
        <v>0</v>
      </c>
      <c r="AK34" s="16">
        <v>0</v>
      </c>
      <c r="AL34" s="13">
        <f t="shared" si="17"/>
        <v>10</v>
      </c>
      <c r="AM34" s="13">
        <f t="shared" si="18"/>
        <v>0</v>
      </c>
      <c r="AN34" s="13">
        <f t="shared" si="19"/>
        <v>0</v>
      </c>
      <c r="AO34" s="13">
        <f t="shared" si="20"/>
        <v>3</v>
      </c>
      <c r="AP34" s="13">
        <f t="shared" si="21"/>
        <v>3</v>
      </c>
      <c r="AQ34" s="13">
        <f t="shared" si="22"/>
        <v>1</v>
      </c>
      <c r="AR34" s="13">
        <f t="shared" si="23"/>
        <v>1</v>
      </c>
      <c r="AS34" s="13">
        <f t="shared" si="24"/>
        <v>1</v>
      </c>
      <c r="AT34" s="13">
        <f t="shared" si="25"/>
        <v>1</v>
      </c>
      <c r="AU34" s="13">
        <f t="shared" si="26"/>
        <v>10</v>
      </c>
    </row>
    <row r="35" spans="1:47" x14ac:dyDescent="0.2">
      <c r="A35" s="1" t="s">
        <v>57</v>
      </c>
      <c r="B35" s="11" t="s">
        <v>36</v>
      </c>
      <c r="C35" s="13">
        <f t="shared" si="0"/>
        <v>0.7</v>
      </c>
      <c r="D35" s="13">
        <f t="shared" si="1"/>
        <v>1</v>
      </c>
      <c r="E35" s="16">
        <v>1</v>
      </c>
      <c r="F35" s="16">
        <v>100</v>
      </c>
      <c r="G35" s="16">
        <v>1</v>
      </c>
      <c r="H35" s="13">
        <f t="shared" si="2"/>
        <v>30</v>
      </c>
      <c r="I35" s="13">
        <f t="shared" si="3"/>
        <v>0.3</v>
      </c>
      <c r="J35" s="13">
        <f t="shared" si="4"/>
        <v>0.3</v>
      </c>
      <c r="K35" s="16">
        <v>1</v>
      </c>
      <c r="L35" s="16">
        <v>1</v>
      </c>
      <c r="M35" s="16">
        <v>1</v>
      </c>
      <c r="N35" s="13">
        <f t="shared" si="5"/>
        <v>30</v>
      </c>
      <c r="O35" s="13">
        <f t="shared" si="6"/>
        <v>0.3</v>
      </c>
      <c r="P35" s="13">
        <f t="shared" si="7"/>
        <v>0.3</v>
      </c>
      <c r="Q35" s="16">
        <v>1</v>
      </c>
      <c r="R35" s="16">
        <v>0</v>
      </c>
      <c r="S35" s="16">
        <v>0</v>
      </c>
      <c r="T35" s="13">
        <f t="shared" si="8"/>
        <v>10</v>
      </c>
      <c r="U35" s="13">
        <f t="shared" si="9"/>
        <v>0</v>
      </c>
      <c r="V35" s="13">
        <f t="shared" si="10"/>
        <v>0</v>
      </c>
      <c r="W35" s="16">
        <v>1</v>
      </c>
      <c r="X35" s="16">
        <v>100</v>
      </c>
      <c r="Y35" s="16">
        <v>1</v>
      </c>
      <c r="Z35" s="13">
        <f t="shared" si="11"/>
        <v>10</v>
      </c>
      <c r="AA35" s="13">
        <f t="shared" si="12"/>
        <v>0.1</v>
      </c>
      <c r="AB35" s="13">
        <f t="shared" si="13"/>
        <v>0.1</v>
      </c>
      <c r="AC35" s="16">
        <v>1</v>
      </c>
      <c r="AD35" s="16">
        <v>0</v>
      </c>
      <c r="AE35" s="16">
        <v>0</v>
      </c>
      <c r="AF35" s="13">
        <f t="shared" si="14"/>
        <v>10</v>
      </c>
      <c r="AG35" s="13">
        <f t="shared" si="15"/>
        <v>0</v>
      </c>
      <c r="AH35" s="13">
        <f t="shared" si="16"/>
        <v>0</v>
      </c>
      <c r="AI35" s="16">
        <v>1</v>
      </c>
      <c r="AJ35" s="16">
        <v>0</v>
      </c>
      <c r="AK35" s="16">
        <v>0</v>
      </c>
      <c r="AL35" s="13">
        <f t="shared" si="17"/>
        <v>10</v>
      </c>
      <c r="AM35" s="13">
        <f t="shared" si="18"/>
        <v>0</v>
      </c>
      <c r="AN35" s="13">
        <f t="shared" si="19"/>
        <v>0</v>
      </c>
      <c r="AO35" s="13">
        <f t="shared" si="20"/>
        <v>3</v>
      </c>
      <c r="AP35" s="13">
        <f t="shared" si="21"/>
        <v>3</v>
      </c>
      <c r="AQ35" s="13">
        <f t="shared" si="22"/>
        <v>1</v>
      </c>
      <c r="AR35" s="13">
        <f t="shared" si="23"/>
        <v>1</v>
      </c>
      <c r="AS35" s="13">
        <f t="shared" si="24"/>
        <v>1</v>
      </c>
      <c r="AT35" s="13">
        <f t="shared" si="25"/>
        <v>1</v>
      </c>
      <c r="AU35" s="13">
        <f t="shared" si="26"/>
        <v>10</v>
      </c>
    </row>
    <row r="36" spans="1:47" ht="25.5" x14ac:dyDescent="0.2">
      <c r="A36" s="1" t="s">
        <v>58</v>
      </c>
      <c r="B36" s="11" t="s">
        <v>37</v>
      </c>
      <c r="C36" s="13">
        <f t="shared" si="0"/>
        <v>0.1</v>
      </c>
      <c r="D36" s="13">
        <f t="shared" si="1"/>
        <v>1</v>
      </c>
      <c r="E36" s="16">
        <v>1</v>
      </c>
      <c r="F36" s="16">
        <v>0</v>
      </c>
      <c r="G36" s="16">
        <v>0</v>
      </c>
      <c r="H36" s="13">
        <f t="shared" si="2"/>
        <v>30</v>
      </c>
      <c r="I36" s="13">
        <f t="shared" si="3"/>
        <v>0</v>
      </c>
      <c r="J36" s="13">
        <f t="shared" si="4"/>
        <v>0</v>
      </c>
      <c r="K36" s="16">
        <v>1</v>
      </c>
      <c r="L36" s="16">
        <v>0</v>
      </c>
      <c r="M36" s="16">
        <v>0</v>
      </c>
      <c r="N36" s="13">
        <f t="shared" si="5"/>
        <v>30</v>
      </c>
      <c r="O36" s="13">
        <f t="shared" si="6"/>
        <v>0</v>
      </c>
      <c r="P36" s="13">
        <f t="shared" si="7"/>
        <v>0</v>
      </c>
      <c r="Q36" s="16">
        <v>1</v>
      </c>
      <c r="R36" s="16">
        <v>0</v>
      </c>
      <c r="S36" s="16">
        <v>0</v>
      </c>
      <c r="T36" s="13">
        <f t="shared" si="8"/>
        <v>10</v>
      </c>
      <c r="U36" s="13">
        <f t="shared" si="9"/>
        <v>0</v>
      </c>
      <c r="V36" s="13">
        <f t="shared" si="10"/>
        <v>0</v>
      </c>
      <c r="W36" s="16">
        <v>1</v>
      </c>
      <c r="X36" s="16">
        <v>100</v>
      </c>
      <c r="Y36" s="16">
        <v>1</v>
      </c>
      <c r="Z36" s="13">
        <f t="shared" si="11"/>
        <v>10</v>
      </c>
      <c r="AA36" s="13">
        <f t="shared" si="12"/>
        <v>0.1</v>
      </c>
      <c r="AB36" s="13">
        <f t="shared" si="13"/>
        <v>0.1</v>
      </c>
      <c r="AC36" s="16">
        <v>1</v>
      </c>
      <c r="AD36" s="16">
        <v>0</v>
      </c>
      <c r="AE36" s="16">
        <v>0</v>
      </c>
      <c r="AF36" s="13">
        <f t="shared" si="14"/>
        <v>10</v>
      </c>
      <c r="AG36" s="13">
        <f t="shared" si="15"/>
        <v>0</v>
      </c>
      <c r="AH36" s="13">
        <f t="shared" si="16"/>
        <v>0</v>
      </c>
      <c r="AI36" s="16">
        <v>1</v>
      </c>
      <c r="AJ36" s="16">
        <v>0</v>
      </c>
      <c r="AK36" s="16">
        <v>0</v>
      </c>
      <c r="AL36" s="13">
        <f t="shared" si="17"/>
        <v>10</v>
      </c>
      <c r="AM36" s="13">
        <f t="shared" si="18"/>
        <v>0</v>
      </c>
      <c r="AN36" s="13">
        <f t="shared" si="19"/>
        <v>0</v>
      </c>
      <c r="AO36" s="13">
        <f t="shared" si="20"/>
        <v>3</v>
      </c>
      <c r="AP36" s="13">
        <f t="shared" si="21"/>
        <v>3</v>
      </c>
      <c r="AQ36" s="13">
        <f t="shared" si="22"/>
        <v>1</v>
      </c>
      <c r="AR36" s="13">
        <f t="shared" si="23"/>
        <v>1</v>
      </c>
      <c r="AS36" s="13">
        <f t="shared" si="24"/>
        <v>1</v>
      </c>
      <c r="AT36" s="13">
        <f t="shared" si="25"/>
        <v>1</v>
      </c>
      <c r="AU36" s="13">
        <f t="shared" si="26"/>
        <v>10</v>
      </c>
    </row>
    <row r="37" spans="1:47" ht="25.5" x14ac:dyDescent="0.2">
      <c r="A37" s="1" t="s">
        <v>59</v>
      </c>
      <c r="B37" s="11" t="s">
        <v>38</v>
      </c>
      <c r="C37" s="13">
        <f t="shared" si="0"/>
        <v>0.6</v>
      </c>
      <c r="D37" s="13">
        <f t="shared" si="1"/>
        <v>1</v>
      </c>
      <c r="E37" s="16">
        <v>1</v>
      </c>
      <c r="F37" s="16">
        <v>100</v>
      </c>
      <c r="G37" s="16">
        <v>1</v>
      </c>
      <c r="H37" s="13">
        <f t="shared" si="2"/>
        <v>30</v>
      </c>
      <c r="I37" s="13">
        <f t="shared" si="3"/>
        <v>0.3</v>
      </c>
      <c r="J37" s="13">
        <f t="shared" si="4"/>
        <v>0.3</v>
      </c>
      <c r="K37" s="16">
        <v>1</v>
      </c>
      <c r="L37" s="16">
        <v>0</v>
      </c>
      <c r="M37" s="16">
        <v>0</v>
      </c>
      <c r="N37" s="13">
        <f t="shared" si="5"/>
        <v>30</v>
      </c>
      <c r="O37" s="13">
        <f t="shared" si="6"/>
        <v>0</v>
      </c>
      <c r="P37" s="13">
        <f t="shared" si="7"/>
        <v>0</v>
      </c>
      <c r="Q37" s="16">
        <v>1</v>
      </c>
      <c r="R37" s="16">
        <v>1</v>
      </c>
      <c r="S37" s="16">
        <v>1</v>
      </c>
      <c r="T37" s="13">
        <f t="shared" si="8"/>
        <v>10</v>
      </c>
      <c r="U37" s="13">
        <f t="shared" si="9"/>
        <v>0.1</v>
      </c>
      <c r="V37" s="13">
        <f t="shared" si="10"/>
        <v>0.1</v>
      </c>
      <c r="W37" s="16">
        <v>1</v>
      </c>
      <c r="X37" s="16">
        <v>100</v>
      </c>
      <c r="Y37" s="16">
        <v>1</v>
      </c>
      <c r="Z37" s="13">
        <f t="shared" si="11"/>
        <v>10</v>
      </c>
      <c r="AA37" s="13">
        <f t="shared" si="12"/>
        <v>0.1</v>
      </c>
      <c r="AB37" s="13">
        <f t="shared" si="13"/>
        <v>0.1</v>
      </c>
      <c r="AC37" s="16">
        <v>1</v>
      </c>
      <c r="AD37" s="16">
        <v>1</v>
      </c>
      <c r="AE37" s="16">
        <v>1</v>
      </c>
      <c r="AF37" s="13">
        <f t="shared" si="14"/>
        <v>10</v>
      </c>
      <c r="AG37" s="13">
        <f t="shared" si="15"/>
        <v>0.1</v>
      </c>
      <c r="AH37" s="13">
        <f t="shared" si="16"/>
        <v>0.1</v>
      </c>
      <c r="AI37" s="16">
        <v>1</v>
      </c>
      <c r="AJ37" s="16">
        <v>0</v>
      </c>
      <c r="AK37" s="16">
        <v>0</v>
      </c>
      <c r="AL37" s="13">
        <f t="shared" si="17"/>
        <v>10</v>
      </c>
      <c r="AM37" s="13">
        <f t="shared" si="18"/>
        <v>0</v>
      </c>
      <c r="AN37" s="13">
        <f t="shared" si="19"/>
        <v>0</v>
      </c>
      <c r="AO37" s="13">
        <f t="shared" si="20"/>
        <v>3</v>
      </c>
      <c r="AP37" s="13">
        <f t="shared" si="21"/>
        <v>3</v>
      </c>
      <c r="AQ37" s="13">
        <f t="shared" si="22"/>
        <v>1</v>
      </c>
      <c r="AR37" s="13">
        <f t="shared" si="23"/>
        <v>1</v>
      </c>
      <c r="AS37" s="13">
        <f t="shared" si="24"/>
        <v>1</v>
      </c>
      <c r="AT37" s="13">
        <f t="shared" si="25"/>
        <v>1</v>
      </c>
      <c r="AU37" s="13">
        <f t="shared" si="26"/>
        <v>10</v>
      </c>
    </row>
    <row r="38" spans="1:47" ht="25.5" x14ac:dyDescent="0.2">
      <c r="A38" s="1" t="s">
        <v>60</v>
      </c>
      <c r="B38" s="11" t="s">
        <v>39</v>
      </c>
      <c r="C38" s="13">
        <f t="shared" si="0"/>
        <v>0.6</v>
      </c>
      <c r="D38" s="13">
        <f t="shared" si="1"/>
        <v>1</v>
      </c>
      <c r="E38" s="16">
        <v>1</v>
      </c>
      <c r="F38" s="16">
        <v>100</v>
      </c>
      <c r="G38" s="16">
        <v>1</v>
      </c>
      <c r="H38" s="13">
        <f t="shared" si="2"/>
        <v>30</v>
      </c>
      <c r="I38" s="13">
        <f t="shared" si="3"/>
        <v>0.3</v>
      </c>
      <c r="J38" s="13">
        <f t="shared" si="4"/>
        <v>0.3</v>
      </c>
      <c r="K38" s="16">
        <v>1</v>
      </c>
      <c r="L38" s="16">
        <v>0</v>
      </c>
      <c r="M38" s="16">
        <v>0</v>
      </c>
      <c r="N38" s="13">
        <f t="shared" si="5"/>
        <v>30</v>
      </c>
      <c r="O38" s="13">
        <f t="shared" si="6"/>
        <v>0</v>
      </c>
      <c r="P38" s="13">
        <f t="shared" si="7"/>
        <v>0</v>
      </c>
      <c r="Q38" s="16">
        <v>1</v>
      </c>
      <c r="R38" s="16">
        <v>1</v>
      </c>
      <c r="S38" s="16">
        <v>1</v>
      </c>
      <c r="T38" s="13">
        <f t="shared" si="8"/>
        <v>10</v>
      </c>
      <c r="U38" s="13">
        <f t="shared" si="9"/>
        <v>0.1</v>
      </c>
      <c r="V38" s="13">
        <f t="shared" si="10"/>
        <v>0.1</v>
      </c>
      <c r="W38" s="16">
        <v>1</v>
      </c>
      <c r="X38" s="16">
        <v>50</v>
      </c>
      <c r="Y38" s="16">
        <v>1</v>
      </c>
      <c r="Z38" s="13">
        <f t="shared" si="11"/>
        <v>10</v>
      </c>
      <c r="AA38" s="13">
        <f t="shared" si="12"/>
        <v>0.1</v>
      </c>
      <c r="AB38" s="13">
        <f t="shared" si="13"/>
        <v>0.1</v>
      </c>
      <c r="AC38" s="16">
        <v>1</v>
      </c>
      <c r="AD38" s="16">
        <v>1</v>
      </c>
      <c r="AE38" s="16">
        <v>1</v>
      </c>
      <c r="AF38" s="13">
        <f t="shared" si="14"/>
        <v>10</v>
      </c>
      <c r="AG38" s="13">
        <f t="shared" si="15"/>
        <v>0.1</v>
      </c>
      <c r="AH38" s="13">
        <f t="shared" si="16"/>
        <v>0.1</v>
      </c>
      <c r="AI38" s="16">
        <v>1</v>
      </c>
      <c r="AJ38" s="16">
        <v>0</v>
      </c>
      <c r="AK38" s="16">
        <v>0</v>
      </c>
      <c r="AL38" s="13">
        <f t="shared" si="17"/>
        <v>10</v>
      </c>
      <c r="AM38" s="13">
        <f t="shared" si="18"/>
        <v>0</v>
      </c>
      <c r="AN38" s="13">
        <f t="shared" si="19"/>
        <v>0</v>
      </c>
      <c r="AO38" s="13">
        <f t="shared" si="20"/>
        <v>3</v>
      </c>
      <c r="AP38" s="13">
        <f t="shared" si="21"/>
        <v>3</v>
      </c>
      <c r="AQ38" s="13">
        <f t="shared" si="22"/>
        <v>1</v>
      </c>
      <c r="AR38" s="13">
        <f t="shared" si="23"/>
        <v>1</v>
      </c>
      <c r="AS38" s="13">
        <f t="shared" si="24"/>
        <v>1</v>
      </c>
      <c r="AT38" s="13">
        <f t="shared" si="25"/>
        <v>1</v>
      </c>
      <c r="AU38" s="13">
        <f t="shared" si="26"/>
        <v>10</v>
      </c>
    </row>
    <row r="39" spans="1:47" x14ac:dyDescent="0.2">
      <c r="A39" s="1" t="s">
        <v>61</v>
      </c>
      <c r="B39" s="11" t="s">
        <v>40</v>
      </c>
      <c r="C39" s="13">
        <f t="shared" si="0"/>
        <v>0.4</v>
      </c>
      <c r="D39" s="13">
        <f t="shared" si="1"/>
        <v>1</v>
      </c>
      <c r="E39" s="16">
        <v>1</v>
      </c>
      <c r="F39" s="16">
        <v>100</v>
      </c>
      <c r="G39" s="16">
        <v>1</v>
      </c>
      <c r="H39" s="13">
        <f t="shared" si="2"/>
        <v>30</v>
      </c>
      <c r="I39" s="13">
        <f t="shared" si="3"/>
        <v>0.3</v>
      </c>
      <c r="J39" s="13">
        <f t="shared" si="4"/>
        <v>0.3</v>
      </c>
      <c r="K39" s="16">
        <v>1</v>
      </c>
      <c r="L39" s="16">
        <v>0</v>
      </c>
      <c r="M39" s="16">
        <v>0</v>
      </c>
      <c r="N39" s="13">
        <f t="shared" si="5"/>
        <v>30</v>
      </c>
      <c r="O39" s="13">
        <f t="shared" si="6"/>
        <v>0</v>
      </c>
      <c r="P39" s="13">
        <f t="shared" si="7"/>
        <v>0</v>
      </c>
      <c r="Q39" s="16">
        <v>1</v>
      </c>
      <c r="R39" s="16">
        <v>0</v>
      </c>
      <c r="S39" s="16">
        <v>0</v>
      </c>
      <c r="T39" s="13">
        <f t="shared" si="8"/>
        <v>10</v>
      </c>
      <c r="U39" s="13">
        <f t="shared" si="9"/>
        <v>0</v>
      </c>
      <c r="V39" s="13">
        <f t="shared" si="10"/>
        <v>0</v>
      </c>
      <c r="W39" s="16">
        <v>1</v>
      </c>
      <c r="X39" s="16">
        <v>0</v>
      </c>
      <c r="Y39" s="16">
        <v>0</v>
      </c>
      <c r="Z39" s="13">
        <f t="shared" si="11"/>
        <v>10</v>
      </c>
      <c r="AA39" s="13">
        <f t="shared" si="12"/>
        <v>0</v>
      </c>
      <c r="AB39" s="13">
        <f t="shared" si="13"/>
        <v>0</v>
      </c>
      <c r="AC39" s="16">
        <v>1</v>
      </c>
      <c r="AD39" s="16">
        <v>1</v>
      </c>
      <c r="AE39" s="16">
        <v>1</v>
      </c>
      <c r="AF39" s="13">
        <f t="shared" si="14"/>
        <v>10</v>
      </c>
      <c r="AG39" s="13">
        <f t="shared" si="15"/>
        <v>0.1</v>
      </c>
      <c r="AH39" s="13">
        <f t="shared" si="16"/>
        <v>0.1</v>
      </c>
      <c r="AI39" s="16">
        <v>1</v>
      </c>
      <c r="AJ39" s="16">
        <v>0</v>
      </c>
      <c r="AK39" s="16">
        <v>0</v>
      </c>
      <c r="AL39" s="13">
        <f t="shared" si="17"/>
        <v>10</v>
      </c>
      <c r="AM39" s="13">
        <f t="shared" si="18"/>
        <v>0</v>
      </c>
      <c r="AN39" s="13">
        <f t="shared" si="19"/>
        <v>0</v>
      </c>
      <c r="AO39" s="13">
        <f t="shared" si="20"/>
        <v>3</v>
      </c>
      <c r="AP39" s="13">
        <f t="shared" si="21"/>
        <v>3</v>
      </c>
      <c r="AQ39" s="13">
        <f t="shared" si="22"/>
        <v>1</v>
      </c>
      <c r="AR39" s="13">
        <f t="shared" si="23"/>
        <v>1</v>
      </c>
      <c r="AS39" s="13">
        <f t="shared" si="24"/>
        <v>1</v>
      </c>
      <c r="AT39" s="13">
        <f t="shared" si="25"/>
        <v>1</v>
      </c>
      <c r="AU39" s="13">
        <f t="shared" si="26"/>
        <v>10</v>
      </c>
    </row>
    <row r="40" spans="1:47" ht="13.5" customHeight="1" x14ac:dyDescent="0.2">
      <c r="AP40" s="10"/>
      <c r="AQ40" s="10"/>
      <c r="AR40" s="10"/>
      <c r="AS40" s="10"/>
      <c r="AT40" s="10"/>
      <c r="AU40" s="10"/>
    </row>
    <row r="41" spans="1:47" x14ac:dyDescent="0.2">
      <c r="AP41" s="10"/>
      <c r="AQ41" s="10"/>
      <c r="AR41" s="10"/>
      <c r="AS41" s="10"/>
      <c r="AT41" s="10"/>
      <c r="AU41" s="10"/>
    </row>
    <row r="42" spans="1:47" x14ac:dyDescent="0.2">
      <c r="AP42" s="10"/>
      <c r="AQ42" s="10"/>
      <c r="AR42" s="10"/>
      <c r="AS42" s="10"/>
      <c r="AT42" s="10"/>
      <c r="AU42" s="10"/>
    </row>
    <row r="43" spans="1:47" x14ac:dyDescent="0.2">
      <c r="AP43" s="10"/>
      <c r="AQ43" s="10"/>
      <c r="AR43" s="10"/>
      <c r="AS43" s="10"/>
      <c r="AT43" s="10"/>
      <c r="AU43" s="10"/>
    </row>
    <row r="44" spans="1:47" x14ac:dyDescent="0.2">
      <c r="AP44" s="10"/>
      <c r="AQ44" s="10"/>
      <c r="AR44" s="10"/>
      <c r="AS44" s="10"/>
      <c r="AT44" s="10"/>
      <c r="AU44" s="10"/>
    </row>
    <row r="45" spans="1:47" x14ac:dyDescent="0.2">
      <c r="AP45" s="10"/>
      <c r="AQ45" s="10"/>
      <c r="AR45" s="10"/>
      <c r="AS45" s="10"/>
      <c r="AT45" s="10"/>
      <c r="AU45" s="10"/>
    </row>
    <row r="46" spans="1:47" x14ac:dyDescent="0.2">
      <c r="AP46" s="10"/>
      <c r="AQ46" s="10"/>
      <c r="AR46" s="10"/>
      <c r="AS46" s="10"/>
      <c r="AT46" s="10"/>
      <c r="AU46" s="10"/>
    </row>
    <row r="47" spans="1:47" x14ac:dyDescent="0.2">
      <c r="AP47" s="10"/>
      <c r="AQ47" s="10"/>
      <c r="AR47" s="10"/>
      <c r="AS47" s="10"/>
      <c r="AT47" s="10"/>
      <c r="AU47" s="10"/>
    </row>
    <row r="48" spans="1:47" x14ac:dyDescent="0.2">
      <c r="AP48" s="10"/>
      <c r="AQ48" s="10"/>
      <c r="AR48" s="10"/>
      <c r="AS48" s="10"/>
      <c r="AT48" s="10"/>
      <c r="AU48" s="10"/>
    </row>
    <row r="49" spans="42:47" x14ac:dyDescent="0.2">
      <c r="AP49" s="10"/>
      <c r="AQ49" s="10"/>
      <c r="AR49" s="10"/>
      <c r="AS49" s="10"/>
      <c r="AT49" s="10"/>
      <c r="AU49" s="10"/>
    </row>
    <row r="50" spans="42:47" x14ac:dyDescent="0.2">
      <c r="AP50" s="10"/>
      <c r="AQ50" s="10"/>
      <c r="AR50" s="10"/>
      <c r="AS50" s="10"/>
      <c r="AT50" s="10"/>
      <c r="AU50" s="10"/>
    </row>
    <row r="51" spans="42:47" x14ac:dyDescent="0.2">
      <c r="AP51" s="10"/>
      <c r="AQ51" s="10"/>
      <c r="AR51" s="10"/>
      <c r="AS51" s="10"/>
      <c r="AT51" s="10"/>
      <c r="AU51" s="10"/>
    </row>
    <row r="52" spans="42:47" x14ac:dyDescent="0.2">
      <c r="AP52" s="10"/>
      <c r="AQ52" s="10"/>
      <c r="AR52" s="10"/>
      <c r="AS52" s="10"/>
      <c r="AT52" s="10"/>
      <c r="AU52" s="10"/>
    </row>
    <row r="53" spans="42:47" x14ac:dyDescent="0.2">
      <c r="AP53" s="10"/>
      <c r="AQ53" s="10"/>
      <c r="AR53" s="10"/>
      <c r="AS53" s="10"/>
      <c r="AT53" s="10"/>
      <c r="AU53" s="10"/>
    </row>
    <row r="54" spans="42:47" x14ac:dyDescent="0.2">
      <c r="AP54" s="10"/>
      <c r="AQ54" s="10"/>
      <c r="AR54" s="10"/>
      <c r="AS54" s="10"/>
      <c r="AT54" s="10"/>
      <c r="AU54" s="10"/>
    </row>
    <row r="55" spans="42:47" x14ac:dyDescent="0.2">
      <c r="AP55" s="10"/>
      <c r="AQ55" s="10"/>
      <c r="AR55" s="10"/>
      <c r="AS55" s="10"/>
      <c r="AT55" s="10"/>
      <c r="AU55" s="10"/>
    </row>
    <row r="56" spans="42:47" x14ac:dyDescent="0.2">
      <c r="AP56" s="10"/>
      <c r="AQ56" s="10"/>
      <c r="AR56" s="10"/>
      <c r="AS56" s="10"/>
      <c r="AT56" s="10"/>
      <c r="AU56" s="10"/>
    </row>
    <row r="57" spans="42:47" x14ac:dyDescent="0.2">
      <c r="AP57" s="10"/>
      <c r="AQ57" s="10"/>
      <c r="AR57" s="10"/>
      <c r="AS57" s="10"/>
      <c r="AT57" s="10"/>
      <c r="AU57" s="10"/>
    </row>
    <row r="58" spans="42:47" ht="30" customHeight="1" x14ac:dyDescent="0.2">
      <c r="AP58" s="10"/>
      <c r="AQ58" s="10"/>
      <c r="AR58" s="10"/>
      <c r="AS58" s="10"/>
      <c r="AT58" s="10"/>
      <c r="AU58" s="10"/>
    </row>
  </sheetData>
  <sheetProtection algorithmName="SHA-512" hashValue="9lf/82NxHRCK99ncSM2Qmf48RqOeOW2AzhD/9AkZN9h+0rsDThpAXWImPhDvDGXUbtLATgphVceCHXpPblIHMQ==" saltValue="Krj1cN0ONmm+zUnReIvdSA==" spinCount="100000" sheet="1" objects="1" scenarios="1" formatCells="0" formatColumns="0" formatRows="0" deleteColumns="0" deleteRows="0"/>
  <protectedRanges>
    <protectedRange sqref="C17:C39" name="krista_tr_48469_0_0"/>
    <protectedRange sqref="D17:D39" name="krista_tr_40531_0_0"/>
    <protectedRange sqref="H17:H39" name="krista_tf_40535_0_0"/>
    <protectedRange sqref="I17:I39" name="krista_tf_40536_0_0"/>
    <protectedRange sqref="J17:J39" name="krista_tr_40537_0_0"/>
    <protectedRange sqref="N17:N39" name="krista_tf_40541_0_0"/>
    <protectedRange sqref="O17:O39" name="krista_tf_40542_0_0"/>
    <protectedRange sqref="P17:P39" name="krista_tr_40543_0_0"/>
    <protectedRange sqref="T17:T39" name="krista_tf_40547_0_0"/>
    <protectedRange sqref="U17:U39" name="krista_tf_40548_0_0"/>
    <protectedRange sqref="V17:V39" name="krista_tr_40549_0_0"/>
    <protectedRange sqref="Z17:Z39" name="krista_tf_40553_0_0"/>
    <protectedRange sqref="AA17:AA39" name="krista_tf_40554_0_0"/>
    <protectedRange sqref="AB17:AB39" name="krista_tr_40555_0_0"/>
    <protectedRange sqref="AF17:AF39" name="krista_tf_40559_0_0"/>
    <protectedRange sqref="AG17:AG39" name="krista_tf_40560_0_0"/>
    <protectedRange sqref="AH17:AH39" name="krista_tr_40561_0_0"/>
    <protectedRange sqref="AL17:AL39" name="krista_tf_40565_0_0"/>
    <protectedRange sqref="AM17:AM39" name="krista_tf_40566_0_0"/>
    <protectedRange sqref="AN17:AN39" name="krista_tr_40567_0_0"/>
    <protectedRange sqref="AO17:AO39" name="krista_tf_40580_0_0"/>
    <protectedRange sqref="AP17:AP39" name="krista_tf_40581_0_0"/>
    <protectedRange sqref="AQ17:AQ39" name="krista_tf_40582_0_0"/>
    <protectedRange sqref="AR17:AR39" name="krista_tf_40583_0_0"/>
    <protectedRange sqref="AS17:AS39" name="krista_tf_40584_0_0"/>
    <protectedRange sqref="AT17:AT39" name="krista_tf_40585_0_0"/>
    <protectedRange sqref="AU17:AU39" name="krista_tf_40588_0_0"/>
  </protectedRanges>
  <mergeCells count="18">
    <mergeCell ref="A15:A16"/>
    <mergeCell ref="B15:B16"/>
    <mergeCell ref="C15:C16"/>
    <mergeCell ref="D15:D16"/>
    <mergeCell ref="K15:P15"/>
    <mergeCell ref="A1:E1"/>
    <mergeCell ref="B8:H8"/>
    <mergeCell ref="B9:H9"/>
    <mergeCell ref="B10:H10"/>
    <mergeCell ref="B11:H11"/>
    <mergeCell ref="B12:H12"/>
    <mergeCell ref="AO15:AU15"/>
    <mergeCell ref="AI15:AN15"/>
    <mergeCell ref="AC15:AH15"/>
    <mergeCell ref="W15:AB15"/>
    <mergeCell ref="Q15:V15"/>
    <mergeCell ref="E15:J15"/>
    <mergeCell ref="B13:H13"/>
  </mergeCells>
  <conditionalFormatting sqref="A8:A14">
    <cfRule type="expression" dxfId="2" priority="8" stopIfTrue="1">
      <formula>"(сумм(A8:F12)&lt;&gt;100"</formula>
    </cfRule>
  </conditionalFormatting>
  <pageMargins left="0.25" right="0.25" top="0.75" bottom="0.75" header="0.3" footer="0.3"/>
  <pageSetup paperSize="8" scale="86" fitToWidth="0" orientation="landscape" r:id="rId1"/>
  <headerFooter alignWithMargins="0"/>
  <colBreaks count="1" manualBreakCount="1">
    <brk id="18" max="45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40598" r:id="rId8"/>
    <customPr name="krista_fm_columnsmarkup" r:id="rId9"/>
    <customPr name="krista_fm_consts" r:id="rId10"/>
    <customPr name="krista_fm_Events" r:id="rId11"/>
    <customPr name="krista_fm_metadataXML" r:id="rId12"/>
    <customPr name="krista_fm_rowsaxis" r:id="rId13"/>
    <customPr name="krista_fm_rowsmarkup" r:id="rId14"/>
    <customPr name="krista_SheetHistory" r:id="rId15"/>
    <customPr name="p14" r:id="rId16"/>
    <customPr name="p15" r:id="rId17"/>
    <customPr name="p19" r:id="rId18"/>
  </customProperties>
  <legacyDrawing r:id="rId1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FFC000"/>
    <pageSetUpPr fitToPage="1"/>
  </sheetPr>
  <dimension ref="A1:AG56"/>
  <sheetViews>
    <sheetView view="pageBreakPreview" zoomScale="70" zoomScaleNormal="75" zoomScaleSheetLayoutView="70" workbookViewId="0">
      <selection activeCell="A13" sqref="A13:A14"/>
    </sheetView>
  </sheetViews>
  <sheetFormatPr defaultRowHeight="12.75" x14ac:dyDescent="0.2"/>
  <cols>
    <col min="1" max="1" width="6.28515625" customWidth="1"/>
    <col min="2" max="2" width="81.42578125" customWidth="1"/>
    <col min="3" max="3" width="10" customWidth="1"/>
    <col min="4" max="4" width="17.7109375" customWidth="1"/>
    <col min="5" max="6" width="12.7109375" customWidth="1"/>
    <col min="7" max="7" width="11.5703125" customWidth="1"/>
    <col min="8" max="8" width="10.7109375" customWidth="1"/>
    <col min="9" max="9" width="0.140625" customWidth="1"/>
    <col min="10" max="10" width="11" customWidth="1"/>
    <col min="11" max="11" width="13.42578125" customWidth="1"/>
    <col min="12" max="12" width="12.5703125" customWidth="1"/>
    <col min="13" max="14" width="11.7109375" customWidth="1"/>
    <col min="15" max="15" width="13.140625" hidden="1" customWidth="1"/>
    <col min="16" max="16" width="13.28515625" customWidth="1"/>
    <col min="17" max="17" width="14" customWidth="1"/>
    <col min="18" max="18" width="11.42578125" customWidth="1"/>
    <col min="19" max="19" width="13" customWidth="1"/>
    <col min="20" max="21" width="12" customWidth="1"/>
    <col min="22" max="22" width="13.28515625" customWidth="1"/>
    <col min="23" max="23" width="14" customWidth="1"/>
    <col min="24" max="24" width="12.140625" customWidth="1"/>
    <col min="25" max="25" width="11.85546875" customWidth="1"/>
    <col min="26" max="26" width="9.85546875" customWidth="1"/>
    <col min="27" max="27" width="13.5703125" hidden="1" customWidth="1"/>
    <col min="28" max="28" width="11.42578125" customWidth="1"/>
    <col min="29" max="29" width="11.7109375" hidden="1" customWidth="1"/>
    <col min="30" max="30" width="11.85546875" style="8" hidden="1" customWidth="1"/>
    <col min="31" max="31" width="13.140625" style="8" hidden="1" customWidth="1"/>
    <col min="32" max="32" width="11.28515625" style="8" hidden="1" customWidth="1"/>
    <col min="33" max="33" width="12.42578125" style="8" hidden="1" customWidth="1"/>
    <col min="34" max="41" width="27.42578125" customWidth="1"/>
    <col min="42" max="42" width="60.85546875" customWidth="1"/>
    <col min="43" max="48" width="27.42578125" customWidth="1"/>
    <col min="49" max="51" width="31.28515625" customWidth="1"/>
    <col min="52" max="52" width="27.42578125" customWidth="1"/>
    <col min="53" max="55" width="34.28515625" customWidth="1"/>
    <col min="56" max="59" width="27.42578125" customWidth="1"/>
    <col min="60" max="60" width="39.42578125" customWidth="1"/>
    <col min="61" max="61" width="41.28515625" customWidth="1"/>
    <col min="62" max="73" width="27.42578125" customWidth="1"/>
    <col min="76" max="76" width="10.28515625" bestFit="1" customWidth="1"/>
    <col min="79" max="79" width="10.28515625" bestFit="1" customWidth="1"/>
    <col min="82" max="82" width="10.28515625" bestFit="1" customWidth="1"/>
    <col min="85" max="85" width="10.28515625" bestFit="1" customWidth="1"/>
    <col min="88" max="88" width="10.28515625" bestFit="1" customWidth="1"/>
    <col min="91" max="91" width="10.28515625" bestFit="1" customWidth="1"/>
    <col min="94" max="94" width="10.28515625" bestFit="1" customWidth="1"/>
    <col min="97" max="97" width="10.28515625" bestFit="1" customWidth="1"/>
    <col min="100" max="100" width="10.28515625" bestFit="1" customWidth="1"/>
    <col min="103" max="103" width="10.28515625" bestFit="1" customWidth="1"/>
    <col min="106" max="106" width="10.28515625" bestFit="1" customWidth="1"/>
    <col min="109" max="109" width="10.28515625" bestFit="1" customWidth="1"/>
    <col min="112" max="112" width="10.28515625" bestFit="1" customWidth="1"/>
    <col min="115" max="115" width="10.28515625" bestFit="1" customWidth="1"/>
    <col min="118" max="118" width="10.28515625" bestFit="1" customWidth="1"/>
    <col min="121" max="121" width="10.28515625" bestFit="1" customWidth="1"/>
    <col min="124" max="124" width="10.28515625" bestFit="1" customWidth="1"/>
    <col min="127" max="127" width="10.28515625" bestFit="1" customWidth="1"/>
    <col min="130" max="130" width="10.28515625" bestFit="1" customWidth="1"/>
    <col min="133" max="133" width="10.28515625" bestFit="1" customWidth="1"/>
    <col min="136" max="136" width="10.28515625" bestFit="1" customWidth="1"/>
    <col min="139" max="139" width="10.28515625" bestFit="1" customWidth="1"/>
    <col min="142" max="142" width="10.28515625" bestFit="1" customWidth="1"/>
    <col min="145" max="145" width="10.28515625" bestFit="1" customWidth="1"/>
    <col min="148" max="148" width="10.28515625" bestFit="1" customWidth="1"/>
    <col min="151" max="151" width="10.28515625" bestFit="1" customWidth="1"/>
    <col min="154" max="154" width="10.28515625" bestFit="1" customWidth="1"/>
    <col min="157" max="157" width="10.28515625" bestFit="1" customWidth="1"/>
    <col min="160" max="160" width="10.28515625" bestFit="1" customWidth="1"/>
    <col min="163" max="163" width="10.28515625" bestFit="1" customWidth="1"/>
    <col min="166" max="166" width="10.28515625" bestFit="1" customWidth="1"/>
    <col min="169" max="169" width="10.28515625" bestFit="1" customWidth="1"/>
    <col min="172" max="172" width="10.28515625" bestFit="1" customWidth="1"/>
    <col min="175" max="175" width="10.28515625" bestFit="1" customWidth="1"/>
    <col min="178" max="178" width="10.28515625" bestFit="1" customWidth="1"/>
    <col min="181" max="181" width="10.28515625" bestFit="1" customWidth="1"/>
    <col min="184" max="184" width="10.28515625" bestFit="1" customWidth="1"/>
    <col min="187" max="187" width="10.28515625" bestFit="1" customWidth="1"/>
    <col min="190" max="190" width="10.28515625" bestFit="1" customWidth="1"/>
    <col min="193" max="193" width="10.28515625" bestFit="1" customWidth="1"/>
    <col min="196" max="196" width="10.28515625" bestFit="1" customWidth="1"/>
    <col min="199" max="199" width="10.28515625" bestFit="1" customWidth="1"/>
    <col min="202" max="202" width="10.28515625" bestFit="1" customWidth="1"/>
    <col min="205" max="205" width="10.28515625" bestFit="1" customWidth="1"/>
    <col min="208" max="208" width="10.28515625" bestFit="1" customWidth="1"/>
    <col min="211" max="211" width="10.28515625" bestFit="1" customWidth="1"/>
    <col min="214" max="214" width="10.28515625" bestFit="1" customWidth="1"/>
  </cols>
  <sheetData>
    <row r="1" spans="1:33" ht="28.5" customHeight="1" x14ac:dyDescent="0.25">
      <c r="A1" s="85" t="s">
        <v>75</v>
      </c>
      <c r="B1" s="86"/>
      <c r="C1" s="86"/>
      <c r="D1" s="86"/>
      <c r="E1" s="86"/>
      <c r="F1" s="154"/>
      <c r="G1" s="154"/>
      <c r="H1" s="154"/>
      <c r="AD1" s="10"/>
      <c r="AE1" s="10"/>
      <c r="AF1" s="10"/>
      <c r="AG1" s="10"/>
    </row>
    <row r="2" spans="1:33" x14ac:dyDescent="0.2">
      <c r="AD2" s="10"/>
      <c r="AE2" s="10"/>
      <c r="AF2" s="10"/>
      <c r="AG2" s="10"/>
    </row>
    <row r="3" spans="1:33" x14ac:dyDescent="0.2">
      <c r="A3" s="2" t="s">
        <v>14</v>
      </c>
      <c r="B3" s="2"/>
      <c r="C3" s="2"/>
      <c r="D3" s="2"/>
      <c r="E3" s="2"/>
      <c r="F3" s="2"/>
      <c r="G3" s="2"/>
      <c r="H3" s="2"/>
      <c r="AD3" s="10"/>
      <c r="AE3" s="10"/>
      <c r="AF3" s="10"/>
      <c r="AG3" s="10"/>
    </row>
    <row r="4" spans="1:33" x14ac:dyDescent="0.2">
      <c r="A4" s="2" t="s">
        <v>15</v>
      </c>
      <c r="B4" s="2"/>
      <c r="C4" s="2"/>
      <c r="D4" s="2"/>
      <c r="E4" s="2"/>
      <c r="F4" s="2"/>
      <c r="G4" s="2"/>
      <c r="H4" s="2"/>
      <c r="AD4" s="10"/>
      <c r="AE4" s="10"/>
      <c r="AF4" s="10"/>
      <c r="AG4" s="10"/>
    </row>
    <row r="5" spans="1:33" x14ac:dyDescent="0.2">
      <c r="A5" s="2" t="s">
        <v>1</v>
      </c>
      <c r="B5" s="2"/>
      <c r="C5" s="2"/>
      <c r="D5" s="2"/>
      <c r="E5" s="2"/>
      <c r="F5" s="2"/>
      <c r="G5" s="2"/>
      <c r="H5" s="2"/>
      <c r="AD5" s="10"/>
      <c r="AE5" s="10"/>
      <c r="AF5" s="10"/>
      <c r="AG5" s="10"/>
    </row>
    <row r="6" spans="1:33" x14ac:dyDescent="0.2">
      <c r="A6" s="2" t="s">
        <v>7</v>
      </c>
      <c r="B6" s="2"/>
      <c r="C6" s="2"/>
      <c r="D6" s="2"/>
      <c r="E6" s="2"/>
      <c r="F6" s="2"/>
      <c r="G6" s="2"/>
      <c r="H6" s="2"/>
      <c r="AD6" s="10"/>
      <c r="AE6" s="10"/>
      <c r="AF6" s="10"/>
      <c r="AG6" s="10"/>
    </row>
    <row r="7" spans="1:33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AD7" s="10"/>
      <c r="AE7" s="10"/>
      <c r="AF7" s="10"/>
      <c r="AG7" s="10"/>
    </row>
    <row r="8" spans="1:33" ht="29.25" customHeight="1" thickBot="1" x14ac:dyDescent="0.25">
      <c r="A8" s="6">
        <v>37</v>
      </c>
      <c r="B8" s="81" t="s">
        <v>131</v>
      </c>
      <c r="C8" s="82"/>
      <c r="D8" s="82"/>
      <c r="E8" s="82"/>
      <c r="F8" s="82"/>
      <c r="G8" s="82"/>
      <c r="H8" s="82"/>
      <c r="AD8" s="10"/>
      <c r="AE8" s="10"/>
      <c r="AF8" s="10"/>
      <c r="AG8" s="10"/>
    </row>
    <row r="9" spans="1:33" ht="20.25" customHeight="1" thickBot="1" x14ac:dyDescent="0.25">
      <c r="A9" s="6">
        <v>23</v>
      </c>
      <c r="B9" s="81" t="s">
        <v>132</v>
      </c>
      <c r="C9" s="82"/>
      <c r="D9" s="82"/>
      <c r="E9" s="82"/>
      <c r="F9" s="83"/>
      <c r="G9" s="83"/>
      <c r="H9" s="83"/>
      <c r="AD9" s="10"/>
      <c r="AE9" s="10"/>
      <c r="AF9" s="10"/>
      <c r="AG9" s="10"/>
    </row>
    <row r="10" spans="1:33" ht="36" customHeight="1" thickBot="1" x14ac:dyDescent="0.25">
      <c r="A10" s="6">
        <v>22</v>
      </c>
      <c r="B10" s="81" t="s">
        <v>133</v>
      </c>
      <c r="C10" s="82"/>
      <c r="D10" s="82"/>
      <c r="E10" s="82"/>
      <c r="F10" s="83"/>
      <c r="G10" s="83"/>
      <c r="H10" s="83"/>
      <c r="AD10" s="10"/>
      <c r="AE10" s="10"/>
      <c r="AF10" s="10"/>
      <c r="AG10" s="10"/>
    </row>
    <row r="11" spans="1:33" ht="33.75" customHeight="1" thickBot="1" x14ac:dyDescent="0.25">
      <c r="A11" s="6">
        <v>18</v>
      </c>
      <c r="B11" s="81" t="s">
        <v>134</v>
      </c>
      <c r="C11" s="82"/>
      <c r="D11" s="82"/>
      <c r="E11" s="82"/>
      <c r="F11" s="83"/>
      <c r="G11" s="83"/>
      <c r="H11" s="83"/>
      <c r="AD11" s="10"/>
      <c r="AE11" s="10"/>
      <c r="AF11" s="10"/>
      <c r="AG11" s="10"/>
    </row>
    <row r="12" spans="1:33" s="10" customFormat="1" ht="16.5" customHeight="1" thickBot="1" x14ac:dyDescent="0.25">
      <c r="A12" s="22"/>
      <c r="B12" s="25"/>
      <c r="C12" s="26"/>
      <c r="D12" s="26"/>
      <c r="E12" s="26"/>
      <c r="F12" s="26"/>
      <c r="G12" s="26"/>
      <c r="H12" s="26"/>
    </row>
    <row r="13" spans="1:33" ht="55.5" customHeight="1" x14ac:dyDescent="0.2">
      <c r="A13" s="104" t="s">
        <v>9</v>
      </c>
      <c r="B13" s="155" t="s">
        <v>8</v>
      </c>
      <c r="C13" s="104" t="s">
        <v>20</v>
      </c>
      <c r="D13" s="155" t="s">
        <v>139</v>
      </c>
      <c r="E13" s="103" t="s">
        <v>127</v>
      </c>
      <c r="F13" s="101"/>
      <c r="G13" s="101"/>
      <c r="H13" s="101"/>
      <c r="I13" s="101"/>
      <c r="J13" s="102"/>
      <c r="K13" s="100" t="s">
        <v>128</v>
      </c>
      <c r="L13" s="106"/>
      <c r="M13" s="106"/>
      <c r="N13" s="106"/>
      <c r="O13" s="106"/>
      <c r="P13" s="107"/>
      <c r="Q13" s="100" t="s">
        <v>129</v>
      </c>
      <c r="R13" s="101"/>
      <c r="S13" s="101"/>
      <c r="T13" s="101"/>
      <c r="U13" s="101"/>
      <c r="V13" s="102"/>
      <c r="W13" s="100" t="s">
        <v>130</v>
      </c>
      <c r="X13" s="101"/>
      <c r="Y13" s="101"/>
      <c r="Z13" s="101"/>
      <c r="AA13" s="101"/>
      <c r="AB13" s="102"/>
      <c r="AC13" s="97" t="s">
        <v>5</v>
      </c>
      <c r="AD13" s="101"/>
      <c r="AE13" s="101"/>
      <c r="AF13" s="101"/>
      <c r="AG13" s="102"/>
    </row>
    <row r="14" spans="1:33" ht="64.5" customHeight="1" thickBot="1" x14ac:dyDescent="0.25">
      <c r="A14" s="105"/>
      <c r="B14" s="156"/>
      <c r="C14" s="105"/>
      <c r="D14" s="156"/>
      <c r="E14" s="40" t="s">
        <v>63</v>
      </c>
      <c r="F14" s="30" t="s">
        <v>141</v>
      </c>
      <c r="G14" s="30" t="s">
        <v>17</v>
      </c>
      <c r="H14" s="30" t="s">
        <v>62</v>
      </c>
      <c r="I14" s="30" t="s">
        <v>64</v>
      </c>
      <c r="J14" s="41" t="s">
        <v>64</v>
      </c>
      <c r="K14" s="40" t="s">
        <v>63</v>
      </c>
      <c r="L14" s="30" t="s">
        <v>141</v>
      </c>
      <c r="M14" s="30" t="s">
        <v>17</v>
      </c>
      <c r="N14" s="30" t="s">
        <v>62</v>
      </c>
      <c r="O14" s="30" t="s">
        <v>64</v>
      </c>
      <c r="P14" s="41" t="s">
        <v>64</v>
      </c>
      <c r="Q14" s="40" t="s">
        <v>63</v>
      </c>
      <c r="R14" s="30" t="s">
        <v>141</v>
      </c>
      <c r="S14" s="30" t="s">
        <v>17</v>
      </c>
      <c r="T14" s="30" t="s">
        <v>62</v>
      </c>
      <c r="U14" s="30" t="s">
        <v>64</v>
      </c>
      <c r="V14" s="41" t="s">
        <v>64</v>
      </c>
      <c r="W14" s="40" t="s">
        <v>63</v>
      </c>
      <c r="X14" s="30" t="s">
        <v>141</v>
      </c>
      <c r="Y14" s="30" t="s">
        <v>17</v>
      </c>
      <c r="Z14" s="30" t="s">
        <v>62</v>
      </c>
      <c r="AA14" s="30" t="s">
        <v>64</v>
      </c>
      <c r="AB14" s="41" t="s">
        <v>64</v>
      </c>
      <c r="AC14" s="42">
        <v>1</v>
      </c>
      <c r="AD14" s="28">
        <v>2</v>
      </c>
      <c r="AE14" s="28">
        <v>3</v>
      </c>
      <c r="AF14" s="28">
        <v>4</v>
      </c>
      <c r="AG14" s="29" t="s">
        <v>135</v>
      </c>
    </row>
    <row r="15" spans="1:33" x14ac:dyDescent="0.2">
      <c r="A15" s="1" t="s">
        <v>41</v>
      </c>
      <c r="B15" s="11" t="s">
        <v>21</v>
      </c>
      <c r="C15" s="13">
        <f t="shared" ref="C15:C37" si="0">IF(D15&lt;&gt;1,"",SUM(J15,P15,V15,AB15))</f>
        <v>1</v>
      </c>
      <c r="D15" s="13">
        <f t="shared" ref="D15:D37" si="1">IF(SUM(E15,K15,Q15,W15)=0,0,1)</f>
        <v>1</v>
      </c>
      <c r="E15" s="16">
        <v>1</v>
      </c>
      <c r="F15" s="16">
        <v>120</v>
      </c>
      <c r="G15" s="16">
        <v>1</v>
      </c>
      <c r="H15" s="13">
        <f t="shared" ref="H15:H37" si="2">IF(E15=1,(MIN(Вес6.1,Вес6.2,Вес6.3,Вес6.4))*((100/MIN(Вес6.1,Вес6.2,Вес6.3,Вес6.4))/AG15*Вес6.1/MIN(Вес6.1,Вес6.2,Вес6.3,Вес6.4)),"")</f>
        <v>37</v>
      </c>
      <c r="I15" s="13">
        <f t="shared" ref="I15:I37" si="3">IF(H15="","не применяется",IF(E15=0,"не применяется",H15*G15/100))</f>
        <v>0.37</v>
      </c>
      <c r="J15" s="13">
        <f t="shared" ref="J15:J37" si="4">IF(ISNUMBER(I15),I15,"")</f>
        <v>0.37</v>
      </c>
      <c r="K15" s="16">
        <v>1</v>
      </c>
      <c r="L15" s="16">
        <v>100</v>
      </c>
      <c r="M15" s="16">
        <v>1</v>
      </c>
      <c r="N15" s="13">
        <f t="shared" ref="N15:N37" si="5">IF(K15=1,(MIN(Вес6.1,Вес6.2,Вес6.3,Вес6.4))*((100/MIN(Вес6.1,Вес6.2,Вес6.3,Вес6.4))/AG15*Вес6.2/MIN(Вес6.1,Вес6.2,Вес6.3,Вес6.4)),"")</f>
        <v>23</v>
      </c>
      <c r="O15" s="13">
        <f t="shared" ref="O15:O37" si="6">IF(N15="","не применяется",IF(K15=0,"не применяется",N15*M15/100))</f>
        <v>0.23</v>
      </c>
      <c r="P15" s="13">
        <f t="shared" ref="P15:P37" si="7">IF(ISNUMBER(O15),O15,"")</f>
        <v>0.23</v>
      </c>
      <c r="Q15" s="16">
        <v>1</v>
      </c>
      <c r="R15" s="16">
        <v>100</v>
      </c>
      <c r="S15" s="16">
        <v>1</v>
      </c>
      <c r="T15" s="13">
        <f t="shared" ref="T15:T37" si="8">IF(Q15=1,(MIN(Вес6.1,Вес6.2,Вес6.3,Вес6.4))*((100/MIN(Вес6.1,Вес6.2,Вес6.3,Вес6.4))/AG15*Вес6.3/MIN(Вес6.1,Вес6.2,Вес6.3,Вес6.4)),"")</f>
        <v>22</v>
      </c>
      <c r="U15" s="13">
        <f t="shared" ref="U15:U37" si="9">IF(T15="","не применяется",IF(Q15=0,"не применяется",T15*S15/100))</f>
        <v>0.22</v>
      </c>
      <c r="V15" s="13">
        <f t="shared" ref="V15:V37" si="10">IF(ISNUMBER(U15),U15,"")</f>
        <v>0.22</v>
      </c>
      <c r="W15" s="16">
        <v>1</v>
      </c>
      <c r="X15" s="16">
        <v>50</v>
      </c>
      <c r="Y15" s="16">
        <v>1</v>
      </c>
      <c r="Z15" s="13">
        <f t="shared" ref="Z15:Z37" si="11">IF(W15=1,(MIN(Вес6.1,Вес6.2,Вес6.3,Вес6.4))*((100/MIN(Вес6.1,Вес6.2,Вес6.3,Вес6.4))/AG15*Вес6.4/MIN(Вес6.1,Вес6.2,Вес6.3,Вес6.4)),"")</f>
        <v>18</v>
      </c>
      <c r="AA15" s="13">
        <f t="shared" ref="AA15:AA37" si="12">IF(Z15="","не применяется",IF(W15=0,"не применяется",Y15*Z15/100))</f>
        <v>0.18</v>
      </c>
      <c r="AB15" s="13">
        <f t="shared" ref="AB15:AB37" si="13">IF(ISNUMBER(AA15),AA15,"")</f>
        <v>0.18</v>
      </c>
      <c r="AC15" s="13">
        <f t="shared" ref="AC15:AC37" si="14">IF(E15=1,Вес6.1/MIN(Вес6.1,Вес6.2,Вес6.3,Вес6.4),"")</f>
        <v>2.0555555555555554</v>
      </c>
      <c r="AD15" s="13">
        <f t="shared" ref="AD15:AD37" si="15">IF(K15=1,Вес6.2/MIN(Вес6.1,Вес6.2,Вес6.3,Вес6.4),"")</f>
        <v>1.2777777777777777</v>
      </c>
      <c r="AE15" s="13">
        <f t="shared" ref="AE15:AE37" si="16">IF(Q15=1,Вес6.3/MIN(Вес6.1,Вес6.2,Вес6.3,Вес6.4),"")</f>
        <v>1.2222222222222223</v>
      </c>
      <c r="AF15" s="13">
        <f t="shared" ref="AF15:AF37" si="17">IF(W15=1,Вес6.4/MIN(Вес6.1,Вес6.2,Вес6.3,Вес6.4),"")</f>
        <v>1</v>
      </c>
      <c r="AG15" s="13">
        <f t="shared" ref="AG15:AG37" si="18">SUM(AC15:AF15)</f>
        <v>5.5555555555555554</v>
      </c>
    </row>
    <row r="16" spans="1:33" x14ac:dyDescent="0.2">
      <c r="A16" s="1" t="s">
        <v>42</v>
      </c>
      <c r="B16" s="11" t="s">
        <v>148</v>
      </c>
      <c r="C16" s="13">
        <f t="shared" si="0"/>
        <v>0.84665900000000005</v>
      </c>
      <c r="D16" s="13">
        <f t="shared" si="1"/>
        <v>1</v>
      </c>
      <c r="E16" s="16">
        <v>1</v>
      </c>
      <c r="F16" s="16">
        <v>120</v>
      </c>
      <c r="G16" s="16">
        <v>1</v>
      </c>
      <c r="H16" s="13">
        <f t="shared" si="2"/>
        <v>37</v>
      </c>
      <c r="I16" s="13">
        <f t="shared" si="3"/>
        <v>0.37</v>
      </c>
      <c r="J16" s="13">
        <f t="shared" si="4"/>
        <v>0.37</v>
      </c>
      <c r="K16" s="16">
        <v>1</v>
      </c>
      <c r="L16" s="16">
        <v>33.333300000000001</v>
      </c>
      <c r="M16" s="16">
        <v>0.33329999999999999</v>
      </c>
      <c r="N16" s="13">
        <f t="shared" si="5"/>
        <v>23</v>
      </c>
      <c r="O16" s="13">
        <f t="shared" si="6"/>
        <v>7.6658999999999991E-2</v>
      </c>
      <c r="P16" s="13">
        <f t="shared" si="7"/>
        <v>7.6658999999999991E-2</v>
      </c>
      <c r="Q16" s="16">
        <v>1</v>
      </c>
      <c r="R16" s="16">
        <v>100</v>
      </c>
      <c r="S16" s="16">
        <v>1</v>
      </c>
      <c r="T16" s="13">
        <f t="shared" si="8"/>
        <v>22</v>
      </c>
      <c r="U16" s="13">
        <f t="shared" si="9"/>
        <v>0.22</v>
      </c>
      <c r="V16" s="13">
        <f t="shared" si="10"/>
        <v>0.22</v>
      </c>
      <c r="W16" s="16">
        <v>1</v>
      </c>
      <c r="X16" s="16">
        <v>26.666699999999999</v>
      </c>
      <c r="Y16" s="16">
        <v>1</v>
      </c>
      <c r="Z16" s="13">
        <f t="shared" si="11"/>
        <v>18</v>
      </c>
      <c r="AA16" s="13">
        <f t="shared" si="12"/>
        <v>0.18</v>
      </c>
      <c r="AB16" s="13">
        <f t="shared" si="13"/>
        <v>0.18</v>
      </c>
      <c r="AC16" s="13">
        <f t="shared" si="14"/>
        <v>2.0555555555555554</v>
      </c>
      <c r="AD16" s="13">
        <f t="shared" si="15"/>
        <v>1.2777777777777777</v>
      </c>
      <c r="AE16" s="13">
        <f t="shared" si="16"/>
        <v>1.2222222222222223</v>
      </c>
      <c r="AF16" s="13">
        <f t="shared" si="17"/>
        <v>1</v>
      </c>
      <c r="AG16" s="13">
        <f t="shared" si="18"/>
        <v>5.5555555555555554</v>
      </c>
    </row>
    <row r="17" spans="1:33" x14ac:dyDescent="0.2">
      <c r="A17" s="1" t="s">
        <v>43</v>
      </c>
      <c r="B17" s="11" t="s">
        <v>22</v>
      </c>
      <c r="C17" s="13">
        <f t="shared" si="0"/>
        <v>0.77</v>
      </c>
      <c r="D17" s="13">
        <f t="shared" si="1"/>
        <v>1</v>
      </c>
      <c r="E17" s="16">
        <v>1</v>
      </c>
      <c r="F17" s="16">
        <v>120</v>
      </c>
      <c r="G17" s="16">
        <v>1</v>
      </c>
      <c r="H17" s="13">
        <f t="shared" si="2"/>
        <v>37</v>
      </c>
      <c r="I17" s="13">
        <f t="shared" si="3"/>
        <v>0.37</v>
      </c>
      <c r="J17" s="13">
        <f t="shared" si="4"/>
        <v>0.37</v>
      </c>
      <c r="K17" s="16">
        <v>1</v>
      </c>
      <c r="L17" s="16">
        <v>0</v>
      </c>
      <c r="M17" s="16">
        <v>0</v>
      </c>
      <c r="N17" s="13">
        <f t="shared" si="5"/>
        <v>23</v>
      </c>
      <c r="O17" s="13">
        <f t="shared" si="6"/>
        <v>0</v>
      </c>
      <c r="P17" s="13">
        <f t="shared" si="7"/>
        <v>0</v>
      </c>
      <c r="Q17" s="16">
        <v>1</v>
      </c>
      <c r="R17" s="16">
        <v>100</v>
      </c>
      <c r="S17" s="16">
        <v>1</v>
      </c>
      <c r="T17" s="13">
        <f t="shared" si="8"/>
        <v>22</v>
      </c>
      <c r="U17" s="13">
        <f t="shared" si="9"/>
        <v>0.22</v>
      </c>
      <c r="V17" s="13">
        <f t="shared" si="10"/>
        <v>0.22</v>
      </c>
      <c r="W17" s="16">
        <v>1</v>
      </c>
      <c r="X17" s="16">
        <v>26.666699999999999</v>
      </c>
      <c r="Y17" s="16">
        <v>1</v>
      </c>
      <c r="Z17" s="13">
        <f t="shared" si="11"/>
        <v>18</v>
      </c>
      <c r="AA17" s="13">
        <f t="shared" si="12"/>
        <v>0.18</v>
      </c>
      <c r="AB17" s="13">
        <f t="shared" si="13"/>
        <v>0.18</v>
      </c>
      <c r="AC17" s="13">
        <f t="shared" si="14"/>
        <v>2.0555555555555554</v>
      </c>
      <c r="AD17" s="13">
        <f t="shared" si="15"/>
        <v>1.2777777777777777</v>
      </c>
      <c r="AE17" s="13">
        <f t="shared" si="16"/>
        <v>1.2222222222222223</v>
      </c>
      <c r="AF17" s="13">
        <f t="shared" si="17"/>
        <v>1</v>
      </c>
      <c r="AG17" s="13">
        <f t="shared" si="18"/>
        <v>5.5555555555555554</v>
      </c>
    </row>
    <row r="18" spans="1:33" ht="25.5" x14ac:dyDescent="0.2">
      <c r="A18" s="1" t="s">
        <v>152</v>
      </c>
      <c r="B18" s="11" t="s">
        <v>153</v>
      </c>
      <c r="C18" s="13">
        <f t="shared" si="0"/>
        <v>0</v>
      </c>
      <c r="D18" s="13">
        <f t="shared" si="1"/>
        <v>1</v>
      </c>
      <c r="E18" s="16">
        <v>1</v>
      </c>
      <c r="F18" s="16">
        <v>0</v>
      </c>
      <c r="G18" s="16">
        <v>0</v>
      </c>
      <c r="H18" s="13">
        <f t="shared" si="2"/>
        <v>37</v>
      </c>
      <c r="I18" s="13">
        <f t="shared" si="3"/>
        <v>0</v>
      </c>
      <c r="J18" s="13">
        <f t="shared" si="4"/>
        <v>0</v>
      </c>
      <c r="K18" s="16">
        <v>1</v>
      </c>
      <c r="L18" s="16">
        <v>0</v>
      </c>
      <c r="M18" s="16">
        <v>0</v>
      </c>
      <c r="N18" s="13">
        <f t="shared" si="5"/>
        <v>23</v>
      </c>
      <c r="O18" s="13">
        <f t="shared" si="6"/>
        <v>0</v>
      </c>
      <c r="P18" s="13">
        <f t="shared" si="7"/>
        <v>0</v>
      </c>
      <c r="Q18" s="16">
        <v>1</v>
      </c>
      <c r="R18" s="16">
        <v>0</v>
      </c>
      <c r="S18" s="16">
        <v>0</v>
      </c>
      <c r="T18" s="13">
        <f t="shared" si="8"/>
        <v>22</v>
      </c>
      <c r="U18" s="13">
        <f t="shared" si="9"/>
        <v>0</v>
      </c>
      <c r="V18" s="13">
        <f t="shared" si="10"/>
        <v>0</v>
      </c>
      <c r="W18" s="16">
        <v>1</v>
      </c>
      <c r="X18" s="16">
        <v>0</v>
      </c>
      <c r="Y18" s="16">
        <v>0</v>
      </c>
      <c r="Z18" s="13">
        <f t="shared" si="11"/>
        <v>18</v>
      </c>
      <c r="AA18" s="13">
        <f t="shared" si="12"/>
        <v>0</v>
      </c>
      <c r="AB18" s="13">
        <f t="shared" si="13"/>
        <v>0</v>
      </c>
      <c r="AC18" s="13">
        <f t="shared" si="14"/>
        <v>2.0555555555555554</v>
      </c>
      <c r="AD18" s="13">
        <f t="shared" si="15"/>
        <v>1.2777777777777777</v>
      </c>
      <c r="AE18" s="13">
        <f t="shared" si="16"/>
        <v>1.2222222222222223</v>
      </c>
      <c r="AF18" s="13">
        <f t="shared" si="17"/>
        <v>1</v>
      </c>
      <c r="AG18" s="13">
        <f t="shared" si="18"/>
        <v>5.5555555555555554</v>
      </c>
    </row>
    <row r="19" spans="1:33" x14ac:dyDescent="0.2">
      <c r="A19" s="1" t="s">
        <v>44</v>
      </c>
      <c r="B19" s="11" t="s">
        <v>23</v>
      </c>
      <c r="C19" s="13">
        <f t="shared" si="0"/>
        <v>0.82</v>
      </c>
      <c r="D19" s="13">
        <f t="shared" si="1"/>
        <v>1</v>
      </c>
      <c r="E19" s="16">
        <v>1</v>
      </c>
      <c r="F19" s="16">
        <v>120</v>
      </c>
      <c r="G19" s="16">
        <v>1</v>
      </c>
      <c r="H19" s="13">
        <f t="shared" si="2"/>
        <v>37</v>
      </c>
      <c r="I19" s="13">
        <f t="shared" si="3"/>
        <v>0.37</v>
      </c>
      <c r="J19" s="13">
        <f t="shared" si="4"/>
        <v>0.37</v>
      </c>
      <c r="K19" s="16">
        <v>1</v>
      </c>
      <c r="L19" s="16">
        <v>100</v>
      </c>
      <c r="M19" s="16">
        <v>1</v>
      </c>
      <c r="N19" s="13">
        <f t="shared" si="5"/>
        <v>23</v>
      </c>
      <c r="O19" s="13">
        <f t="shared" si="6"/>
        <v>0.23</v>
      </c>
      <c r="P19" s="13">
        <f t="shared" si="7"/>
        <v>0.23</v>
      </c>
      <c r="Q19" s="16">
        <v>1</v>
      </c>
      <c r="R19" s="16">
        <v>100</v>
      </c>
      <c r="S19" s="16">
        <v>1</v>
      </c>
      <c r="T19" s="13">
        <f t="shared" si="8"/>
        <v>22</v>
      </c>
      <c r="U19" s="13">
        <f t="shared" si="9"/>
        <v>0.22</v>
      </c>
      <c r="V19" s="13">
        <f t="shared" si="10"/>
        <v>0.22</v>
      </c>
      <c r="W19" s="16">
        <v>1</v>
      </c>
      <c r="X19" s="16">
        <v>0</v>
      </c>
      <c r="Y19" s="16">
        <v>0</v>
      </c>
      <c r="Z19" s="13">
        <f t="shared" si="11"/>
        <v>18</v>
      </c>
      <c r="AA19" s="13">
        <f t="shared" si="12"/>
        <v>0</v>
      </c>
      <c r="AB19" s="13">
        <f t="shared" si="13"/>
        <v>0</v>
      </c>
      <c r="AC19" s="13">
        <f t="shared" si="14"/>
        <v>2.0555555555555554</v>
      </c>
      <c r="AD19" s="13">
        <f t="shared" si="15"/>
        <v>1.2777777777777777</v>
      </c>
      <c r="AE19" s="13">
        <f t="shared" si="16"/>
        <v>1.2222222222222223</v>
      </c>
      <c r="AF19" s="13">
        <f t="shared" si="17"/>
        <v>1</v>
      </c>
      <c r="AG19" s="13">
        <f t="shared" si="18"/>
        <v>5.5555555555555554</v>
      </c>
    </row>
    <row r="20" spans="1:33" ht="25.5" x14ac:dyDescent="0.2">
      <c r="A20" s="1" t="s">
        <v>45</v>
      </c>
      <c r="B20" s="11" t="s">
        <v>24</v>
      </c>
      <c r="C20" s="13">
        <f t="shared" si="0"/>
        <v>0.88500000000000001</v>
      </c>
      <c r="D20" s="13">
        <f t="shared" si="1"/>
        <v>1</v>
      </c>
      <c r="E20" s="16">
        <v>1</v>
      </c>
      <c r="F20" s="16">
        <v>210</v>
      </c>
      <c r="G20" s="16">
        <v>1</v>
      </c>
      <c r="H20" s="13">
        <f t="shared" si="2"/>
        <v>37</v>
      </c>
      <c r="I20" s="13">
        <f t="shared" si="3"/>
        <v>0.37</v>
      </c>
      <c r="J20" s="13">
        <f t="shared" si="4"/>
        <v>0.37</v>
      </c>
      <c r="K20" s="16">
        <v>1</v>
      </c>
      <c r="L20" s="16">
        <v>50</v>
      </c>
      <c r="M20" s="16">
        <v>0.5</v>
      </c>
      <c r="N20" s="13">
        <f t="shared" si="5"/>
        <v>23</v>
      </c>
      <c r="O20" s="13">
        <f t="shared" si="6"/>
        <v>0.115</v>
      </c>
      <c r="P20" s="13">
        <f t="shared" si="7"/>
        <v>0.115</v>
      </c>
      <c r="Q20" s="16">
        <v>1</v>
      </c>
      <c r="R20" s="16">
        <v>100</v>
      </c>
      <c r="S20" s="16">
        <v>1</v>
      </c>
      <c r="T20" s="13">
        <f t="shared" si="8"/>
        <v>22</v>
      </c>
      <c r="U20" s="13">
        <f t="shared" si="9"/>
        <v>0.22</v>
      </c>
      <c r="V20" s="13">
        <f t="shared" si="10"/>
        <v>0.22</v>
      </c>
      <c r="W20" s="16">
        <v>1</v>
      </c>
      <c r="X20" s="16">
        <v>25</v>
      </c>
      <c r="Y20" s="16">
        <v>1</v>
      </c>
      <c r="Z20" s="13">
        <f t="shared" si="11"/>
        <v>18</v>
      </c>
      <c r="AA20" s="13">
        <f t="shared" si="12"/>
        <v>0.18</v>
      </c>
      <c r="AB20" s="13">
        <f t="shared" si="13"/>
        <v>0.18</v>
      </c>
      <c r="AC20" s="13">
        <f t="shared" si="14"/>
        <v>2.0555555555555554</v>
      </c>
      <c r="AD20" s="13">
        <f t="shared" si="15"/>
        <v>1.2777777777777777</v>
      </c>
      <c r="AE20" s="13">
        <f t="shared" si="16"/>
        <v>1.2222222222222223</v>
      </c>
      <c r="AF20" s="13">
        <f t="shared" si="17"/>
        <v>1</v>
      </c>
      <c r="AG20" s="13">
        <f t="shared" si="18"/>
        <v>5.5555555555555554</v>
      </c>
    </row>
    <row r="21" spans="1:33" ht="25.5" x14ac:dyDescent="0.2">
      <c r="A21" s="1" t="s">
        <v>46</v>
      </c>
      <c r="B21" s="11" t="s">
        <v>25</v>
      </c>
      <c r="C21" s="13">
        <f t="shared" si="0"/>
        <v>0.78321899999999989</v>
      </c>
      <c r="D21" s="13">
        <f t="shared" si="1"/>
        <v>1</v>
      </c>
      <c r="E21" s="16">
        <v>1</v>
      </c>
      <c r="F21" s="16">
        <v>127.8947</v>
      </c>
      <c r="G21" s="16">
        <v>1</v>
      </c>
      <c r="H21" s="13">
        <f t="shared" si="2"/>
        <v>37</v>
      </c>
      <c r="I21" s="13">
        <f t="shared" si="3"/>
        <v>0.37</v>
      </c>
      <c r="J21" s="13">
        <f t="shared" si="4"/>
        <v>0.37</v>
      </c>
      <c r="K21" s="16">
        <v>1</v>
      </c>
      <c r="L21" s="16">
        <v>10.526300000000001</v>
      </c>
      <c r="M21" s="16">
        <v>0.1053</v>
      </c>
      <c r="N21" s="13">
        <f t="shared" si="5"/>
        <v>23</v>
      </c>
      <c r="O21" s="13">
        <f t="shared" si="6"/>
        <v>2.4219000000000001E-2</v>
      </c>
      <c r="P21" s="13">
        <f t="shared" si="7"/>
        <v>2.4219000000000001E-2</v>
      </c>
      <c r="Q21" s="16">
        <v>1</v>
      </c>
      <c r="R21" s="16">
        <v>95</v>
      </c>
      <c r="S21" s="16">
        <v>0.95</v>
      </c>
      <c r="T21" s="13">
        <f t="shared" si="8"/>
        <v>22</v>
      </c>
      <c r="U21" s="13">
        <f t="shared" si="9"/>
        <v>0.20899999999999999</v>
      </c>
      <c r="V21" s="13">
        <f t="shared" si="10"/>
        <v>0.20899999999999999</v>
      </c>
      <c r="W21" s="16">
        <v>1</v>
      </c>
      <c r="X21" s="16">
        <v>57.8947</v>
      </c>
      <c r="Y21" s="16">
        <v>1</v>
      </c>
      <c r="Z21" s="13">
        <f t="shared" si="11"/>
        <v>18</v>
      </c>
      <c r="AA21" s="13">
        <f t="shared" si="12"/>
        <v>0.18</v>
      </c>
      <c r="AB21" s="13">
        <f t="shared" si="13"/>
        <v>0.18</v>
      </c>
      <c r="AC21" s="13">
        <f t="shared" si="14"/>
        <v>2.0555555555555554</v>
      </c>
      <c r="AD21" s="13">
        <f t="shared" si="15"/>
        <v>1.2777777777777777</v>
      </c>
      <c r="AE21" s="13">
        <f t="shared" si="16"/>
        <v>1.2222222222222223</v>
      </c>
      <c r="AF21" s="13">
        <f t="shared" si="17"/>
        <v>1</v>
      </c>
      <c r="AG21" s="13">
        <f t="shared" si="18"/>
        <v>5.5555555555555554</v>
      </c>
    </row>
    <row r="22" spans="1:33" ht="25.5" x14ac:dyDescent="0.2">
      <c r="A22" s="1" t="s">
        <v>47</v>
      </c>
      <c r="B22" s="11" t="s">
        <v>26</v>
      </c>
      <c r="C22" s="13">
        <f t="shared" si="0"/>
        <v>0.8274999999999999</v>
      </c>
      <c r="D22" s="13">
        <f t="shared" si="1"/>
        <v>1</v>
      </c>
      <c r="E22" s="16">
        <v>1</v>
      </c>
      <c r="F22" s="16">
        <v>120</v>
      </c>
      <c r="G22" s="16">
        <v>1</v>
      </c>
      <c r="H22" s="13">
        <f t="shared" si="2"/>
        <v>37</v>
      </c>
      <c r="I22" s="13">
        <f t="shared" si="3"/>
        <v>0.37</v>
      </c>
      <c r="J22" s="13">
        <f t="shared" si="4"/>
        <v>0.37</v>
      </c>
      <c r="K22" s="16">
        <v>1</v>
      </c>
      <c r="L22" s="16">
        <v>25</v>
      </c>
      <c r="M22" s="16">
        <v>0.25</v>
      </c>
      <c r="N22" s="13">
        <f t="shared" si="5"/>
        <v>23</v>
      </c>
      <c r="O22" s="13">
        <f t="shared" si="6"/>
        <v>5.7500000000000002E-2</v>
      </c>
      <c r="P22" s="13">
        <f t="shared" si="7"/>
        <v>5.7500000000000002E-2</v>
      </c>
      <c r="Q22" s="16">
        <v>1</v>
      </c>
      <c r="R22" s="16">
        <v>100</v>
      </c>
      <c r="S22" s="16">
        <v>1</v>
      </c>
      <c r="T22" s="13">
        <f t="shared" si="8"/>
        <v>22</v>
      </c>
      <c r="U22" s="13">
        <f t="shared" si="9"/>
        <v>0.22</v>
      </c>
      <c r="V22" s="13">
        <f t="shared" si="10"/>
        <v>0.22</v>
      </c>
      <c r="W22" s="16">
        <v>1</v>
      </c>
      <c r="X22" s="16">
        <v>25</v>
      </c>
      <c r="Y22" s="16">
        <v>1</v>
      </c>
      <c r="Z22" s="13">
        <f t="shared" si="11"/>
        <v>18</v>
      </c>
      <c r="AA22" s="13">
        <f t="shared" si="12"/>
        <v>0.18</v>
      </c>
      <c r="AB22" s="13">
        <f t="shared" si="13"/>
        <v>0.18</v>
      </c>
      <c r="AC22" s="13">
        <f t="shared" si="14"/>
        <v>2.0555555555555554</v>
      </c>
      <c r="AD22" s="13">
        <f t="shared" si="15"/>
        <v>1.2777777777777777</v>
      </c>
      <c r="AE22" s="13">
        <f t="shared" si="16"/>
        <v>1.2222222222222223</v>
      </c>
      <c r="AF22" s="13">
        <f t="shared" si="17"/>
        <v>1</v>
      </c>
      <c r="AG22" s="13">
        <f t="shared" si="18"/>
        <v>5.5555555555555554</v>
      </c>
    </row>
    <row r="23" spans="1:33" ht="25.5" x14ac:dyDescent="0.2">
      <c r="A23" s="1" t="s">
        <v>48</v>
      </c>
      <c r="B23" s="11" t="s">
        <v>27</v>
      </c>
      <c r="C23" s="13">
        <f t="shared" si="0"/>
        <v>0.85253800000000002</v>
      </c>
      <c r="D23" s="13">
        <f t="shared" si="1"/>
        <v>1</v>
      </c>
      <c r="E23" s="16">
        <v>1</v>
      </c>
      <c r="F23" s="16">
        <v>120</v>
      </c>
      <c r="G23" s="16">
        <v>1</v>
      </c>
      <c r="H23" s="13">
        <f t="shared" si="2"/>
        <v>37</v>
      </c>
      <c r="I23" s="13">
        <f t="shared" si="3"/>
        <v>0.37</v>
      </c>
      <c r="J23" s="13">
        <f t="shared" si="4"/>
        <v>0.37</v>
      </c>
      <c r="K23" s="16">
        <v>1</v>
      </c>
      <c r="L23" s="16">
        <v>57.142899999999997</v>
      </c>
      <c r="M23" s="16">
        <v>0.57140000000000002</v>
      </c>
      <c r="N23" s="13">
        <f t="shared" si="5"/>
        <v>23</v>
      </c>
      <c r="O23" s="13">
        <f t="shared" si="6"/>
        <v>0.13142200000000001</v>
      </c>
      <c r="P23" s="13">
        <f t="shared" si="7"/>
        <v>0.13142200000000001</v>
      </c>
      <c r="Q23" s="16">
        <v>1</v>
      </c>
      <c r="R23" s="16">
        <v>77.777799999999999</v>
      </c>
      <c r="S23" s="16">
        <v>0.77780000000000005</v>
      </c>
      <c r="T23" s="13">
        <f t="shared" si="8"/>
        <v>22</v>
      </c>
      <c r="U23" s="13">
        <f t="shared" si="9"/>
        <v>0.17111600000000002</v>
      </c>
      <c r="V23" s="13">
        <f t="shared" si="10"/>
        <v>0.17111600000000002</v>
      </c>
      <c r="W23" s="16">
        <v>1</v>
      </c>
      <c r="X23" s="16">
        <v>42.857100000000003</v>
      </c>
      <c r="Y23" s="16">
        <v>1</v>
      </c>
      <c r="Z23" s="13">
        <f t="shared" si="11"/>
        <v>18</v>
      </c>
      <c r="AA23" s="13">
        <f t="shared" si="12"/>
        <v>0.18</v>
      </c>
      <c r="AB23" s="13">
        <f t="shared" si="13"/>
        <v>0.18</v>
      </c>
      <c r="AC23" s="13">
        <f t="shared" si="14"/>
        <v>2.0555555555555554</v>
      </c>
      <c r="AD23" s="13">
        <f t="shared" si="15"/>
        <v>1.2777777777777777</v>
      </c>
      <c r="AE23" s="13">
        <f t="shared" si="16"/>
        <v>1.2222222222222223</v>
      </c>
      <c r="AF23" s="13">
        <f t="shared" si="17"/>
        <v>1</v>
      </c>
      <c r="AG23" s="13">
        <f t="shared" si="18"/>
        <v>5.5555555555555554</v>
      </c>
    </row>
    <row r="24" spans="1:33" x14ac:dyDescent="0.2">
      <c r="A24" s="1" t="s">
        <v>49</v>
      </c>
      <c r="B24" s="11" t="s">
        <v>28</v>
      </c>
      <c r="C24" s="13">
        <f t="shared" si="0"/>
        <v>0.70499999999999996</v>
      </c>
      <c r="D24" s="13">
        <f t="shared" si="1"/>
        <v>1</v>
      </c>
      <c r="E24" s="16">
        <v>1</v>
      </c>
      <c r="F24" s="16">
        <v>120</v>
      </c>
      <c r="G24" s="16">
        <v>1</v>
      </c>
      <c r="H24" s="13">
        <f t="shared" si="2"/>
        <v>37</v>
      </c>
      <c r="I24" s="13">
        <f t="shared" si="3"/>
        <v>0.37</v>
      </c>
      <c r="J24" s="13">
        <f t="shared" si="4"/>
        <v>0.37</v>
      </c>
      <c r="K24" s="16">
        <v>1</v>
      </c>
      <c r="L24" s="16">
        <v>50</v>
      </c>
      <c r="M24" s="16">
        <v>0.5</v>
      </c>
      <c r="N24" s="13">
        <f t="shared" si="5"/>
        <v>23</v>
      </c>
      <c r="O24" s="13">
        <f t="shared" si="6"/>
        <v>0.115</v>
      </c>
      <c r="P24" s="13">
        <f t="shared" si="7"/>
        <v>0.115</v>
      </c>
      <c r="Q24" s="16">
        <v>1</v>
      </c>
      <c r="R24" s="16">
        <v>100</v>
      </c>
      <c r="S24" s="16">
        <v>1</v>
      </c>
      <c r="T24" s="13">
        <f t="shared" si="8"/>
        <v>22</v>
      </c>
      <c r="U24" s="13">
        <f t="shared" si="9"/>
        <v>0.22</v>
      </c>
      <c r="V24" s="13">
        <f t="shared" si="10"/>
        <v>0.22</v>
      </c>
      <c r="W24" s="16">
        <v>1</v>
      </c>
      <c r="X24" s="16">
        <v>0</v>
      </c>
      <c r="Y24" s="16">
        <v>0</v>
      </c>
      <c r="Z24" s="13">
        <f t="shared" si="11"/>
        <v>18</v>
      </c>
      <c r="AA24" s="13">
        <f t="shared" si="12"/>
        <v>0</v>
      </c>
      <c r="AB24" s="13">
        <f t="shared" si="13"/>
        <v>0</v>
      </c>
      <c r="AC24" s="13">
        <f t="shared" si="14"/>
        <v>2.0555555555555554</v>
      </c>
      <c r="AD24" s="13">
        <f t="shared" si="15"/>
        <v>1.2777777777777777</v>
      </c>
      <c r="AE24" s="13">
        <f t="shared" si="16"/>
        <v>1.2222222222222223</v>
      </c>
      <c r="AF24" s="13">
        <f t="shared" si="17"/>
        <v>1</v>
      </c>
      <c r="AG24" s="13">
        <f t="shared" si="18"/>
        <v>5.5555555555555554</v>
      </c>
    </row>
    <row r="25" spans="1:33" ht="25.5" x14ac:dyDescent="0.2">
      <c r="A25" s="1" t="s">
        <v>150</v>
      </c>
      <c r="B25" s="11" t="s">
        <v>147</v>
      </c>
      <c r="C25" s="13">
        <f t="shared" si="0"/>
        <v>0.74733499999999997</v>
      </c>
      <c r="D25" s="13">
        <f t="shared" si="1"/>
        <v>1</v>
      </c>
      <c r="E25" s="16">
        <v>1</v>
      </c>
      <c r="F25" s="16">
        <v>120</v>
      </c>
      <c r="G25" s="16">
        <v>1</v>
      </c>
      <c r="H25" s="13">
        <f t="shared" si="2"/>
        <v>37</v>
      </c>
      <c r="I25" s="13">
        <f t="shared" si="3"/>
        <v>0.37</v>
      </c>
      <c r="J25" s="13">
        <f t="shared" si="4"/>
        <v>0.37</v>
      </c>
      <c r="K25" s="16">
        <v>1</v>
      </c>
      <c r="L25" s="16">
        <v>26.666699999999999</v>
      </c>
      <c r="M25" s="16">
        <v>0.26669999999999999</v>
      </c>
      <c r="N25" s="13">
        <f t="shared" si="5"/>
        <v>23</v>
      </c>
      <c r="O25" s="13">
        <f t="shared" si="6"/>
        <v>6.1341E-2</v>
      </c>
      <c r="P25" s="13">
        <f t="shared" si="7"/>
        <v>6.1341E-2</v>
      </c>
      <c r="Q25" s="16">
        <v>1</v>
      </c>
      <c r="R25" s="16">
        <v>100</v>
      </c>
      <c r="S25" s="16">
        <v>1</v>
      </c>
      <c r="T25" s="13">
        <f t="shared" si="8"/>
        <v>22</v>
      </c>
      <c r="U25" s="13">
        <f t="shared" si="9"/>
        <v>0.22</v>
      </c>
      <c r="V25" s="13">
        <f t="shared" si="10"/>
        <v>0.22</v>
      </c>
      <c r="W25" s="16">
        <v>1</v>
      </c>
      <c r="X25" s="16">
        <v>13.333299999999999</v>
      </c>
      <c r="Y25" s="16">
        <v>0.5333</v>
      </c>
      <c r="Z25" s="13">
        <f t="shared" si="11"/>
        <v>18</v>
      </c>
      <c r="AA25" s="13">
        <f t="shared" si="12"/>
        <v>9.5993999999999996E-2</v>
      </c>
      <c r="AB25" s="13">
        <f t="shared" si="13"/>
        <v>9.5993999999999996E-2</v>
      </c>
      <c r="AC25" s="13">
        <f t="shared" si="14"/>
        <v>2.0555555555555554</v>
      </c>
      <c r="AD25" s="13">
        <f t="shared" si="15"/>
        <v>1.2777777777777777</v>
      </c>
      <c r="AE25" s="13">
        <f t="shared" si="16"/>
        <v>1.2222222222222223</v>
      </c>
      <c r="AF25" s="13">
        <f t="shared" si="17"/>
        <v>1</v>
      </c>
      <c r="AG25" s="13">
        <f t="shared" si="18"/>
        <v>5.5555555555555554</v>
      </c>
    </row>
    <row r="26" spans="1:33" x14ac:dyDescent="0.2">
      <c r="A26" s="1" t="s">
        <v>50</v>
      </c>
      <c r="B26" s="11" t="s">
        <v>29</v>
      </c>
      <c r="C26" s="13">
        <f t="shared" si="0"/>
        <v>0.86334699999999998</v>
      </c>
      <c r="D26" s="13">
        <f t="shared" si="1"/>
        <v>1</v>
      </c>
      <c r="E26" s="16">
        <v>1</v>
      </c>
      <c r="F26" s="16">
        <v>120</v>
      </c>
      <c r="G26" s="16">
        <v>1</v>
      </c>
      <c r="H26" s="13">
        <f t="shared" si="2"/>
        <v>37</v>
      </c>
      <c r="I26" s="13">
        <f t="shared" si="3"/>
        <v>0.37</v>
      </c>
      <c r="J26" s="13">
        <f t="shared" si="4"/>
        <v>0.37</v>
      </c>
      <c r="K26" s="16">
        <v>1</v>
      </c>
      <c r="L26" s="16">
        <v>66.666700000000006</v>
      </c>
      <c r="M26" s="16">
        <v>0.66669999999999996</v>
      </c>
      <c r="N26" s="13">
        <f t="shared" si="5"/>
        <v>23</v>
      </c>
      <c r="O26" s="13">
        <f t="shared" si="6"/>
        <v>0.15334100000000001</v>
      </c>
      <c r="P26" s="13">
        <f t="shared" si="7"/>
        <v>0.15334100000000001</v>
      </c>
      <c r="Q26" s="16">
        <v>1</v>
      </c>
      <c r="R26" s="16">
        <v>100</v>
      </c>
      <c r="S26" s="16">
        <v>1</v>
      </c>
      <c r="T26" s="13">
        <f t="shared" si="8"/>
        <v>22</v>
      </c>
      <c r="U26" s="13">
        <f t="shared" si="9"/>
        <v>0.22</v>
      </c>
      <c r="V26" s="13">
        <f t="shared" si="10"/>
        <v>0.22</v>
      </c>
      <c r="W26" s="16">
        <v>1</v>
      </c>
      <c r="X26" s="16">
        <v>16.666699999999999</v>
      </c>
      <c r="Y26" s="16">
        <v>0.66669999999999996</v>
      </c>
      <c r="Z26" s="13">
        <f t="shared" si="11"/>
        <v>18</v>
      </c>
      <c r="AA26" s="13">
        <f t="shared" si="12"/>
        <v>0.12000599999999999</v>
      </c>
      <c r="AB26" s="13">
        <f t="shared" si="13"/>
        <v>0.12000599999999999</v>
      </c>
      <c r="AC26" s="13">
        <f t="shared" si="14"/>
        <v>2.0555555555555554</v>
      </c>
      <c r="AD26" s="13">
        <f t="shared" si="15"/>
        <v>1.2777777777777777</v>
      </c>
      <c r="AE26" s="13">
        <f t="shared" si="16"/>
        <v>1.2222222222222223</v>
      </c>
      <c r="AF26" s="13">
        <f t="shared" si="17"/>
        <v>1</v>
      </c>
      <c r="AG26" s="13">
        <f t="shared" si="18"/>
        <v>5.5555555555555554</v>
      </c>
    </row>
    <row r="27" spans="1:33" x14ac:dyDescent="0.2">
      <c r="A27" s="1" t="s">
        <v>51</v>
      </c>
      <c r="B27" s="11" t="s">
        <v>30</v>
      </c>
      <c r="C27" s="13">
        <f t="shared" si="0"/>
        <v>0.72560399999999992</v>
      </c>
      <c r="D27" s="13">
        <f t="shared" si="1"/>
        <v>1</v>
      </c>
      <c r="E27" s="16">
        <v>1</v>
      </c>
      <c r="F27" s="16">
        <v>117.0732</v>
      </c>
      <c r="G27" s="16">
        <v>0.85370000000000001</v>
      </c>
      <c r="H27" s="13">
        <f t="shared" si="2"/>
        <v>37</v>
      </c>
      <c r="I27" s="13">
        <f t="shared" si="3"/>
        <v>0.31586900000000001</v>
      </c>
      <c r="J27" s="13">
        <f t="shared" si="4"/>
        <v>0.31586900000000001</v>
      </c>
      <c r="K27" s="16">
        <v>1</v>
      </c>
      <c r="L27" s="16">
        <v>14.6341</v>
      </c>
      <c r="M27" s="16">
        <v>0.14630000000000001</v>
      </c>
      <c r="N27" s="13">
        <f t="shared" si="5"/>
        <v>23</v>
      </c>
      <c r="O27" s="13">
        <f t="shared" si="6"/>
        <v>3.3649000000000005E-2</v>
      </c>
      <c r="P27" s="13">
        <f t="shared" si="7"/>
        <v>3.3649000000000005E-2</v>
      </c>
      <c r="Q27" s="16">
        <v>1</v>
      </c>
      <c r="R27" s="16">
        <v>89.130399999999995</v>
      </c>
      <c r="S27" s="16">
        <v>0.89129999999999998</v>
      </c>
      <c r="T27" s="13">
        <f t="shared" si="8"/>
        <v>22</v>
      </c>
      <c r="U27" s="13">
        <f t="shared" si="9"/>
        <v>0.19608599999999998</v>
      </c>
      <c r="V27" s="13">
        <f t="shared" si="10"/>
        <v>0.19608599999999998</v>
      </c>
      <c r="W27" s="16">
        <v>1</v>
      </c>
      <c r="X27" s="16">
        <v>63.4146</v>
      </c>
      <c r="Y27" s="16">
        <v>1</v>
      </c>
      <c r="Z27" s="13">
        <f t="shared" si="11"/>
        <v>18</v>
      </c>
      <c r="AA27" s="13">
        <f t="shared" si="12"/>
        <v>0.18</v>
      </c>
      <c r="AB27" s="13">
        <f t="shared" si="13"/>
        <v>0.18</v>
      </c>
      <c r="AC27" s="13">
        <f t="shared" si="14"/>
        <v>2.0555555555555554</v>
      </c>
      <c r="AD27" s="13">
        <f t="shared" si="15"/>
        <v>1.2777777777777777</v>
      </c>
      <c r="AE27" s="13">
        <f t="shared" si="16"/>
        <v>1.2222222222222223</v>
      </c>
      <c r="AF27" s="13">
        <f t="shared" si="17"/>
        <v>1</v>
      </c>
      <c r="AG27" s="13">
        <f t="shared" si="18"/>
        <v>5.5555555555555554</v>
      </c>
    </row>
    <row r="28" spans="1:33" ht="25.5" x14ac:dyDescent="0.2">
      <c r="A28" s="1" t="s">
        <v>52</v>
      </c>
      <c r="B28" s="11" t="s">
        <v>31</v>
      </c>
      <c r="C28" s="13">
        <f t="shared" si="0"/>
        <v>0.26446200000000003</v>
      </c>
      <c r="D28" s="13">
        <f t="shared" si="1"/>
        <v>1</v>
      </c>
      <c r="E28" s="16">
        <v>1</v>
      </c>
      <c r="F28" s="16">
        <v>81.599999999999994</v>
      </c>
      <c r="G28" s="16">
        <v>0</v>
      </c>
      <c r="H28" s="13">
        <f t="shared" si="2"/>
        <v>37</v>
      </c>
      <c r="I28" s="13">
        <f t="shared" si="3"/>
        <v>0</v>
      </c>
      <c r="J28" s="13">
        <f t="shared" si="4"/>
        <v>0</v>
      </c>
      <c r="K28" s="16">
        <v>1</v>
      </c>
      <c r="L28" s="16">
        <v>20</v>
      </c>
      <c r="M28" s="16">
        <v>0.2</v>
      </c>
      <c r="N28" s="13">
        <f t="shared" si="5"/>
        <v>23</v>
      </c>
      <c r="O28" s="13">
        <f t="shared" si="6"/>
        <v>4.6000000000000006E-2</v>
      </c>
      <c r="P28" s="13">
        <f t="shared" si="7"/>
        <v>4.6000000000000006E-2</v>
      </c>
      <c r="Q28" s="16">
        <v>1</v>
      </c>
      <c r="R28" s="16">
        <v>86.206900000000005</v>
      </c>
      <c r="S28" s="16">
        <v>0.86209999999999998</v>
      </c>
      <c r="T28" s="13">
        <f t="shared" si="8"/>
        <v>22</v>
      </c>
      <c r="U28" s="13">
        <f t="shared" si="9"/>
        <v>0.189662</v>
      </c>
      <c r="V28" s="13">
        <f t="shared" si="10"/>
        <v>0.189662</v>
      </c>
      <c r="W28" s="16">
        <v>1</v>
      </c>
      <c r="X28" s="16">
        <v>4</v>
      </c>
      <c r="Y28" s="16">
        <v>0.16</v>
      </c>
      <c r="Z28" s="13">
        <f t="shared" si="11"/>
        <v>18</v>
      </c>
      <c r="AA28" s="13">
        <f t="shared" si="12"/>
        <v>2.8799999999999999E-2</v>
      </c>
      <c r="AB28" s="13">
        <f t="shared" si="13"/>
        <v>2.8799999999999999E-2</v>
      </c>
      <c r="AC28" s="13">
        <f t="shared" si="14"/>
        <v>2.0555555555555554</v>
      </c>
      <c r="AD28" s="13">
        <f t="shared" si="15"/>
        <v>1.2777777777777777</v>
      </c>
      <c r="AE28" s="13">
        <f t="shared" si="16"/>
        <v>1.2222222222222223</v>
      </c>
      <c r="AF28" s="13">
        <f t="shared" si="17"/>
        <v>1</v>
      </c>
      <c r="AG28" s="13">
        <f t="shared" si="18"/>
        <v>5.5555555555555554</v>
      </c>
    </row>
    <row r="29" spans="1:33" ht="25.5" x14ac:dyDescent="0.2">
      <c r="A29" s="1" t="s">
        <v>53</v>
      </c>
      <c r="B29" s="11" t="s">
        <v>32</v>
      </c>
      <c r="C29" s="13">
        <f t="shared" si="0"/>
        <v>0.61678499999999992</v>
      </c>
      <c r="D29" s="13">
        <f t="shared" si="1"/>
        <v>1</v>
      </c>
      <c r="E29" s="16">
        <v>1</v>
      </c>
      <c r="F29" s="16">
        <v>111.4286</v>
      </c>
      <c r="G29" s="16">
        <v>0.57140000000000002</v>
      </c>
      <c r="H29" s="13">
        <f t="shared" si="2"/>
        <v>37</v>
      </c>
      <c r="I29" s="13">
        <f t="shared" si="3"/>
        <v>0.21141799999999999</v>
      </c>
      <c r="J29" s="13">
        <f t="shared" si="4"/>
        <v>0.21141799999999999</v>
      </c>
      <c r="K29" s="16">
        <v>1</v>
      </c>
      <c r="L29" s="16">
        <v>14.2857</v>
      </c>
      <c r="M29" s="16">
        <v>0.1429</v>
      </c>
      <c r="N29" s="13">
        <f t="shared" si="5"/>
        <v>23</v>
      </c>
      <c r="O29" s="13">
        <f t="shared" si="6"/>
        <v>3.2867E-2</v>
      </c>
      <c r="P29" s="13">
        <f t="shared" si="7"/>
        <v>3.2867E-2</v>
      </c>
      <c r="Q29" s="16">
        <v>1</v>
      </c>
      <c r="R29" s="16">
        <v>87.5</v>
      </c>
      <c r="S29" s="16">
        <v>0.875</v>
      </c>
      <c r="T29" s="13">
        <f t="shared" si="8"/>
        <v>22</v>
      </c>
      <c r="U29" s="13">
        <f t="shared" si="9"/>
        <v>0.1925</v>
      </c>
      <c r="V29" s="13">
        <f t="shared" si="10"/>
        <v>0.1925</v>
      </c>
      <c r="W29" s="16">
        <v>1</v>
      </c>
      <c r="X29" s="16">
        <v>28.571400000000001</v>
      </c>
      <c r="Y29" s="16">
        <v>1</v>
      </c>
      <c r="Z29" s="13">
        <f t="shared" si="11"/>
        <v>18</v>
      </c>
      <c r="AA29" s="13">
        <f t="shared" si="12"/>
        <v>0.18</v>
      </c>
      <c r="AB29" s="13">
        <f t="shared" si="13"/>
        <v>0.18</v>
      </c>
      <c r="AC29" s="13">
        <f t="shared" si="14"/>
        <v>2.0555555555555554</v>
      </c>
      <c r="AD29" s="13">
        <f t="shared" si="15"/>
        <v>1.2777777777777777</v>
      </c>
      <c r="AE29" s="13">
        <f t="shared" si="16"/>
        <v>1.2222222222222223</v>
      </c>
      <c r="AF29" s="13">
        <f t="shared" si="17"/>
        <v>1</v>
      </c>
      <c r="AG29" s="13">
        <f t="shared" si="18"/>
        <v>5.5555555555555554</v>
      </c>
    </row>
    <row r="30" spans="1:33" x14ac:dyDescent="0.2">
      <c r="A30" s="1" t="s">
        <v>54</v>
      </c>
      <c r="B30" s="11" t="s">
        <v>33</v>
      </c>
      <c r="C30" s="13">
        <f t="shared" si="0"/>
        <v>0.77</v>
      </c>
      <c r="D30" s="13">
        <f t="shared" si="1"/>
        <v>1</v>
      </c>
      <c r="E30" s="16">
        <v>1</v>
      </c>
      <c r="F30" s="16">
        <v>120</v>
      </c>
      <c r="G30" s="16">
        <v>1</v>
      </c>
      <c r="H30" s="13">
        <f t="shared" si="2"/>
        <v>37</v>
      </c>
      <c r="I30" s="13">
        <f t="shared" si="3"/>
        <v>0.37</v>
      </c>
      <c r="J30" s="13">
        <f t="shared" si="4"/>
        <v>0.37</v>
      </c>
      <c r="K30" s="16">
        <v>1</v>
      </c>
      <c r="L30" s="16">
        <v>0</v>
      </c>
      <c r="M30" s="16">
        <v>0</v>
      </c>
      <c r="N30" s="13">
        <f t="shared" si="5"/>
        <v>23</v>
      </c>
      <c r="O30" s="13">
        <f t="shared" si="6"/>
        <v>0</v>
      </c>
      <c r="P30" s="13">
        <f t="shared" si="7"/>
        <v>0</v>
      </c>
      <c r="Q30" s="16">
        <v>1</v>
      </c>
      <c r="R30" s="16">
        <v>100</v>
      </c>
      <c r="S30" s="16">
        <v>1</v>
      </c>
      <c r="T30" s="13">
        <f t="shared" si="8"/>
        <v>22</v>
      </c>
      <c r="U30" s="13">
        <f t="shared" si="9"/>
        <v>0.22</v>
      </c>
      <c r="V30" s="13">
        <f t="shared" si="10"/>
        <v>0.22</v>
      </c>
      <c r="W30" s="16">
        <v>1</v>
      </c>
      <c r="X30" s="16">
        <v>75</v>
      </c>
      <c r="Y30" s="16">
        <v>1</v>
      </c>
      <c r="Z30" s="13">
        <f t="shared" si="11"/>
        <v>18</v>
      </c>
      <c r="AA30" s="13">
        <f t="shared" si="12"/>
        <v>0.18</v>
      </c>
      <c r="AB30" s="13">
        <f t="shared" si="13"/>
        <v>0.18</v>
      </c>
      <c r="AC30" s="13">
        <f t="shared" si="14"/>
        <v>2.0555555555555554</v>
      </c>
      <c r="AD30" s="13">
        <f t="shared" si="15"/>
        <v>1.2777777777777777</v>
      </c>
      <c r="AE30" s="13">
        <f t="shared" si="16"/>
        <v>1.2222222222222223</v>
      </c>
      <c r="AF30" s="13">
        <f t="shared" si="17"/>
        <v>1</v>
      </c>
      <c r="AG30" s="13">
        <f t="shared" si="18"/>
        <v>5.5555555555555554</v>
      </c>
    </row>
    <row r="31" spans="1:33" x14ac:dyDescent="0.2">
      <c r="A31" s="1" t="s">
        <v>55</v>
      </c>
      <c r="B31" s="11" t="s">
        <v>34</v>
      </c>
      <c r="C31" s="13">
        <f t="shared" si="0"/>
        <v>0.77</v>
      </c>
      <c r="D31" s="13">
        <f t="shared" si="1"/>
        <v>1</v>
      </c>
      <c r="E31" s="16">
        <v>1</v>
      </c>
      <c r="F31" s="16">
        <v>120</v>
      </c>
      <c r="G31" s="16">
        <v>1</v>
      </c>
      <c r="H31" s="13">
        <f t="shared" si="2"/>
        <v>37</v>
      </c>
      <c r="I31" s="13">
        <f t="shared" si="3"/>
        <v>0.37</v>
      </c>
      <c r="J31" s="13">
        <f t="shared" si="4"/>
        <v>0.37</v>
      </c>
      <c r="K31" s="16">
        <v>1</v>
      </c>
      <c r="L31" s="16">
        <v>0</v>
      </c>
      <c r="M31" s="16">
        <v>0</v>
      </c>
      <c r="N31" s="13">
        <f t="shared" si="5"/>
        <v>23</v>
      </c>
      <c r="O31" s="13">
        <f t="shared" si="6"/>
        <v>0</v>
      </c>
      <c r="P31" s="13">
        <f t="shared" si="7"/>
        <v>0</v>
      </c>
      <c r="Q31" s="16">
        <v>1</v>
      </c>
      <c r="R31" s="16">
        <v>100</v>
      </c>
      <c r="S31" s="16">
        <v>1</v>
      </c>
      <c r="T31" s="13">
        <f t="shared" si="8"/>
        <v>22</v>
      </c>
      <c r="U31" s="13">
        <f t="shared" si="9"/>
        <v>0.22</v>
      </c>
      <c r="V31" s="13">
        <f t="shared" si="10"/>
        <v>0.22</v>
      </c>
      <c r="W31" s="16">
        <v>1</v>
      </c>
      <c r="X31" s="16">
        <v>60</v>
      </c>
      <c r="Y31" s="16">
        <v>1</v>
      </c>
      <c r="Z31" s="13">
        <f t="shared" si="11"/>
        <v>18</v>
      </c>
      <c r="AA31" s="13">
        <f t="shared" si="12"/>
        <v>0.18</v>
      </c>
      <c r="AB31" s="13">
        <f t="shared" si="13"/>
        <v>0.18</v>
      </c>
      <c r="AC31" s="13">
        <f t="shared" si="14"/>
        <v>2.0555555555555554</v>
      </c>
      <c r="AD31" s="13">
        <f t="shared" si="15"/>
        <v>1.2777777777777777</v>
      </c>
      <c r="AE31" s="13">
        <f t="shared" si="16"/>
        <v>1.2222222222222223</v>
      </c>
      <c r="AF31" s="13">
        <f t="shared" si="17"/>
        <v>1</v>
      </c>
      <c r="AG31" s="13">
        <f t="shared" si="18"/>
        <v>5.5555555555555554</v>
      </c>
    </row>
    <row r="32" spans="1:33" x14ac:dyDescent="0.2">
      <c r="A32" s="1" t="s">
        <v>56</v>
      </c>
      <c r="B32" s="11" t="s">
        <v>35</v>
      </c>
      <c r="C32" s="13">
        <f t="shared" si="0"/>
        <v>0.84665900000000005</v>
      </c>
      <c r="D32" s="13">
        <f t="shared" si="1"/>
        <v>1</v>
      </c>
      <c r="E32" s="16">
        <v>1</v>
      </c>
      <c r="F32" s="16">
        <v>120</v>
      </c>
      <c r="G32" s="16">
        <v>1</v>
      </c>
      <c r="H32" s="13">
        <f t="shared" si="2"/>
        <v>37</v>
      </c>
      <c r="I32" s="13">
        <f t="shared" si="3"/>
        <v>0.37</v>
      </c>
      <c r="J32" s="13">
        <f t="shared" si="4"/>
        <v>0.37</v>
      </c>
      <c r="K32" s="16">
        <v>1</v>
      </c>
      <c r="L32" s="16">
        <v>33.333300000000001</v>
      </c>
      <c r="M32" s="16">
        <v>0.33329999999999999</v>
      </c>
      <c r="N32" s="13">
        <f t="shared" si="5"/>
        <v>23</v>
      </c>
      <c r="O32" s="13">
        <f t="shared" si="6"/>
        <v>7.6658999999999991E-2</v>
      </c>
      <c r="P32" s="13">
        <f t="shared" si="7"/>
        <v>7.6658999999999991E-2</v>
      </c>
      <c r="Q32" s="16">
        <v>1</v>
      </c>
      <c r="R32" s="16">
        <v>100</v>
      </c>
      <c r="S32" s="16">
        <v>1</v>
      </c>
      <c r="T32" s="13">
        <f t="shared" si="8"/>
        <v>22</v>
      </c>
      <c r="U32" s="13">
        <f t="shared" si="9"/>
        <v>0.22</v>
      </c>
      <c r="V32" s="13">
        <f t="shared" si="10"/>
        <v>0.22</v>
      </c>
      <c r="W32" s="16">
        <v>1</v>
      </c>
      <c r="X32" s="16">
        <v>50</v>
      </c>
      <c r="Y32" s="16">
        <v>1</v>
      </c>
      <c r="Z32" s="13">
        <f t="shared" si="11"/>
        <v>18</v>
      </c>
      <c r="AA32" s="13">
        <f t="shared" si="12"/>
        <v>0.18</v>
      </c>
      <c r="AB32" s="13">
        <f t="shared" si="13"/>
        <v>0.18</v>
      </c>
      <c r="AC32" s="13">
        <f t="shared" si="14"/>
        <v>2.0555555555555554</v>
      </c>
      <c r="AD32" s="13">
        <f t="shared" si="15"/>
        <v>1.2777777777777777</v>
      </c>
      <c r="AE32" s="13">
        <f t="shared" si="16"/>
        <v>1.2222222222222223</v>
      </c>
      <c r="AF32" s="13">
        <f t="shared" si="17"/>
        <v>1</v>
      </c>
      <c r="AG32" s="13">
        <f t="shared" si="18"/>
        <v>5.5555555555555554</v>
      </c>
    </row>
    <row r="33" spans="1:33" x14ac:dyDescent="0.2">
      <c r="A33" s="1" t="s">
        <v>57</v>
      </c>
      <c r="B33" s="11" t="s">
        <v>36</v>
      </c>
      <c r="C33" s="13">
        <f t="shared" si="0"/>
        <v>0.75100000000000011</v>
      </c>
      <c r="D33" s="13">
        <f t="shared" si="1"/>
        <v>1</v>
      </c>
      <c r="E33" s="16">
        <v>1</v>
      </c>
      <c r="F33" s="16">
        <v>114</v>
      </c>
      <c r="G33" s="16">
        <v>0.7</v>
      </c>
      <c r="H33" s="13">
        <f t="shared" si="2"/>
        <v>37</v>
      </c>
      <c r="I33" s="13">
        <f t="shared" si="3"/>
        <v>0.25900000000000001</v>
      </c>
      <c r="J33" s="13">
        <f t="shared" si="4"/>
        <v>0.25900000000000001</v>
      </c>
      <c r="K33" s="16">
        <v>1</v>
      </c>
      <c r="L33" s="16">
        <v>40</v>
      </c>
      <c r="M33" s="16">
        <v>0.4</v>
      </c>
      <c r="N33" s="13">
        <f t="shared" si="5"/>
        <v>23</v>
      </c>
      <c r="O33" s="13">
        <f t="shared" si="6"/>
        <v>9.2000000000000012E-2</v>
      </c>
      <c r="P33" s="13">
        <f t="shared" si="7"/>
        <v>9.2000000000000012E-2</v>
      </c>
      <c r="Q33" s="16">
        <v>1</v>
      </c>
      <c r="R33" s="16">
        <v>100</v>
      </c>
      <c r="S33" s="16">
        <v>1</v>
      </c>
      <c r="T33" s="13">
        <f t="shared" si="8"/>
        <v>22</v>
      </c>
      <c r="U33" s="13">
        <f t="shared" si="9"/>
        <v>0.22</v>
      </c>
      <c r="V33" s="13">
        <f t="shared" si="10"/>
        <v>0.22</v>
      </c>
      <c r="W33" s="16">
        <v>1</v>
      </c>
      <c r="X33" s="16">
        <v>40</v>
      </c>
      <c r="Y33" s="16">
        <v>1</v>
      </c>
      <c r="Z33" s="13">
        <f t="shared" si="11"/>
        <v>18</v>
      </c>
      <c r="AA33" s="13">
        <f t="shared" si="12"/>
        <v>0.18</v>
      </c>
      <c r="AB33" s="13">
        <f t="shared" si="13"/>
        <v>0.18</v>
      </c>
      <c r="AC33" s="13">
        <f t="shared" si="14"/>
        <v>2.0555555555555554</v>
      </c>
      <c r="AD33" s="13">
        <f t="shared" si="15"/>
        <v>1.2777777777777777</v>
      </c>
      <c r="AE33" s="13">
        <f t="shared" si="16"/>
        <v>1.2222222222222223</v>
      </c>
      <c r="AF33" s="13">
        <f t="shared" si="17"/>
        <v>1</v>
      </c>
      <c r="AG33" s="13">
        <f t="shared" si="18"/>
        <v>5.5555555555555554</v>
      </c>
    </row>
    <row r="34" spans="1:33" ht="25.5" x14ac:dyDescent="0.2">
      <c r="A34" s="1" t="s">
        <v>58</v>
      </c>
      <c r="B34" s="11" t="s">
        <v>37</v>
      </c>
      <c r="C34" s="13">
        <f t="shared" si="0"/>
        <v>0.77</v>
      </c>
      <c r="D34" s="13">
        <f t="shared" si="1"/>
        <v>1</v>
      </c>
      <c r="E34" s="16">
        <v>1</v>
      </c>
      <c r="F34" s="16">
        <v>120</v>
      </c>
      <c r="G34" s="16">
        <v>1</v>
      </c>
      <c r="H34" s="13">
        <f t="shared" si="2"/>
        <v>37</v>
      </c>
      <c r="I34" s="13">
        <f t="shared" si="3"/>
        <v>0.37</v>
      </c>
      <c r="J34" s="13">
        <f t="shared" si="4"/>
        <v>0.37</v>
      </c>
      <c r="K34" s="16">
        <v>1</v>
      </c>
      <c r="L34" s="16">
        <v>0</v>
      </c>
      <c r="M34" s="16">
        <v>0</v>
      </c>
      <c r="N34" s="13">
        <f t="shared" si="5"/>
        <v>23</v>
      </c>
      <c r="O34" s="13">
        <f t="shared" si="6"/>
        <v>0</v>
      </c>
      <c r="P34" s="13">
        <f t="shared" si="7"/>
        <v>0</v>
      </c>
      <c r="Q34" s="16">
        <v>1</v>
      </c>
      <c r="R34" s="16">
        <v>100</v>
      </c>
      <c r="S34" s="16">
        <v>1</v>
      </c>
      <c r="T34" s="13">
        <f t="shared" si="8"/>
        <v>22</v>
      </c>
      <c r="U34" s="13">
        <f t="shared" si="9"/>
        <v>0.22</v>
      </c>
      <c r="V34" s="13">
        <f t="shared" si="10"/>
        <v>0.22</v>
      </c>
      <c r="W34" s="16">
        <v>1</v>
      </c>
      <c r="X34" s="16">
        <v>25</v>
      </c>
      <c r="Y34" s="16">
        <v>1</v>
      </c>
      <c r="Z34" s="13">
        <f t="shared" si="11"/>
        <v>18</v>
      </c>
      <c r="AA34" s="13">
        <f t="shared" si="12"/>
        <v>0.18</v>
      </c>
      <c r="AB34" s="13">
        <f t="shared" si="13"/>
        <v>0.18</v>
      </c>
      <c r="AC34" s="13">
        <f t="shared" si="14"/>
        <v>2.0555555555555554</v>
      </c>
      <c r="AD34" s="13">
        <f t="shared" si="15"/>
        <v>1.2777777777777777</v>
      </c>
      <c r="AE34" s="13">
        <f t="shared" si="16"/>
        <v>1.2222222222222223</v>
      </c>
      <c r="AF34" s="13">
        <f t="shared" si="17"/>
        <v>1</v>
      </c>
      <c r="AG34" s="13">
        <f t="shared" si="18"/>
        <v>5.5555555555555554</v>
      </c>
    </row>
    <row r="35" spans="1:33" ht="25.5" x14ac:dyDescent="0.2">
      <c r="A35" s="1" t="s">
        <v>59</v>
      </c>
      <c r="B35" s="11" t="s">
        <v>38</v>
      </c>
      <c r="C35" s="13">
        <f t="shared" si="0"/>
        <v>0.77</v>
      </c>
      <c r="D35" s="13">
        <f t="shared" si="1"/>
        <v>1</v>
      </c>
      <c r="E35" s="16">
        <v>1</v>
      </c>
      <c r="F35" s="16">
        <v>120</v>
      </c>
      <c r="G35" s="16">
        <v>1</v>
      </c>
      <c r="H35" s="13">
        <f t="shared" si="2"/>
        <v>37</v>
      </c>
      <c r="I35" s="13">
        <f t="shared" si="3"/>
        <v>0.37</v>
      </c>
      <c r="J35" s="13">
        <f t="shared" si="4"/>
        <v>0.37</v>
      </c>
      <c r="K35" s="16">
        <v>1</v>
      </c>
      <c r="L35" s="16">
        <v>0</v>
      </c>
      <c r="M35" s="16">
        <v>0</v>
      </c>
      <c r="N35" s="13">
        <f t="shared" si="5"/>
        <v>23</v>
      </c>
      <c r="O35" s="13">
        <f t="shared" si="6"/>
        <v>0</v>
      </c>
      <c r="P35" s="13">
        <f t="shared" si="7"/>
        <v>0</v>
      </c>
      <c r="Q35" s="16">
        <v>1</v>
      </c>
      <c r="R35" s="16">
        <v>100</v>
      </c>
      <c r="S35" s="16">
        <v>1</v>
      </c>
      <c r="T35" s="13">
        <f t="shared" si="8"/>
        <v>22</v>
      </c>
      <c r="U35" s="13">
        <f t="shared" si="9"/>
        <v>0.22</v>
      </c>
      <c r="V35" s="13">
        <f t="shared" si="10"/>
        <v>0.22</v>
      </c>
      <c r="W35" s="16">
        <v>1</v>
      </c>
      <c r="X35" s="16">
        <v>66.666700000000006</v>
      </c>
      <c r="Y35" s="16">
        <v>1</v>
      </c>
      <c r="Z35" s="13">
        <f t="shared" si="11"/>
        <v>18</v>
      </c>
      <c r="AA35" s="13">
        <f t="shared" si="12"/>
        <v>0.18</v>
      </c>
      <c r="AB35" s="13">
        <f t="shared" si="13"/>
        <v>0.18</v>
      </c>
      <c r="AC35" s="13">
        <f t="shared" si="14"/>
        <v>2.0555555555555554</v>
      </c>
      <c r="AD35" s="13">
        <f t="shared" si="15"/>
        <v>1.2777777777777777</v>
      </c>
      <c r="AE35" s="13">
        <f t="shared" si="16"/>
        <v>1.2222222222222223</v>
      </c>
      <c r="AF35" s="13">
        <f t="shared" si="17"/>
        <v>1</v>
      </c>
      <c r="AG35" s="13">
        <f t="shared" si="18"/>
        <v>5.5555555555555554</v>
      </c>
    </row>
    <row r="36" spans="1:33" ht="25.5" x14ac:dyDescent="0.2">
      <c r="A36" s="1" t="s">
        <v>60</v>
      </c>
      <c r="B36" s="11" t="s">
        <v>39</v>
      </c>
      <c r="C36" s="13">
        <f t="shared" si="0"/>
        <v>0.70874999999999999</v>
      </c>
      <c r="D36" s="13">
        <f t="shared" si="1"/>
        <v>1</v>
      </c>
      <c r="E36" s="16">
        <v>1</v>
      </c>
      <c r="F36" s="16">
        <v>138.75</v>
      </c>
      <c r="G36" s="16">
        <v>1</v>
      </c>
      <c r="H36" s="13">
        <f t="shared" si="2"/>
        <v>37</v>
      </c>
      <c r="I36" s="13">
        <f t="shared" si="3"/>
        <v>0.37</v>
      </c>
      <c r="J36" s="13">
        <f t="shared" si="4"/>
        <v>0.37</v>
      </c>
      <c r="K36" s="16">
        <v>1</v>
      </c>
      <c r="L36" s="16">
        <v>12.5</v>
      </c>
      <c r="M36" s="16">
        <v>0.125</v>
      </c>
      <c r="N36" s="13">
        <f t="shared" si="5"/>
        <v>23</v>
      </c>
      <c r="O36" s="13">
        <f t="shared" si="6"/>
        <v>2.8750000000000001E-2</v>
      </c>
      <c r="P36" s="13">
        <f t="shared" si="7"/>
        <v>2.8750000000000001E-2</v>
      </c>
      <c r="Q36" s="16">
        <v>1</v>
      </c>
      <c r="R36" s="16">
        <v>100</v>
      </c>
      <c r="S36" s="16">
        <v>1</v>
      </c>
      <c r="T36" s="13">
        <f t="shared" si="8"/>
        <v>22</v>
      </c>
      <c r="U36" s="13">
        <f t="shared" si="9"/>
        <v>0.22</v>
      </c>
      <c r="V36" s="13">
        <f t="shared" si="10"/>
        <v>0.22</v>
      </c>
      <c r="W36" s="16">
        <v>1</v>
      </c>
      <c r="X36" s="16">
        <v>12.5</v>
      </c>
      <c r="Y36" s="16">
        <v>0.5</v>
      </c>
      <c r="Z36" s="13">
        <f t="shared" si="11"/>
        <v>18</v>
      </c>
      <c r="AA36" s="13">
        <f t="shared" si="12"/>
        <v>0.09</v>
      </c>
      <c r="AB36" s="13">
        <f t="shared" si="13"/>
        <v>0.09</v>
      </c>
      <c r="AC36" s="13">
        <f t="shared" si="14"/>
        <v>2.0555555555555554</v>
      </c>
      <c r="AD36" s="13">
        <f t="shared" si="15"/>
        <v>1.2777777777777777</v>
      </c>
      <c r="AE36" s="13">
        <f t="shared" si="16"/>
        <v>1.2222222222222223</v>
      </c>
      <c r="AF36" s="13">
        <f t="shared" si="17"/>
        <v>1</v>
      </c>
      <c r="AG36" s="13">
        <f t="shared" si="18"/>
        <v>5.5555555555555554</v>
      </c>
    </row>
    <row r="37" spans="1:33" x14ac:dyDescent="0.2">
      <c r="A37" s="1" t="s">
        <v>61</v>
      </c>
      <c r="B37" s="11" t="s">
        <v>40</v>
      </c>
      <c r="C37" s="13">
        <f t="shared" si="0"/>
        <v>0.88500000000000001</v>
      </c>
      <c r="D37" s="13">
        <f t="shared" si="1"/>
        <v>1</v>
      </c>
      <c r="E37" s="16">
        <v>1</v>
      </c>
      <c r="F37" s="16">
        <v>120</v>
      </c>
      <c r="G37" s="16">
        <v>1</v>
      </c>
      <c r="H37" s="13">
        <f t="shared" si="2"/>
        <v>37</v>
      </c>
      <c r="I37" s="13">
        <f t="shared" si="3"/>
        <v>0.37</v>
      </c>
      <c r="J37" s="13">
        <f t="shared" si="4"/>
        <v>0.37</v>
      </c>
      <c r="K37" s="16">
        <v>1</v>
      </c>
      <c r="L37" s="16">
        <v>50</v>
      </c>
      <c r="M37" s="16">
        <v>0.5</v>
      </c>
      <c r="N37" s="13">
        <f t="shared" si="5"/>
        <v>23</v>
      </c>
      <c r="O37" s="13">
        <f t="shared" si="6"/>
        <v>0.115</v>
      </c>
      <c r="P37" s="13">
        <f t="shared" si="7"/>
        <v>0.115</v>
      </c>
      <c r="Q37" s="16">
        <v>1</v>
      </c>
      <c r="R37" s="16">
        <v>100</v>
      </c>
      <c r="S37" s="16">
        <v>1</v>
      </c>
      <c r="T37" s="13">
        <f t="shared" si="8"/>
        <v>22</v>
      </c>
      <c r="U37" s="13">
        <f t="shared" si="9"/>
        <v>0.22</v>
      </c>
      <c r="V37" s="13">
        <f t="shared" si="10"/>
        <v>0.22</v>
      </c>
      <c r="W37" s="16">
        <v>1</v>
      </c>
      <c r="X37" s="16">
        <v>50</v>
      </c>
      <c r="Y37" s="16">
        <v>1</v>
      </c>
      <c r="Z37" s="13">
        <f t="shared" si="11"/>
        <v>18</v>
      </c>
      <c r="AA37" s="13">
        <f t="shared" si="12"/>
        <v>0.18</v>
      </c>
      <c r="AB37" s="13">
        <f t="shared" si="13"/>
        <v>0.18</v>
      </c>
      <c r="AC37" s="13">
        <f t="shared" si="14"/>
        <v>2.0555555555555554</v>
      </c>
      <c r="AD37" s="13">
        <f t="shared" si="15"/>
        <v>1.2777777777777777</v>
      </c>
      <c r="AE37" s="13">
        <f t="shared" si="16"/>
        <v>1.2222222222222223</v>
      </c>
      <c r="AF37" s="13">
        <f t="shared" si="17"/>
        <v>1</v>
      </c>
      <c r="AG37" s="13">
        <f t="shared" si="18"/>
        <v>5.5555555555555554</v>
      </c>
    </row>
    <row r="38" spans="1:33" ht="13.5" customHeight="1" x14ac:dyDescent="0.2"/>
    <row r="56" ht="30" customHeight="1" x14ac:dyDescent="0.2"/>
  </sheetData>
  <sheetProtection algorithmName="SHA-512" hashValue="t3354SztmZW2gLBZrgq1smaM7NqF3p1BWszAo7LvocvFEHUEpB1BHz1hLx3urCt6BS2LzSMJqJeBcFKAurSHHA==" saltValue="1pRRivYUdZTZMxYCFQuZuQ==" spinCount="100000" sheet="1" objects="1" scenarios="1" formatCells="0" formatColumns="0" formatRows="0" deleteColumns="0" deleteRows="0"/>
  <protectedRanges>
    <protectedRange sqref="C15:C37" name="krista_tr_47949_0_0"/>
    <protectedRange sqref="D15:D37" name="krista_tr_40531_0_0"/>
    <protectedRange sqref="H15:H37" name="krista_tf_40535_0_0"/>
    <protectedRange sqref="I15:I37" name="krista_tf_40536_0_0"/>
    <protectedRange sqref="J15:J37" name="krista_tr_40537_0_0"/>
    <protectedRange sqref="N15:N37" name="krista_tf_40541_0_0"/>
    <protectedRange sqref="O15:O37" name="krista_tf_40542_0_0"/>
    <protectedRange sqref="P15:P37" name="krista_tr_40543_0_0"/>
    <protectedRange sqref="T15:T37" name="krista_tf_40547_0_0"/>
    <protectedRange sqref="U15:U37" name="krista_tf_40548_0_0"/>
    <protectedRange sqref="V15:V37" name="krista_tr_40549_0_0"/>
    <protectedRange sqref="Z15:Z37" name="krista_tf_40553_0_0"/>
    <protectedRange sqref="AA15:AA37" name="krista_tf_40554_0_0"/>
    <protectedRange sqref="AB15:AB37" name="krista_tr_40555_0_0"/>
    <protectedRange sqref="AC15:AC37" name="krista_tf_40580_0_0"/>
    <protectedRange sqref="AD15:AD37" name="krista_tf_40581_0_0"/>
    <protectedRange sqref="AE15:AE37" name="krista_tf_40582_0_0"/>
    <protectedRange sqref="AF15:AF37" name="krista_tf_40583_0_0"/>
    <protectedRange sqref="AG15:AG37" name="krista_tf_40588_0_0"/>
  </protectedRanges>
  <mergeCells count="14">
    <mergeCell ref="A1:H1"/>
    <mergeCell ref="A13:A14"/>
    <mergeCell ref="B13:B14"/>
    <mergeCell ref="C13:C14"/>
    <mergeCell ref="D13:D14"/>
    <mergeCell ref="B8:H8"/>
    <mergeCell ref="B9:H9"/>
    <mergeCell ref="B10:H10"/>
    <mergeCell ref="B11:H11"/>
    <mergeCell ref="AC13:AG13"/>
    <mergeCell ref="W13:AB13"/>
    <mergeCell ref="Q13:V13"/>
    <mergeCell ref="E13:J13"/>
    <mergeCell ref="K13:P13"/>
  </mergeCells>
  <conditionalFormatting sqref="A8:A12">
    <cfRule type="expression" dxfId="1" priority="16" stopIfTrue="1">
      <formula>"(сумм(A8:F12)&lt;&gt;100"</formula>
    </cfRule>
  </conditionalFormatting>
  <pageMargins left="0.25" right="0.25" top="0.75" bottom="0.75" header="0.3" footer="0.3"/>
  <pageSetup paperSize="8" scale="95" fitToWidth="0" orientation="landscape" r:id="rId1"/>
  <headerFooter alignWithMargins="0"/>
  <colBreaks count="1" manualBreakCount="1">
    <brk id="27" max="38" man="1"/>
  </colBreaks>
  <customProperties>
    <customPr name="40591" r:id="rId2"/>
    <customPr name="40592" r:id="rId3"/>
    <customPr name="40593" r:id="rId4"/>
    <customPr name="40594" r:id="rId5"/>
    <customPr name="40595" r:id="rId6"/>
    <customPr name="krista_fm_columnsmarkup" r:id="rId7"/>
    <customPr name="krista_fm_consts" r:id="rId8"/>
    <customPr name="krista_fm_Events" r:id="rId9"/>
    <customPr name="krista_fm_metadataXML" r:id="rId10"/>
    <customPr name="krista_fm_rowsaxis" r:id="rId11"/>
    <customPr name="krista_fm_rowsmarkup" r:id="rId12"/>
    <customPr name="krista_SheetHistory" r:id="rId13"/>
    <customPr name="p14" r:id="rId14"/>
    <customPr name="p15" r:id="rId15"/>
    <customPr name="p21" r:id="rId16"/>
  </customProperties>
  <legacyDrawing r:id="rId1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7">
    <tabColor indexed="48"/>
    <pageSetUpPr fitToPage="1"/>
  </sheetPr>
  <dimension ref="A1:AU39"/>
  <sheetViews>
    <sheetView tabSelected="1" view="pageBreakPreview" topLeftCell="A10" zoomScale="85" zoomScaleSheetLayoutView="85" workbookViewId="0">
      <selection activeCell="F12" sqref="F12"/>
    </sheetView>
  </sheetViews>
  <sheetFormatPr defaultRowHeight="12.75" x14ac:dyDescent="0.2"/>
  <cols>
    <col min="1" max="1" width="6.28515625" customWidth="1"/>
    <col min="2" max="2" width="76.85546875" customWidth="1"/>
    <col min="3" max="3" width="11.85546875" customWidth="1"/>
    <col min="4" max="4" width="16.42578125" customWidth="1"/>
    <col min="5" max="5" width="12.5703125" customWidth="1"/>
    <col min="6" max="6" width="12.7109375" customWidth="1"/>
    <col min="7" max="7" width="13" customWidth="1"/>
    <col min="8" max="8" width="13.28515625" customWidth="1"/>
    <col min="9" max="9" width="15.85546875" customWidth="1"/>
    <col min="10" max="10" width="15.5703125" customWidth="1"/>
    <col min="11" max="11" width="12.5703125" customWidth="1"/>
    <col min="12" max="12" width="11.7109375" customWidth="1"/>
    <col min="13" max="13" width="13.5703125" customWidth="1"/>
    <col min="14" max="14" width="13.42578125" customWidth="1"/>
    <col min="15" max="15" width="15.42578125" hidden="1" customWidth="1"/>
    <col min="16" max="16" width="16.28515625" bestFit="1" customWidth="1"/>
    <col min="17" max="17" width="17" customWidth="1"/>
    <col min="18" max="18" width="13.42578125" style="8" bestFit="1" customWidth="1"/>
    <col min="19" max="19" width="14.5703125" style="8" customWidth="1"/>
    <col min="20" max="20" width="17.140625" customWidth="1"/>
    <col min="21" max="21" width="16.85546875" hidden="1" customWidth="1"/>
    <col min="22" max="22" width="17.5703125" customWidth="1"/>
    <col min="23" max="23" width="13.7109375" customWidth="1"/>
    <col min="24" max="24" width="12.5703125" customWidth="1"/>
    <col min="25" max="25" width="12.85546875" customWidth="1"/>
    <col min="26" max="26" width="11.5703125" customWidth="1"/>
    <col min="27" max="27" width="18.28515625" hidden="1" customWidth="1"/>
    <col min="28" max="28" width="17.140625" customWidth="1"/>
    <col min="29" max="29" width="13.85546875" customWidth="1"/>
    <col min="30" max="30" width="15.85546875" customWidth="1"/>
    <col min="31" max="31" width="14.42578125" customWidth="1"/>
    <col min="32" max="32" width="14.28515625" customWidth="1"/>
    <col min="33" max="33" width="14.140625" customWidth="1"/>
    <col min="34" max="34" width="16" customWidth="1"/>
    <col min="35" max="35" width="14.140625" customWidth="1"/>
    <col min="36" max="36" width="12.140625" customWidth="1"/>
    <col min="37" max="37" width="13.5703125" customWidth="1"/>
    <col min="38" max="38" width="13.42578125" customWidth="1"/>
    <col min="39" max="39" width="15.140625" hidden="1" customWidth="1"/>
    <col min="40" max="40" width="15.85546875" customWidth="1"/>
    <col min="41" max="41" width="14.5703125" hidden="1" customWidth="1"/>
    <col min="42" max="42" width="16.85546875" hidden="1" customWidth="1"/>
    <col min="43" max="43" width="12" hidden="1" customWidth="1"/>
    <col min="44" max="44" width="12.42578125" hidden="1" customWidth="1"/>
    <col min="45" max="45" width="14.42578125" hidden="1" customWidth="1"/>
    <col min="46" max="46" width="14.7109375" hidden="1" customWidth="1"/>
    <col min="47" max="47" width="15.42578125" hidden="1" customWidth="1"/>
    <col min="48" max="59" width="27.42578125" customWidth="1"/>
    <col min="62" max="62" width="10.28515625" bestFit="1" customWidth="1"/>
    <col min="65" max="65" width="10.28515625" bestFit="1" customWidth="1"/>
    <col min="68" max="68" width="10.28515625" bestFit="1" customWidth="1"/>
    <col min="71" max="71" width="10.28515625" bestFit="1" customWidth="1"/>
    <col min="74" max="74" width="10.28515625" bestFit="1" customWidth="1"/>
    <col min="77" max="77" width="10.28515625" bestFit="1" customWidth="1"/>
    <col min="80" max="80" width="10.28515625" bestFit="1" customWidth="1"/>
    <col min="83" max="83" width="10.28515625" bestFit="1" customWidth="1"/>
    <col min="86" max="86" width="10.28515625" bestFit="1" customWidth="1"/>
    <col min="89" max="89" width="10.28515625" bestFit="1" customWidth="1"/>
    <col min="92" max="92" width="10.28515625" bestFit="1" customWidth="1"/>
    <col min="95" max="95" width="10.28515625" bestFit="1" customWidth="1"/>
    <col min="98" max="98" width="10.28515625" bestFit="1" customWidth="1"/>
    <col min="101" max="101" width="10.28515625" bestFit="1" customWidth="1"/>
    <col min="104" max="104" width="10.28515625" bestFit="1" customWidth="1"/>
    <col min="107" max="107" width="10.28515625" bestFit="1" customWidth="1"/>
    <col min="110" max="110" width="10.28515625" bestFit="1" customWidth="1"/>
    <col min="113" max="113" width="10.28515625" bestFit="1" customWidth="1"/>
    <col min="116" max="116" width="10.28515625" bestFit="1" customWidth="1"/>
    <col min="119" max="119" width="10.28515625" bestFit="1" customWidth="1"/>
    <col min="122" max="122" width="10.28515625" bestFit="1" customWidth="1"/>
    <col min="125" max="125" width="10.28515625" bestFit="1" customWidth="1"/>
    <col min="128" max="128" width="10.28515625" bestFit="1" customWidth="1"/>
    <col min="131" max="131" width="10.28515625" bestFit="1" customWidth="1"/>
    <col min="134" max="134" width="10.28515625" bestFit="1" customWidth="1"/>
    <col min="137" max="137" width="10.28515625" bestFit="1" customWidth="1"/>
    <col min="140" max="140" width="10.28515625" bestFit="1" customWidth="1"/>
    <col min="143" max="143" width="10.28515625" bestFit="1" customWidth="1"/>
    <col min="146" max="146" width="10.28515625" bestFit="1" customWidth="1"/>
    <col min="149" max="149" width="10.28515625" bestFit="1" customWidth="1"/>
    <col min="152" max="152" width="10.28515625" bestFit="1" customWidth="1"/>
    <col min="155" max="155" width="10.28515625" bestFit="1" customWidth="1"/>
    <col min="158" max="158" width="10.28515625" bestFit="1" customWidth="1"/>
    <col min="161" max="161" width="10.28515625" bestFit="1" customWidth="1"/>
    <col min="164" max="164" width="10.28515625" bestFit="1" customWidth="1"/>
    <col min="167" max="167" width="10.28515625" bestFit="1" customWidth="1"/>
    <col min="170" max="170" width="10.28515625" bestFit="1" customWidth="1"/>
    <col min="173" max="173" width="10.28515625" bestFit="1" customWidth="1"/>
    <col min="176" max="176" width="10.28515625" bestFit="1" customWidth="1"/>
    <col min="179" max="179" width="10.28515625" bestFit="1" customWidth="1"/>
    <col min="182" max="182" width="10.28515625" bestFit="1" customWidth="1"/>
    <col min="185" max="185" width="10.28515625" bestFit="1" customWidth="1"/>
    <col min="188" max="188" width="10.28515625" bestFit="1" customWidth="1"/>
    <col min="191" max="191" width="10.28515625" bestFit="1" customWidth="1"/>
    <col min="194" max="194" width="10.28515625" bestFit="1" customWidth="1"/>
    <col min="197" max="197" width="10.28515625" bestFit="1" customWidth="1"/>
    <col min="200" max="200" width="10.28515625" bestFit="1" customWidth="1"/>
  </cols>
  <sheetData>
    <row r="1" spans="1:47" ht="16.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Q1" s="10"/>
      <c r="R1" s="10"/>
      <c r="S1" s="10"/>
    </row>
    <row r="2" spans="1:47" ht="12.75" customHeight="1" x14ac:dyDescent="0.2">
      <c r="Q2" s="10"/>
      <c r="R2" s="10"/>
      <c r="S2" s="10"/>
    </row>
    <row r="3" spans="1:47" ht="23.25" customHeight="1" x14ac:dyDescent="0.2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Q3" s="10"/>
      <c r="R3" s="10"/>
      <c r="S3" s="10"/>
    </row>
    <row r="4" spans="1:47" ht="15.75" customHeight="1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Q4" s="10"/>
      <c r="R4" s="10"/>
      <c r="S4" s="10"/>
    </row>
    <row r="5" spans="1:47" ht="15.75" customHeight="1" x14ac:dyDescent="0.2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Q5" s="10"/>
      <c r="R5" s="10"/>
      <c r="S5" s="10"/>
    </row>
    <row r="6" spans="1:47" ht="27" customHeight="1" x14ac:dyDescent="0.2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Q6" s="10"/>
      <c r="R6" s="10"/>
      <c r="S6" s="10"/>
    </row>
    <row r="7" spans="1:47" ht="25.5" customHeight="1" thickBot="1" x14ac:dyDescent="0.25">
      <c r="A7" s="5" t="s">
        <v>10</v>
      </c>
      <c r="B7" s="4"/>
      <c r="C7" s="4"/>
      <c r="D7" s="4"/>
      <c r="E7" s="10"/>
      <c r="F7" s="10"/>
      <c r="G7" s="10"/>
      <c r="H7" s="10"/>
      <c r="I7" s="10"/>
      <c r="J7" s="10"/>
      <c r="Q7" s="10"/>
      <c r="R7" s="10"/>
      <c r="S7" s="10"/>
    </row>
    <row r="8" spans="1:47" ht="23.25" customHeight="1" thickBot="1" x14ac:dyDescent="0.25">
      <c r="A8" s="6">
        <v>21</v>
      </c>
      <c r="B8" s="4" t="s">
        <v>70</v>
      </c>
      <c r="C8" s="4"/>
      <c r="D8" s="4"/>
      <c r="E8" s="10"/>
      <c r="F8" s="10"/>
      <c r="G8" s="10"/>
      <c r="H8" s="10"/>
      <c r="I8" s="10"/>
      <c r="J8" s="10"/>
      <c r="Q8" s="10"/>
      <c r="R8" s="10"/>
      <c r="S8" s="10"/>
    </row>
    <row r="9" spans="1:47" ht="29.25" customHeight="1" thickBot="1" x14ac:dyDescent="0.25">
      <c r="A9" s="33">
        <v>20</v>
      </c>
      <c r="B9" s="4" t="s">
        <v>71</v>
      </c>
      <c r="C9" s="4"/>
      <c r="D9" s="4"/>
      <c r="E9" s="10"/>
      <c r="F9" s="10"/>
      <c r="G9" s="10"/>
      <c r="H9" s="10"/>
      <c r="I9" s="10"/>
      <c r="J9" s="10"/>
      <c r="Q9" s="10"/>
      <c r="R9" s="10"/>
      <c r="S9" s="10"/>
    </row>
    <row r="10" spans="1:47" ht="29.25" customHeight="1" thickBot="1" x14ac:dyDescent="0.25">
      <c r="A10" s="6">
        <v>20</v>
      </c>
      <c r="B10" s="32" t="s">
        <v>72</v>
      </c>
      <c r="C10" s="4"/>
      <c r="D10" s="4"/>
      <c r="E10" s="10"/>
      <c r="F10" s="10"/>
      <c r="G10" s="10"/>
      <c r="H10" s="10"/>
      <c r="I10" s="10"/>
      <c r="J10" s="10"/>
      <c r="Q10" s="10"/>
      <c r="R10" s="10"/>
      <c r="S10" s="10"/>
    </row>
    <row r="11" spans="1:47" ht="29.25" customHeight="1" thickBot="1" x14ac:dyDescent="0.25">
      <c r="A11" s="6">
        <v>15</v>
      </c>
      <c r="B11" s="31" t="s">
        <v>73</v>
      </c>
      <c r="C11" s="4"/>
      <c r="D11" s="4"/>
      <c r="E11" s="10"/>
      <c r="F11" s="10"/>
      <c r="G11" s="10"/>
      <c r="H11" s="10"/>
      <c r="I11" s="10"/>
      <c r="J11" s="10"/>
      <c r="Q11" s="10"/>
      <c r="R11" s="10"/>
      <c r="S11" s="10"/>
    </row>
    <row r="12" spans="1:47" ht="29.25" customHeight="1" thickBot="1" x14ac:dyDescent="0.25">
      <c r="A12" s="6">
        <v>14</v>
      </c>
      <c r="B12" s="31" t="s">
        <v>74</v>
      </c>
      <c r="C12" s="4"/>
      <c r="D12" s="4"/>
      <c r="E12" s="10"/>
      <c r="F12" s="10"/>
      <c r="G12" s="10"/>
      <c r="H12" s="10"/>
      <c r="I12" s="10"/>
      <c r="J12" s="10"/>
      <c r="Q12" s="10"/>
      <c r="R12" s="10"/>
      <c r="S12" s="10"/>
    </row>
    <row r="13" spans="1:47" ht="29.25" customHeight="1" thickBot="1" x14ac:dyDescent="0.25">
      <c r="A13" s="34">
        <v>10</v>
      </c>
      <c r="B13" s="31" t="s">
        <v>75</v>
      </c>
      <c r="C13" s="4"/>
      <c r="D13" s="4"/>
      <c r="E13" s="10"/>
      <c r="F13" s="10"/>
      <c r="G13" s="10"/>
      <c r="H13" s="10"/>
      <c r="I13" s="10"/>
      <c r="J13" s="10"/>
      <c r="Q13" s="10"/>
      <c r="R13" s="10"/>
      <c r="S13" s="10"/>
    </row>
    <row r="14" spans="1:47" ht="5.25" customHeight="1" thickBot="1" x14ac:dyDescent="0.25">
      <c r="Q14" s="10"/>
      <c r="R14" s="10"/>
      <c r="S14" s="10"/>
    </row>
    <row r="15" spans="1:47" ht="36" customHeight="1" thickBot="1" x14ac:dyDescent="0.25">
      <c r="A15" s="87" t="s">
        <v>9</v>
      </c>
      <c r="B15" s="89" t="s">
        <v>8</v>
      </c>
      <c r="C15" s="89" t="s">
        <v>12</v>
      </c>
      <c r="D15" s="163" t="s">
        <v>65</v>
      </c>
      <c r="E15" s="84" t="s">
        <v>70</v>
      </c>
      <c r="F15" s="84"/>
      <c r="G15" s="84"/>
      <c r="H15" s="84"/>
      <c r="I15" s="84"/>
      <c r="J15" s="84"/>
      <c r="K15" s="84" t="s">
        <v>71</v>
      </c>
      <c r="L15" s="84"/>
      <c r="M15" s="84"/>
      <c r="N15" s="84"/>
      <c r="O15" s="84"/>
      <c r="P15" s="84"/>
      <c r="Q15" s="165" t="s">
        <v>72</v>
      </c>
      <c r="R15" s="166"/>
      <c r="S15" s="166"/>
      <c r="T15" s="167"/>
      <c r="U15" s="167"/>
      <c r="V15" s="168"/>
      <c r="W15" s="169" t="s">
        <v>73</v>
      </c>
      <c r="X15" s="167"/>
      <c r="Y15" s="167"/>
      <c r="Z15" s="170"/>
      <c r="AA15" s="170"/>
      <c r="AB15" s="171"/>
      <c r="AC15" s="165" t="s">
        <v>74</v>
      </c>
      <c r="AD15" s="166"/>
      <c r="AE15" s="166"/>
      <c r="AF15" s="167"/>
      <c r="AG15" s="167"/>
      <c r="AH15" s="168"/>
      <c r="AI15" s="157" t="s">
        <v>75</v>
      </c>
      <c r="AJ15" s="158"/>
      <c r="AK15" s="158"/>
      <c r="AL15" s="158"/>
      <c r="AM15" s="158"/>
      <c r="AN15" s="159"/>
      <c r="AO15" s="160" t="s">
        <v>5</v>
      </c>
      <c r="AP15" s="161"/>
      <c r="AQ15" s="161"/>
      <c r="AR15" s="161"/>
      <c r="AS15" s="161"/>
      <c r="AT15" s="161"/>
      <c r="AU15" s="162"/>
    </row>
    <row r="16" spans="1:47" ht="45" customHeight="1" thickBot="1" x14ac:dyDescent="0.25">
      <c r="A16" s="88" t="s">
        <v>9</v>
      </c>
      <c r="B16" s="90" t="s">
        <v>8</v>
      </c>
      <c r="C16" s="90" t="s">
        <v>6</v>
      </c>
      <c r="D16" s="164" t="s">
        <v>3</v>
      </c>
      <c r="E16" s="49" t="s">
        <v>4</v>
      </c>
      <c r="F16" s="50" t="s">
        <v>141</v>
      </c>
      <c r="G16" s="51" t="s">
        <v>135</v>
      </c>
      <c r="H16" s="50" t="s">
        <v>19</v>
      </c>
      <c r="I16" s="50" t="s">
        <v>144</v>
      </c>
      <c r="J16" s="52" t="s">
        <v>145</v>
      </c>
      <c r="K16" s="49" t="s">
        <v>4</v>
      </c>
      <c r="L16" s="51" t="s">
        <v>141</v>
      </c>
      <c r="M16" s="51" t="s">
        <v>135</v>
      </c>
      <c r="N16" s="51" t="s">
        <v>19</v>
      </c>
      <c r="O16" s="51" t="s">
        <v>144</v>
      </c>
      <c r="P16" s="52" t="s">
        <v>145</v>
      </c>
      <c r="Q16" s="40" t="s">
        <v>4</v>
      </c>
      <c r="R16" s="44" t="s">
        <v>141</v>
      </c>
      <c r="S16" s="44" t="s">
        <v>135</v>
      </c>
      <c r="T16" s="44" t="s">
        <v>19</v>
      </c>
      <c r="U16" s="44" t="s">
        <v>144</v>
      </c>
      <c r="V16" s="45" t="s">
        <v>145</v>
      </c>
      <c r="W16" s="40" t="s">
        <v>4</v>
      </c>
      <c r="X16" s="44" t="s">
        <v>141</v>
      </c>
      <c r="Y16" s="44" t="s">
        <v>135</v>
      </c>
      <c r="Z16" s="44" t="s">
        <v>19</v>
      </c>
      <c r="AA16" s="44" t="s">
        <v>144</v>
      </c>
      <c r="AB16" s="45" t="s">
        <v>145</v>
      </c>
      <c r="AC16" s="40" t="s">
        <v>4</v>
      </c>
      <c r="AD16" s="44" t="s">
        <v>141</v>
      </c>
      <c r="AE16" s="44" t="s">
        <v>135</v>
      </c>
      <c r="AF16" s="44" t="s">
        <v>19</v>
      </c>
      <c r="AG16" s="44" t="s">
        <v>144</v>
      </c>
      <c r="AH16" s="45" t="s">
        <v>145</v>
      </c>
      <c r="AI16" s="40" t="s">
        <v>4</v>
      </c>
      <c r="AJ16" s="44" t="s">
        <v>141</v>
      </c>
      <c r="AK16" s="44" t="s">
        <v>135</v>
      </c>
      <c r="AL16" s="44" t="s">
        <v>19</v>
      </c>
      <c r="AM16" s="44" t="s">
        <v>144</v>
      </c>
      <c r="AN16" s="45" t="s">
        <v>145</v>
      </c>
      <c r="AO16" s="47">
        <v>1</v>
      </c>
      <c r="AP16" s="48">
        <v>2</v>
      </c>
      <c r="AQ16" s="48">
        <v>3</v>
      </c>
      <c r="AR16" s="48">
        <v>4</v>
      </c>
      <c r="AS16" s="48">
        <v>5</v>
      </c>
      <c r="AT16" s="48">
        <v>6</v>
      </c>
      <c r="AU16" s="46" t="s">
        <v>146</v>
      </c>
    </row>
    <row r="17" spans="1:47" x14ac:dyDescent="0.2">
      <c r="A17" s="1" t="s">
        <v>41</v>
      </c>
      <c r="B17" s="11" t="s">
        <v>21</v>
      </c>
      <c r="C17" s="13">
        <f t="shared" ref="C17:C39" si="0">IF(D17&lt;&gt;1,"",SUM(J17,P17,V17,AB17,AH17,AN17))</f>
        <v>88.048699999999997</v>
      </c>
      <c r="D17" s="13">
        <f t="shared" ref="D17:D39" si="1">IF(SUM(E17,K17,Q17,W17,AC17,AI17)=0,0,1)</f>
        <v>1</v>
      </c>
      <c r="E17" s="16">
        <v>1</v>
      </c>
      <c r="F17" s="12">
        <v>0.85709999999999997</v>
      </c>
      <c r="G17" s="17">
        <f t="shared" ref="G17:G39" si="2">F17*100</f>
        <v>85.71</v>
      </c>
      <c r="H17" s="18">
        <f t="shared" ref="H17:H39" si="3">IF(E17=1,(MIN(Вес1,Вес2,Вес3,Вес4,Вес5,Вес6))*((100/MIN(Вес1,Вес2,Вес3,Вес4,Вес5,Вес6))/AU17*Вес1/MIN(Вес1,Вес2,Вес3,Вес4,Вес5,Вес6)),"")</f>
        <v>21</v>
      </c>
      <c r="I17" s="18">
        <f t="shared" ref="I17:I39" si="4">IF(H17="","не применяется",IF(E17=0,"не применяется",H17*G17/100))</f>
        <v>17.999099999999999</v>
      </c>
      <c r="J17" s="18">
        <f t="shared" ref="J17:J39" si="5">IF(ISNUMBER(I17),I17,"")</f>
        <v>17.999099999999999</v>
      </c>
      <c r="K17" s="16">
        <v>1</v>
      </c>
      <c r="L17" s="12">
        <v>1</v>
      </c>
      <c r="M17" s="17">
        <f t="shared" ref="M17:M39" si="6">L17*100</f>
        <v>100</v>
      </c>
      <c r="N17" s="18">
        <f t="shared" ref="N17:N39" si="7">IF(E17=1,(MIN(Вес1,Вес2,Вес3,Вес4,Вес5,Вес6))*((100/MIN(Вес1,Вес2,Вес3,Вес4,Вес5,Вес6))/AU17*Вес2/MIN(Вес1,Вес2,Вес3,Вес4,Вес5,Вес6)),"")</f>
        <v>20</v>
      </c>
      <c r="O17" s="18">
        <f t="shared" ref="O17:O39" si="8">IF(N17="","не применяется",IF(K17=0,"не применяется",N17*M17/100))</f>
        <v>20</v>
      </c>
      <c r="P17" s="18">
        <f t="shared" ref="P17:P39" si="9">IF(ISNUMBER(O17),O17,"")</f>
        <v>20</v>
      </c>
      <c r="Q17" s="16">
        <v>1</v>
      </c>
      <c r="R17" s="16">
        <v>0.85250000000000004</v>
      </c>
      <c r="S17" s="13">
        <f t="shared" ref="S17:S39" si="10">R17*100</f>
        <v>85.25</v>
      </c>
      <c r="T17" s="13">
        <f t="shared" ref="T17:T39" si="11">IF(E17=1,(MIN(Вес1,Вес2,Вес3,Вес4,Вес5,Вес6))*((100/MIN(Вес1,Вес2,Вес3,Вес4,Вес5,Вес6))/AU17*Вес3/MIN(Вес1,Вес2,Вес3,Вес4,Вес5,Вес6)),"")</f>
        <v>20</v>
      </c>
      <c r="U17" s="13">
        <f t="shared" ref="U17:U39" si="12">IF(T17="","не применяется",IF(Q17=0,"не применяется",T17*S17/100))</f>
        <v>17.05</v>
      </c>
      <c r="V17" s="13">
        <f t="shared" ref="V17:V39" si="13">IF(ISNUMBER(U17),U17,"")</f>
        <v>17.05</v>
      </c>
      <c r="W17" s="16">
        <v>1</v>
      </c>
      <c r="X17" s="16">
        <v>1</v>
      </c>
      <c r="Y17" s="13">
        <f t="shared" ref="Y17:Y39" si="14">X17*100</f>
        <v>100</v>
      </c>
      <c r="Z17" s="13">
        <f t="shared" ref="Z17:Z39" si="15">IF(E17=1,(MIN(Вес1,Вес2,Вес3,Вес4,Вес5,Вес6))*((100/MIN(Вес1,Вес2,Вес3,Вес4,Вес5,Вес6))/AU17*Вес4/MIN(Вес1,Вес2,Вес3,Вес4,Вес5,Вес6)),"")</f>
        <v>15</v>
      </c>
      <c r="AA17" s="13">
        <f t="shared" ref="AA17:AA39" si="16">IF(Z17="","не применяется",IF(W17=0,"не применяется",Z17*Y17/100))</f>
        <v>15</v>
      </c>
      <c r="AB17" s="13">
        <f t="shared" ref="AB17:AB39" si="17">IF(ISNUMBER(AA17),AA17,"")</f>
        <v>15</v>
      </c>
      <c r="AC17" s="16">
        <v>1</v>
      </c>
      <c r="AD17" s="16">
        <v>0.57140000000000002</v>
      </c>
      <c r="AE17" s="13">
        <f t="shared" ref="AE17:AE39" si="18">AD17*100</f>
        <v>57.14</v>
      </c>
      <c r="AF17" s="13">
        <f t="shared" ref="AF17:AF39" si="19">IF(E17=1,(MIN(Вес1,Вес2,Вес3,Вес4,Вес5,Вес6))*((100/MIN(Вес1,Вес2,Вес3,Вес4,Вес5,Вес6))/AU17*Вес5/MIN(Вес1,Вес2,Вес3,Вес4,Вес5,Вес6)),"")</f>
        <v>14</v>
      </c>
      <c r="AG17" s="13">
        <f t="shared" ref="AG17:AG39" si="20">IF(AF17="","не применяется",IF(AC17=0,"не применяется",AF17*AE17/100))</f>
        <v>7.9996</v>
      </c>
      <c r="AH17" s="13">
        <f t="shared" ref="AH17:AH39" si="21">IF(ISNUMBER(AG17),AG17,"")</f>
        <v>7.9996</v>
      </c>
      <c r="AI17" s="16">
        <v>1</v>
      </c>
      <c r="AJ17" s="16">
        <v>1</v>
      </c>
      <c r="AK17" s="13">
        <f t="shared" ref="AK17:AK39" si="22">AJ17*100</f>
        <v>100</v>
      </c>
      <c r="AL17" s="13">
        <f t="shared" ref="AL17:AL39" si="23">IF(E17=1,(MIN(Вес1,Вес2,Вес3,Вес4,Вес5,Вес6))*((100/MIN(Вес1,Вес2,Вес3,Вес4,Вес5,Вес6))/AU17*Вес6/MIN(Вес1,Вес2,Вес3,Вес4,Вес5,Вес6)),"")</f>
        <v>10</v>
      </c>
      <c r="AM17" s="13">
        <f t="shared" ref="AM17:AM39" si="24">IF(AL17="","не применяется",IF(AI17=0,"не применяется",AL17*AK17/100))</f>
        <v>10</v>
      </c>
      <c r="AN17" s="13">
        <f t="shared" ref="AN17:AN39" si="25">IF(ISNUMBER(AM17),AM17,"")</f>
        <v>10</v>
      </c>
      <c r="AO17" s="18">
        <f t="shared" ref="AO17:AO39" si="26">IF(E17=1,Вес1/MIN(Вес1,Вес2,Вес3,Вес4,Вес5,Вес6),"")</f>
        <v>2.1</v>
      </c>
      <c r="AP17" s="18">
        <f t="shared" ref="AP17:AP39" si="27">IF(K17=1,Вес2/MIN(Вес1,Вес2,Вес3,Вес4,Вес5,Вес6),"")</f>
        <v>2</v>
      </c>
      <c r="AQ17" s="13">
        <f t="shared" ref="AQ17:AQ39" si="28">IF(Q17=1,Вес3/MIN(Вес1,Вес2,Вес3,Вес4,Вес5,Вес6),"")</f>
        <v>2</v>
      </c>
      <c r="AR17" s="13">
        <f t="shared" ref="AR17:AR39" si="29">IF(W17=1,Вес4/MIN(Вес1,Вес2,Вес3,Вес4,Вес5,Вес6),"")</f>
        <v>1.5</v>
      </c>
      <c r="AS17" s="13">
        <f t="shared" ref="AS17:AS39" si="30">IF(AC17=1,Вес5/MIN(Вес1,Вес2,Вес3,Вес4,Вес5,Вес6),"")</f>
        <v>1.4</v>
      </c>
      <c r="AT17" s="13">
        <f t="shared" ref="AT17:AT39" si="31">IF(AI17=1,Вес6/MIN(Вес1,Вес2,Вес3,Вес4,Вес5,Вес6),"")</f>
        <v>1</v>
      </c>
      <c r="AU17" s="18">
        <f t="shared" ref="AU17:AU39" si="32">SUM(AO17:AT17)</f>
        <v>10</v>
      </c>
    </row>
    <row r="18" spans="1:47" x14ac:dyDescent="0.2">
      <c r="A18" s="1" t="s">
        <v>42</v>
      </c>
      <c r="B18" s="11" t="s">
        <v>148</v>
      </c>
      <c r="C18" s="13">
        <f t="shared" si="0"/>
        <v>72.875600000000006</v>
      </c>
      <c r="D18" s="13">
        <f t="shared" si="1"/>
        <v>1</v>
      </c>
      <c r="E18" s="16">
        <v>1</v>
      </c>
      <c r="F18" s="12">
        <v>0.50860000000000005</v>
      </c>
      <c r="G18" s="17">
        <f t="shared" si="2"/>
        <v>50.860000000000007</v>
      </c>
      <c r="H18" s="18">
        <f t="shared" si="3"/>
        <v>21</v>
      </c>
      <c r="I18" s="18">
        <f t="shared" si="4"/>
        <v>10.680600000000002</v>
      </c>
      <c r="J18" s="18">
        <f t="shared" si="5"/>
        <v>10.680600000000002</v>
      </c>
      <c r="K18" s="16">
        <v>1</v>
      </c>
      <c r="L18" s="12">
        <v>1</v>
      </c>
      <c r="M18" s="17">
        <f t="shared" si="6"/>
        <v>100</v>
      </c>
      <c r="N18" s="18">
        <f t="shared" si="7"/>
        <v>20</v>
      </c>
      <c r="O18" s="18">
        <f t="shared" si="8"/>
        <v>20</v>
      </c>
      <c r="P18" s="18">
        <f t="shared" si="9"/>
        <v>20</v>
      </c>
      <c r="Q18" s="16">
        <v>1</v>
      </c>
      <c r="R18" s="16">
        <v>0.37640000000000001</v>
      </c>
      <c r="S18" s="13">
        <f t="shared" si="10"/>
        <v>37.64</v>
      </c>
      <c r="T18" s="13">
        <f t="shared" si="11"/>
        <v>20</v>
      </c>
      <c r="U18" s="13">
        <f t="shared" si="12"/>
        <v>7.5279999999999996</v>
      </c>
      <c r="V18" s="13">
        <f t="shared" si="13"/>
        <v>7.5279999999999996</v>
      </c>
      <c r="W18" s="16">
        <v>1</v>
      </c>
      <c r="X18" s="16">
        <v>1</v>
      </c>
      <c r="Y18" s="13">
        <f t="shared" si="14"/>
        <v>100</v>
      </c>
      <c r="Z18" s="13">
        <f t="shared" si="15"/>
        <v>15</v>
      </c>
      <c r="AA18" s="13">
        <f t="shared" si="16"/>
        <v>15</v>
      </c>
      <c r="AB18" s="13">
        <f t="shared" si="17"/>
        <v>15</v>
      </c>
      <c r="AC18" s="16">
        <v>1</v>
      </c>
      <c r="AD18" s="16">
        <v>0.8</v>
      </c>
      <c r="AE18" s="13">
        <f t="shared" si="18"/>
        <v>80</v>
      </c>
      <c r="AF18" s="13">
        <f t="shared" si="19"/>
        <v>14</v>
      </c>
      <c r="AG18" s="13">
        <f t="shared" si="20"/>
        <v>11.2</v>
      </c>
      <c r="AH18" s="13">
        <f t="shared" si="21"/>
        <v>11.2</v>
      </c>
      <c r="AI18" s="16">
        <v>1</v>
      </c>
      <c r="AJ18" s="16">
        <v>0.84670000000000001</v>
      </c>
      <c r="AK18" s="13">
        <f t="shared" si="22"/>
        <v>84.67</v>
      </c>
      <c r="AL18" s="13">
        <f t="shared" si="23"/>
        <v>10</v>
      </c>
      <c r="AM18" s="13">
        <f t="shared" si="24"/>
        <v>8.4670000000000005</v>
      </c>
      <c r="AN18" s="13">
        <f t="shared" si="25"/>
        <v>8.4670000000000005</v>
      </c>
      <c r="AO18" s="18">
        <f t="shared" si="26"/>
        <v>2.1</v>
      </c>
      <c r="AP18" s="18">
        <f t="shared" si="27"/>
        <v>2</v>
      </c>
      <c r="AQ18" s="13">
        <f t="shared" si="28"/>
        <v>2</v>
      </c>
      <c r="AR18" s="13">
        <f t="shared" si="29"/>
        <v>1.5</v>
      </c>
      <c r="AS18" s="13">
        <f t="shared" si="30"/>
        <v>1.4</v>
      </c>
      <c r="AT18" s="13">
        <f t="shared" si="31"/>
        <v>1</v>
      </c>
      <c r="AU18" s="18">
        <f t="shared" si="32"/>
        <v>10</v>
      </c>
    </row>
    <row r="19" spans="1:47" ht="25.5" x14ac:dyDescent="0.2">
      <c r="A19" s="1" t="s">
        <v>43</v>
      </c>
      <c r="B19" s="11" t="s">
        <v>22</v>
      </c>
      <c r="C19" s="13">
        <f t="shared" si="0"/>
        <v>73.991799999999998</v>
      </c>
      <c r="D19" s="13">
        <f t="shared" si="1"/>
        <v>1</v>
      </c>
      <c r="E19" s="16">
        <v>1</v>
      </c>
      <c r="F19" s="12">
        <v>0.72219999999999995</v>
      </c>
      <c r="G19" s="17">
        <f t="shared" si="2"/>
        <v>72.22</v>
      </c>
      <c r="H19" s="18">
        <f t="shared" si="3"/>
        <v>21</v>
      </c>
      <c r="I19" s="18">
        <f t="shared" si="4"/>
        <v>15.166199999999998</v>
      </c>
      <c r="J19" s="18">
        <f t="shared" si="5"/>
        <v>15.166199999999998</v>
      </c>
      <c r="K19" s="16">
        <v>1</v>
      </c>
      <c r="L19" s="12">
        <v>1</v>
      </c>
      <c r="M19" s="17">
        <f t="shared" si="6"/>
        <v>100</v>
      </c>
      <c r="N19" s="18">
        <f t="shared" si="7"/>
        <v>20</v>
      </c>
      <c r="O19" s="18">
        <f t="shared" si="8"/>
        <v>20</v>
      </c>
      <c r="P19" s="18">
        <f t="shared" si="9"/>
        <v>20</v>
      </c>
      <c r="Q19" s="16">
        <v>1</v>
      </c>
      <c r="R19" s="16">
        <v>0.54100000000000004</v>
      </c>
      <c r="S19" s="13">
        <f t="shared" si="10"/>
        <v>54.1</v>
      </c>
      <c r="T19" s="13">
        <f t="shared" si="11"/>
        <v>20</v>
      </c>
      <c r="U19" s="13">
        <f t="shared" si="12"/>
        <v>10.82</v>
      </c>
      <c r="V19" s="13">
        <f t="shared" si="13"/>
        <v>10.82</v>
      </c>
      <c r="W19" s="16">
        <v>1</v>
      </c>
      <c r="X19" s="16">
        <v>0.82040000000000002</v>
      </c>
      <c r="Y19" s="13">
        <f t="shared" si="14"/>
        <v>82.04</v>
      </c>
      <c r="Z19" s="13">
        <f t="shared" si="15"/>
        <v>15</v>
      </c>
      <c r="AA19" s="13">
        <f t="shared" si="16"/>
        <v>12.306000000000001</v>
      </c>
      <c r="AB19" s="13">
        <f t="shared" si="17"/>
        <v>12.306000000000001</v>
      </c>
      <c r="AC19" s="16">
        <v>1</v>
      </c>
      <c r="AD19" s="16">
        <v>0.57140000000000002</v>
      </c>
      <c r="AE19" s="13">
        <f t="shared" si="18"/>
        <v>57.14</v>
      </c>
      <c r="AF19" s="13">
        <f t="shared" si="19"/>
        <v>14</v>
      </c>
      <c r="AG19" s="13">
        <f t="shared" si="20"/>
        <v>7.9996</v>
      </c>
      <c r="AH19" s="13">
        <f t="shared" si="21"/>
        <v>7.9996</v>
      </c>
      <c r="AI19" s="16">
        <v>1</v>
      </c>
      <c r="AJ19" s="16">
        <v>0.77</v>
      </c>
      <c r="AK19" s="13">
        <f t="shared" si="22"/>
        <v>77</v>
      </c>
      <c r="AL19" s="13">
        <f t="shared" si="23"/>
        <v>10</v>
      </c>
      <c r="AM19" s="13">
        <f t="shared" si="24"/>
        <v>7.7</v>
      </c>
      <c r="AN19" s="13">
        <f t="shared" si="25"/>
        <v>7.7</v>
      </c>
      <c r="AO19" s="18">
        <f t="shared" si="26"/>
        <v>2.1</v>
      </c>
      <c r="AP19" s="18">
        <f t="shared" si="27"/>
        <v>2</v>
      </c>
      <c r="AQ19" s="13">
        <f t="shared" si="28"/>
        <v>2</v>
      </c>
      <c r="AR19" s="13">
        <f t="shared" si="29"/>
        <v>1.5</v>
      </c>
      <c r="AS19" s="13">
        <f t="shared" si="30"/>
        <v>1.4</v>
      </c>
      <c r="AT19" s="13">
        <f t="shared" si="31"/>
        <v>1</v>
      </c>
      <c r="AU19" s="18">
        <f t="shared" si="32"/>
        <v>10</v>
      </c>
    </row>
    <row r="20" spans="1:47" ht="25.5" x14ac:dyDescent="0.2">
      <c r="A20" s="1" t="s">
        <v>152</v>
      </c>
      <c r="B20" s="11" t="s">
        <v>153</v>
      </c>
      <c r="C20" s="13">
        <f t="shared" si="0"/>
        <v>26.999299999999998</v>
      </c>
      <c r="D20" s="13">
        <f t="shared" si="1"/>
        <v>1</v>
      </c>
      <c r="E20" s="16">
        <v>1</v>
      </c>
      <c r="F20" s="12">
        <v>0.33329999999999999</v>
      </c>
      <c r="G20" s="17">
        <f t="shared" si="2"/>
        <v>33.33</v>
      </c>
      <c r="H20" s="18">
        <f t="shared" si="3"/>
        <v>21</v>
      </c>
      <c r="I20" s="18">
        <f t="shared" si="4"/>
        <v>6.9992999999999999</v>
      </c>
      <c r="J20" s="18">
        <f t="shared" si="5"/>
        <v>6.9992999999999999</v>
      </c>
      <c r="K20" s="16">
        <v>1</v>
      </c>
      <c r="L20" s="12">
        <v>0</v>
      </c>
      <c r="M20" s="17">
        <f t="shared" si="6"/>
        <v>0</v>
      </c>
      <c r="N20" s="18">
        <f t="shared" si="7"/>
        <v>20</v>
      </c>
      <c r="O20" s="18">
        <f t="shared" si="8"/>
        <v>0</v>
      </c>
      <c r="P20" s="18">
        <f t="shared" si="9"/>
        <v>0</v>
      </c>
      <c r="Q20" s="16">
        <v>1</v>
      </c>
      <c r="R20" s="16">
        <v>1</v>
      </c>
      <c r="S20" s="13">
        <f t="shared" si="10"/>
        <v>100</v>
      </c>
      <c r="T20" s="13">
        <f t="shared" si="11"/>
        <v>20</v>
      </c>
      <c r="U20" s="13">
        <f t="shared" si="12"/>
        <v>20</v>
      </c>
      <c r="V20" s="13">
        <f t="shared" si="13"/>
        <v>20</v>
      </c>
      <c r="W20" s="16">
        <v>1</v>
      </c>
      <c r="X20" s="16">
        <v>0</v>
      </c>
      <c r="Y20" s="13">
        <f t="shared" si="14"/>
        <v>0</v>
      </c>
      <c r="Z20" s="13">
        <f t="shared" si="15"/>
        <v>15</v>
      </c>
      <c r="AA20" s="13">
        <f t="shared" si="16"/>
        <v>0</v>
      </c>
      <c r="AB20" s="13">
        <f t="shared" si="17"/>
        <v>0</v>
      </c>
      <c r="AC20" s="16">
        <v>1</v>
      </c>
      <c r="AD20" s="16">
        <v>0</v>
      </c>
      <c r="AE20" s="13">
        <f t="shared" si="18"/>
        <v>0</v>
      </c>
      <c r="AF20" s="13">
        <f t="shared" si="19"/>
        <v>14</v>
      </c>
      <c r="AG20" s="13">
        <f t="shared" si="20"/>
        <v>0</v>
      </c>
      <c r="AH20" s="13">
        <f t="shared" si="21"/>
        <v>0</v>
      </c>
      <c r="AI20" s="16">
        <v>1</v>
      </c>
      <c r="AJ20" s="16">
        <v>0</v>
      </c>
      <c r="AK20" s="13">
        <f t="shared" si="22"/>
        <v>0</v>
      </c>
      <c r="AL20" s="13">
        <f t="shared" si="23"/>
        <v>10</v>
      </c>
      <c r="AM20" s="13">
        <f t="shared" si="24"/>
        <v>0</v>
      </c>
      <c r="AN20" s="13">
        <f t="shared" si="25"/>
        <v>0</v>
      </c>
      <c r="AO20" s="18">
        <f t="shared" si="26"/>
        <v>2.1</v>
      </c>
      <c r="AP20" s="18">
        <f t="shared" si="27"/>
        <v>2</v>
      </c>
      <c r="AQ20" s="13">
        <f t="shared" si="28"/>
        <v>2</v>
      </c>
      <c r="AR20" s="13">
        <f t="shared" si="29"/>
        <v>1.5</v>
      </c>
      <c r="AS20" s="13">
        <f t="shared" si="30"/>
        <v>1.4</v>
      </c>
      <c r="AT20" s="13">
        <f t="shared" si="31"/>
        <v>1</v>
      </c>
      <c r="AU20" s="18">
        <f t="shared" si="32"/>
        <v>10</v>
      </c>
    </row>
    <row r="21" spans="1:47" x14ac:dyDescent="0.2">
      <c r="A21" s="1" t="s">
        <v>44</v>
      </c>
      <c r="B21" s="11" t="s">
        <v>23</v>
      </c>
      <c r="C21" s="13">
        <f t="shared" si="0"/>
        <v>79.473799999999997</v>
      </c>
      <c r="D21" s="13">
        <f t="shared" si="1"/>
        <v>1</v>
      </c>
      <c r="E21" s="16">
        <v>1</v>
      </c>
      <c r="F21" s="12">
        <v>0.59519999999999995</v>
      </c>
      <c r="G21" s="17">
        <f t="shared" si="2"/>
        <v>59.519999999999996</v>
      </c>
      <c r="H21" s="18">
        <f t="shared" si="3"/>
        <v>21</v>
      </c>
      <c r="I21" s="18">
        <f t="shared" si="4"/>
        <v>12.499199999999998</v>
      </c>
      <c r="J21" s="18">
        <f t="shared" si="5"/>
        <v>12.499199999999998</v>
      </c>
      <c r="K21" s="16">
        <v>1</v>
      </c>
      <c r="L21" s="12">
        <v>1</v>
      </c>
      <c r="M21" s="17">
        <f t="shared" si="6"/>
        <v>100</v>
      </c>
      <c r="N21" s="18">
        <f t="shared" si="7"/>
        <v>20</v>
      </c>
      <c r="O21" s="18">
        <f t="shared" si="8"/>
        <v>20</v>
      </c>
      <c r="P21" s="18">
        <f t="shared" si="9"/>
        <v>20</v>
      </c>
      <c r="Q21" s="16">
        <v>1</v>
      </c>
      <c r="R21" s="16">
        <v>0.85250000000000004</v>
      </c>
      <c r="S21" s="13">
        <f t="shared" si="10"/>
        <v>85.25</v>
      </c>
      <c r="T21" s="13">
        <f t="shared" si="11"/>
        <v>20</v>
      </c>
      <c r="U21" s="13">
        <f t="shared" si="12"/>
        <v>17.05</v>
      </c>
      <c r="V21" s="13">
        <f t="shared" si="13"/>
        <v>17.05</v>
      </c>
      <c r="W21" s="16">
        <v>1</v>
      </c>
      <c r="X21" s="16">
        <v>0.91500000000000004</v>
      </c>
      <c r="Y21" s="13">
        <f t="shared" si="14"/>
        <v>91.5</v>
      </c>
      <c r="Z21" s="13">
        <f t="shared" si="15"/>
        <v>15</v>
      </c>
      <c r="AA21" s="13">
        <f t="shared" si="16"/>
        <v>13.725</v>
      </c>
      <c r="AB21" s="13">
        <f t="shared" si="17"/>
        <v>13.725</v>
      </c>
      <c r="AC21" s="16">
        <v>1</v>
      </c>
      <c r="AD21" s="16">
        <v>0.57140000000000002</v>
      </c>
      <c r="AE21" s="13">
        <f t="shared" si="18"/>
        <v>57.14</v>
      </c>
      <c r="AF21" s="13">
        <f t="shared" si="19"/>
        <v>14</v>
      </c>
      <c r="AG21" s="13">
        <f t="shared" si="20"/>
        <v>7.9996</v>
      </c>
      <c r="AH21" s="13">
        <f t="shared" si="21"/>
        <v>7.9996</v>
      </c>
      <c r="AI21" s="16">
        <v>1</v>
      </c>
      <c r="AJ21" s="16">
        <v>0.82</v>
      </c>
      <c r="AK21" s="13">
        <f t="shared" si="22"/>
        <v>82</v>
      </c>
      <c r="AL21" s="13">
        <f t="shared" si="23"/>
        <v>10</v>
      </c>
      <c r="AM21" s="13">
        <f t="shared" si="24"/>
        <v>8.1999999999999993</v>
      </c>
      <c r="AN21" s="13">
        <f t="shared" si="25"/>
        <v>8.1999999999999993</v>
      </c>
      <c r="AO21" s="18">
        <f t="shared" si="26"/>
        <v>2.1</v>
      </c>
      <c r="AP21" s="18">
        <f t="shared" si="27"/>
        <v>2</v>
      </c>
      <c r="AQ21" s="13">
        <f t="shared" si="28"/>
        <v>2</v>
      </c>
      <c r="AR21" s="13">
        <f t="shared" si="29"/>
        <v>1.5</v>
      </c>
      <c r="AS21" s="13">
        <f t="shared" si="30"/>
        <v>1.4</v>
      </c>
      <c r="AT21" s="13">
        <f t="shared" si="31"/>
        <v>1</v>
      </c>
      <c r="AU21" s="18">
        <f t="shared" si="32"/>
        <v>10</v>
      </c>
    </row>
    <row r="22" spans="1:47" ht="25.5" x14ac:dyDescent="0.2">
      <c r="A22" s="1" t="s">
        <v>45</v>
      </c>
      <c r="B22" s="11" t="s">
        <v>24</v>
      </c>
      <c r="C22" s="13">
        <f t="shared" si="0"/>
        <v>59.180699999999995</v>
      </c>
      <c r="D22" s="13">
        <f t="shared" si="1"/>
        <v>1</v>
      </c>
      <c r="E22" s="16">
        <v>1</v>
      </c>
      <c r="F22" s="12">
        <v>0.66669999999999996</v>
      </c>
      <c r="G22" s="17">
        <f t="shared" si="2"/>
        <v>66.67</v>
      </c>
      <c r="H22" s="18">
        <f t="shared" si="3"/>
        <v>21</v>
      </c>
      <c r="I22" s="18">
        <f t="shared" si="4"/>
        <v>14.0007</v>
      </c>
      <c r="J22" s="18">
        <f t="shared" si="5"/>
        <v>14.0007</v>
      </c>
      <c r="K22" s="16">
        <v>1</v>
      </c>
      <c r="L22" s="12">
        <v>0.46150000000000002</v>
      </c>
      <c r="M22" s="17">
        <f t="shared" si="6"/>
        <v>46.150000000000006</v>
      </c>
      <c r="N22" s="18">
        <f t="shared" si="7"/>
        <v>20</v>
      </c>
      <c r="O22" s="18">
        <f t="shared" si="8"/>
        <v>9.23</v>
      </c>
      <c r="P22" s="18">
        <f t="shared" si="9"/>
        <v>9.23</v>
      </c>
      <c r="Q22" s="16">
        <v>1</v>
      </c>
      <c r="R22" s="16">
        <v>0.34</v>
      </c>
      <c r="S22" s="13">
        <f t="shared" si="10"/>
        <v>34</v>
      </c>
      <c r="T22" s="13">
        <f t="shared" si="11"/>
        <v>20</v>
      </c>
      <c r="U22" s="13">
        <f t="shared" si="12"/>
        <v>6.8</v>
      </c>
      <c r="V22" s="13">
        <f t="shared" si="13"/>
        <v>6.8</v>
      </c>
      <c r="W22" s="16">
        <v>1</v>
      </c>
      <c r="X22" s="16">
        <v>0.7</v>
      </c>
      <c r="Y22" s="13">
        <f t="shared" si="14"/>
        <v>70</v>
      </c>
      <c r="Z22" s="13">
        <f t="shared" si="15"/>
        <v>15</v>
      </c>
      <c r="AA22" s="13">
        <f t="shared" si="16"/>
        <v>10.5</v>
      </c>
      <c r="AB22" s="13">
        <f t="shared" si="17"/>
        <v>10.5</v>
      </c>
      <c r="AC22" s="16">
        <v>1</v>
      </c>
      <c r="AD22" s="16">
        <v>0.7</v>
      </c>
      <c r="AE22" s="13">
        <f t="shared" si="18"/>
        <v>70</v>
      </c>
      <c r="AF22" s="13">
        <f t="shared" si="19"/>
        <v>14</v>
      </c>
      <c r="AG22" s="13">
        <f t="shared" si="20"/>
        <v>9.8000000000000007</v>
      </c>
      <c r="AH22" s="13">
        <f t="shared" si="21"/>
        <v>9.8000000000000007</v>
      </c>
      <c r="AI22" s="16">
        <v>1</v>
      </c>
      <c r="AJ22" s="16">
        <v>0.88500000000000001</v>
      </c>
      <c r="AK22" s="13">
        <f t="shared" si="22"/>
        <v>88.5</v>
      </c>
      <c r="AL22" s="13">
        <f t="shared" si="23"/>
        <v>10</v>
      </c>
      <c r="AM22" s="13">
        <f t="shared" si="24"/>
        <v>8.85</v>
      </c>
      <c r="AN22" s="13">
        <f t="shared" si="25"/>
        <v>8.85</v>
      </c>
      <c r="AO22" s="18">
        <f t="shared" si="26"/>
        <v>2.1</v>
      </c>
      <c r="AP22" s="18">
        <f t="shared" si="27"/>
        <v>2</v>
      </c>
      <c r="AQ22" s="13">
        <f t="shared" si="28"/>
        <v>2</v>
      </c>
      <c r="AR22" s="13">
        <f t="shared" si="29"/>
        <v>1.5</v>
      </c>
      <c r="AS22" s="13">
        <f t="shared" si="30"/>
        <v>1.4</v>
      </c>
      <c r="AT22" s="13">
        <f t="shared" si="31"/>
        <v>1</v>
      </c>
      <c r="AU22" s="18">
        <f t="shared" si="32"/>
        <v>10</v>
      </c>
    </row>
    <row r="23" spans="1:47" ht="25.5" x14ac:dyDescent="0.2">
      <c r="A23" s="1" t="s">
        <v>46</v>
      </c>
      <c r="B23" s="11" t="s">
        <v>25</v>
      </c>
      <c r="C23" s="13">
        <f t="shared" si="0"/>
        <v>68.542599999999993</v>
      </c>
      <c r="D23" s="13">
        <f t="shared" si="1"/>
        <v>1</v>
      </c>
      <c r="E23" s="16">
        <v>1</v>
      </c>
      <c r="F23" s="12">
        <v>0.86560000000000004</v>
      </c>
      <c r="G23" s="17">
        <f t="shared" si="2"/>
        <v>86.56</v>
      </c>
      <c r="H23" s="18">
        <f t="shared" si="3"/>
        <v>21</v>
      </c>
      <c r="I23" s="18">
        <f t="shared" si="4"/>
        <v>18.177599999999998</v>
      </c>
      <c r="J23" s="18">
        <f t="shared" si="5"/>
        <v>18.177599999999998</v>
      </c>
      <c r="K23" s="16">
        <v>1</v>
      </c>
      <c r="L23" s="12">
        <v>0.65</v>
      </c>
      <c r="M23" s="17">
        <f t="shared" si="6"/>
        <v>65</v>
      </c>
      <c r="N23" s="18">
        <f t="shared" si="7"/>
        <v>20</v>
      </c>
      <c r="O23" s="18">
        <f t="shared" si="8"/>
        <v>13</v>
      </c>
      <c r="P23" s="18">
        <f t="shared" si="9"/>
        <v>13</v>
      </c>
      <c r="Q23" s="16">
        <v>1</v>
      </c>
      <c r="R23" s="16">
        <v>0.37</v>
      </c>
      <c r="S23" s="13">
        <f t="shared" si="10"/>
        <v>37</v>
      </c>
      <c r="T23" s="13">
        <f t="shared" si="11"/>
        <v>20</v>
      </c>
      <c r="U23" s="13">
        <f t="shared" si="12"/>
        <v>7.4</v>
      </c>
      <c r="V23" s="13">
        <f t="shared" si="13"/>
        <v>7.4</v>
      </c>
      <c r="W23" s="16">
        <v>1</v>
      </c>
      <c r="X23" s="16">
        <v>0.82220000000000004</v>
      </c>
      <c r="Y23" s="13">
        <f t="shared" si="14"/>
        <v>82.22</v>
      </c>
      <c r="Z23" s="13">
        <f t="shared" si="15"/>
        <v>15</v>
      </c>
      <c r="AA23" s="13">
        <f t="shared" si="16"/>
        <v>12.333</v>
      </c>
      <c r="AB23" s="13">
        <f t="shared" si="17"/>
        <v>12.333</v>
      </c>
      <c r="AC23" s="16">
        <v>1</v>
      </c>
      <c r="AD23" s="16">
        <v>0.7</v>
      </c>
      <c r="AE23" s="13">
        <f t="shared" si="18"/>
        <v>70</v>
      </c>
      <c r="AF23" s="13">
        <f t="shared" si="19"/>
        <v>14</v>
      </c>
      <c r="AG23" s="13">
        <f t="shared" si="20"/>
        <v>9.8000000000000007</v>
      </c>
      <c r="AH23" s="13">
        <f t="shared" si="21"/>
        <v>9.8000000000000007</v>
      </c>
      <c r="AI23" s="16">
        <v>1</v>
      </c>
      <c r="AJ23" s="16">
        <v>0.78320000000000001</v>
      </c>
      <c r="AK23" s="13">
        <f t="shared" si="22"/>
        <v>78.320000000000007</v>
      </c>
      <c r="AL23" s="13">
        <f t="shared" si="23"/>
        <v>10</v>
      </c>
      <c r="AM23" s="13">
        <f t="shared" si="24"/>
        <v>7.8320000000000007</v>
      </c>
      <c r="AN23" s="13">
        <f t="shared" si="25"/>
        <v>7.8320000000000007</v>
      </c>
      <c r="AO23" s="18">
        <f t="shared" si="26"/>
        <v>2.1</v>
      </c>
      <c r="AP23" s="18">
        <f t="shared" si="27"/>
        <v>2</v>
      </c>
      <c r="AQ23" s="13">
        <f t="shared" si="28"/>
        <v>2</v>
      </c>
      <c r="AR23" s="13">
        <f t="shared" si="29"/>
        <v>1.5</v>
      </c>
      <c r="AS23" s="13">
        <f t="shared" si="30"/>
        <v>1.4</v>
      </c>
      <c r="AT23" s="13">
        <f t="shared" si="31"/>
        <v>1</v>
      </c>
      <c r="AU23" s="18">
        <f t="shared" si="32"/>
        <v>10</v>
      </c>
    </row>
    <row r="24" spans="1:47" ht="25.5" x14ac:dyDescent="0.2">
      <c r="A24" s="1" t="s">
        <v>47</v>
      </c>
      <c r="B24" s="11" t="s">
        <v>26</v>
      </c>
      <c r="C24" s="13">
        <f t="shared" si="0"/>
        <v>60.296199999999999</v>
      </c>
      <c r="D24" s="13">
        <f t="shared" si="1"/>
        <v>1</v>
      </c>
      <c r="E24" s="16">
        <v>1</v>
      </c>
      <c r="F24" s="12">
        <v>0.71919999999999995</v>
      </c>
      <c r="G24" s="17">
        <f t="shared" si="2"/>
        <v>71.92</v>
      </c>
      <c r="H24" s="18">
        <f t="shared" si="3"/>
        <v>21</v>
      </c>
      <c r="I24" s="18">
        <f t="shared" si="4"/>
        <v>15.103199999999999</v>
      </c>
      <c r="J24" s="18">
        <f t="shared" si="5"/>
        <v>15.103199999999999</v>
      </c>
      <c r="K24" s="16">
        <v>1</v>
      </c>
      <c r="L24" s="12">
        <v>0.46150000000000002</v>
      </c>
      <c r="M24" s="17">
        <f t="shared" si="6"/>
        <v>46.150000000000006</v>
      </c>
      <c r="N24" s="18">
        <f t="shared" si="7"/>
        <v>20</v>
      </c>
      <c r="O24" s="18">
        <f t="shared" si="8"/>
        <v>9.23</v>
      </c>
      <c r="P24" s="18">
        <f t="shared" si="9"/>
        <v>9.23</v>
      </c>
      <c r="Q24" s="16">
        <v>1</v>
      </c>
      <c r="R24" s="16">
        <v>0.60940000000000005</v>
      </c>
      <c r="S24" s="13">
        <f t="shared" si="10"/>
        <v>60.940000000000005</v>
      </c>
      <c r="T24" s="13">
        <f t="shared" si="11"/>
        <v>20</v>
      </c>
      <c r="U24" s="13">
        <f t="shared" si="12"/>
        <v>12.188000000000002</v>
      </c>
      <c r="V24" s="13">
        <f t="shared" si="13"/>
        <v>12.188000000000002</v>
      </c>
      <c r="W24" s="16">
        <v>1</v>
      </c>
      <c r="X24" s="16">
        <v>0.66</v>
      </c>
      <c r="Y24" s="13">
        <f t="shared" si="14"/>
        <v>66</v>
      </c>
      <c r="Z24" s="13">
        <f t="shared" si="15"/>
        <v>15</v>
      </c>
      <c r="AA24" s="13">
        <f t="shared" si="16"/>
        <v>9.9</v>
      </c>
      <c r="AB24" s="13">
        <f t="shared" si="17"/>
        <v>9.9</v>
      </c>
      <c r="AC24" s="16">
        <v>1</v>
      </c>
      <c r="AD24" s="16">
        <v>0.4</v>
      </c>
      <c r="AE24" s="13">
        <f t="shared" si="18"/>
        <v>40</v>
      </c>
      <c r="AF24" s="13">
        <f t="shared" si="19"/>
        <v>14</v>
      </c>
      <c r="AG24" s="13">
        <f t="shared" si="20"/>
        <v>5.6</v>
      </c>
      <c r="AH24" s="13">
        <f t="shared" si="21"/>
        <v>5.6</v>
      </c>
      <c r="AI24" s="16">
        <v>1</v>
      </c>
      <c r="AJ24" s="16">
        <v>0.82750000000000001</v>
      </c>
      <c r="AK24" s="13">
        <f t="shared" si="22"/>
        <v>82.75</v>
      </c>
      <c r="AL24" s="13">
        <f t="shared" si="23"/>
        <v>10</v>
      </c>
      <c r="AM24" s="13">
        <f t="shared" si="24"/>
        <v>8.2750000000000004</v>
      </c>
      <c r="AN24" s="13">
        <f t="shared" si="25"/>
        <v>8.2750000000000004</v>
      </c>
      <c r="AO24" s="18">
        <f t="shared" si="26"/>
        <v>2.1</v>
      </c>
      <c r="AP24" s="18">
        <f t="shared" si="27"/>
        <v>2</v>
      </c>
      <c r="AQ24" s="13">
        <f t="shared" si="28"/>
        <v>2</v>
      </c>
      <c r="AR24" s="13">
        <f t="shared" si="29"/>
        <v>1.5</v>
      </c>
      <c r="AS24" s="13">
        <f t="shared" si="30"/>
        <v>1.4</v>
      </c>
      <c r="AT24" s="13">
        <f t="shared" si="31"/>
        <v>1</v>
      </c>
      <c r="AU24" s="18">
        <f t="shared" si="32"/>
        <v>10</v>
      </c>
    </row>
    <row r="25" spans="1:47" ht="25.5" x14ac:dyDescent="0.2">
      <c r="A25" s="1" t="s">
        <v>48</v>
      </c>
      <c r="B25" s="11" t="s">
        <v>27</v>
      </c>
      <c r="C25" s="13">
        <f t="shared" si="0"/>
        <v>38.765099999999997</v>
      </c>
      <c r="D25" s="13">
        <f t="shared" si="1"/>
        <v>1</v>
      </c>
      <c r="E25" s="16">
        <v>1</v>
      </c>
      <c r="F25" s="12">
        <v>0.37809999999999999</v>
      </c>
      <c r="G25" s="17">
        <f t="shared" si="2"/>
        <v>37.81</v>
      </c>
      <c r="H25" s="18">
        <f t="shared" si="3"/>
        <v>21</v>
      </c>
      <c r="I25" s="18">
        <f t="shared" si="4"/>
        <v>7.9401000000000002</v>
      </c>
      <c r="J25" s="18">
        <f t="shared" si="5"/>
        <v>7.9401000000000002</v>
      </c>
      <c r="K25" s="16">
        <v>1</v>
      </c>
      <c r="L25" s="12">
        <v>0</v>
      </c>
      <c r="M25" s="17">
        <f t="shared" si="6"/>
        <v>0</v>
      </c>
      <c r="N25" s="18">
        <f t="shared" si="7"/>
        <v>20</v>
      </c>
      <c r="O25" s="18">
        <f t="shared" si="8"/>
        <v>0</v>
      </c>
      <c r="P25" s="18">
        <f t="shared" si="9"/>
        <v>0</v>
      </c>
      <c r="Q25" s="16">
        <v>1</v>
      </c>
      <c r="R25" s="16">
        <v>0.52</v>
      </c>
      <c r="S25" s="13">
        <f t="shared" si="10"/>
        <v>52</v>
      </c>
      <c r="T25" s="13">
        <f t="shared" si="11"/>
        <v>20</v>
      </c>
      <c r="U25" s="13">
        <f t="shared" si="12"/>
        <v>10.4</v>
      </c>
      <c r="V25" s="13">
        <f t="shared" si="13"/>
        <v>10.4</v>
      </c>
      <c r="W25" s="16">
        <v>1</v>
      </c>
      <c r="X25" s="16">
        <v>0.7</v>
      </c>
      <c r="Y25" s="13">
        <f t="shared" si="14"/>
        <v>70</v>
      </c>
      <c r="Z25" s="13">
        <f t="shared" si="15"/>
        <v>15</v>
      </c>
      <c r="AA25" s="13">
        <f t="shared" si="16"/>
        <v>10.5</v>
      </c>
      <c r="AB25" s="13">
        <f t="shared" si="17"/>
        <v>10.5</v>
      </c>
      <c r="AC25" s="16">
        <v>1</v>
      </c>
      <c r="AD25" s="16">
        <v>0.1</v>
      </c>
      <c r="AE25" s="13">
        <f t="shared" si="18"/>
        <v>10</v>
      </c>
      <c r="AF25" s="13">
        <f t="shared" si="19"/>
        <v>14</v>
      </c>
      <c r="AG25" s="13">
        <f t="shared" si="20"/>
        <v>1.4</v>
      </c>
      <c r="AH25" s="13">
        <f t="shared" si="21"/>
        <v>1.4</v>
      </c>
      <c r="AI25" s="16">
        <v>1</v>
      </c>
      <c r="AJ25" s="16">
        <v>0.85250000000000004</v>
      </c>
      <c r="AK25" s="13">
        <f t="shared" si="22"/>
        <v>85.25</v>
      </c>
      <c r="AL25" s="13">
        <f t="shared" si="23"/>
        <v>10</v>
      </c>
      <c r="AM25" s="13">
        <f t="shared" si="24"/>
        <v>8.5250000000000004</v>
      </c>
      <c r="AN25" s="13">
        <f t="shared" si="25"/>
        <v>8.5250000000000004</v>
      </c>
      <c r="AO25" s="18">
        <f t="shared" si="26"/>
        <v>2.1</v>
      </c>
      <c r="AP25" s="18">
        <f t="shared" si="27"/>
        <v>2</v>
      </c>
      <c r="AQ25" s="13">
        <f t="shared" si="28"/>
        <v>2</v>
      </c>
      <c r="AR25" s="13">
        <f t="shared" si="29"/>
        <v>1.5</v>
      </c>
      <c r="AS25" s="13">
        <f t="shared" si="30"/>
        <v>1.4</v>
      </c>
      <c r="AT25" s="13">
        <f t="shared" si="31"/>
        <v>1</v>
      </c>
      <c r="AU25" s="18">
        <f t="shared" si="32"/>
        <v>10</v>
      </c>
    </row>
    <row r="26" spans="1:47" x14ac:dyDescent="0.2">
      <c r="A26" s="1" t="s">
        <v>49</v>
      </c>
      <c r="B26" s="11" t="s">
        <v>28</v>
      </c>
      <c r="C26" s="13">
        <f t="shared" si="0"/>
        <v>41.592399999999998</v>
      </c>
      <c r="D26" s="13">
        <f t="shared" si="1"/>
        <v>1</v>
      </c>
      <c r="E26" s="16">
        <v>1</v>
      </c>
      <c r="F26" s="12">
        <v>0.38890000000000002</v>
      </c>
      <c r="G26" s="17">
        <f t="shared" si="2"/>
        <v>38.89</v>
      </c>
      <c r="H26" s="18">
        <f t="shared" si="3"/>
        <v>21</v>
      </c>
      <c r="I26" s="18">
        <f t="shared" si="4"/>
        <v>8.1669</v>
      </c>
      <c r="J26" s="18">
        <f t="shared" si="5"/>
        <v>8.1669</v>
      </c>
      <c r="K26" s="16">
        <v>1</v>
      </c>
      <c r="L26" s="12">
        <v>0</v>
      </c>
      <c r="M26" s="17">
        <f t="shared" si="6"/>
        <v>0</v>
      </c>
      <c r="N26" s="18">
        <f t="shared" si="7"/>
        <v>20</v>
      </c>
      <c r="O26" s="18">
        <f t="shared" si="8"/>
        <v>0</v>
      </c>
      <c r="P26" s="18">
        <f t="shared" si="9"/>
        <v>0</v>
      </c>
      <c r="Q26" s="16">
        <v>1</v>
      </c>
      <c r="R26" s="16">
        <v>0.52</v>
      </c>
      <c r="S26" s="13">
        <f t="shared" si="10"/>
        <v>52</v>
      </c>
      <c r="T26" s="13">
        <f t="shared" si="11"/>
        <v>20</v>
      </c>
      <c r="U26" s="13">
        <f t="shared" si="12"/>
        <v>10.4</v>
      </c>
      <c r="V26" s="13">
        <f t="shared" si="13"/>
        <v>10.4</v>
      </c>
      <c r="W26" s="16">
        <v>1</v>
      </c>
      <c r="X26" s="16">
        <v>0.97170000000000001</v>
      </c>
      <c r="Y26" s="13">
        <f t="shared" si="14"/>
        <v>97.17</v>
      </c>
      <c r="Z26" s="13">
        <f t="shared" si="15"/>
        <v>15</v>
      </c>
      <c r="AA26" s="13">
        <f t="shared" si="16"/>
        <v>14.5755</v>
      </c>
      <c r="AB26" s="13">
        <f t="shared" si="17"/>
        <v>14.5755</v>
      </c>
      <c r="AC26" s="16">
        <v>1</v>
      </c>
      <c r="AD26" s="16">
        <v>0.1</v>
      </c>
      <c r="AE26" s="13">
        <f t="shared" si="18"/>
        <v>10</v>
      </c>
      <c r="AF26" s="13">
        <f t="shared" si="19"/>
        <v>14</v>
      </c>
      <c r="AG26" s="13">
        <f t="shared" si="20"/>
        <v>1.4</v>
      </c>
      <c r="AH26" s="13">
        <f t="shared" si="21"/>
        <v>1.4</v>
      </c>
      <c r="AI26" s="16">
        <v>1</v>
      </c>
      <c r="AJ26" s="16">
        <v>0.70499999999999996</v>
      </c>
      <c r="AK26" s="13">
        <f t="shared" si="22"/>
        <v>70.5</v>
      </c>
      <c r="AL26" s="13">
        <f t="shared" si="23"/>
        <v>10</v>
      </c>
      <c r="AM26" s="13">
        <f t="shared" si="24"/>
        <v>7.05</v>
      </c>
      <c r="AN26" s="13">
        <f t="shared" si="25"/>
        <v>7.05</v>
      </c>
      <c r="AO26" s="18">
        <f t="shared" si="26"/>
        <v>2.1</v>
      </c>
      <c r="AP26" s="18">
        <f t="shared" si="27"/>
        <v>2</v>
      </c>
      <c r="AQ26" s="13">
        <f t="shared" si="28"/>
        <v>2</v>
      </c>
      <c r="AR26" s="13">
        <f t="shared" si="29"/>
        <v>1.5</v>
      </c>
      <c r="AS26" s="13">
        <f t="shared" si="30"/>
        <v>1.4</v>
      </c>
      <c r="AT26" s="13">
        <f t="shared" si="31"/>
        <v>1</v>
      </c>
      <c r="AU26" s="18">
        <f t="shared" si="32"/>
        <v>10</v>
      </c>
    </row>
    <row r="27" spans="1:47" ht="25.5" x14ac:dyDescent="0.2">
      <c r="A27" s="1" t="s">
        <v>150</v>
      </c>
      <c r="B27" s="11" t="s">
        <v>147</v>
      </c>
      <c r="C27" s="13">
        <f t="shared" si="0"/>
        <v>56.789699999999996</v>
      </c>
      <c r="D27" s="13">
        <f t="shared" si="1"/>
        <v>1</v>
      </c>
      <c r="E27" s="16">
        <v>1</v>
      </c>
      <c r="F27" s="12">
        <v>0.7167</v>
      </c>
      <c r="G27" s="17">
        <f t="shared" si="2"/>
        <v>71.67</v>
      </c>
      <c r="H27" s="18">
        <f t="shared" si="3"/>
        <v>21</v>
      </c>
      <c r="I27" s="18">
        <f t="shared" si="4"/>
        <v>15.050699999999999</v>
      </c>
      <c r="J27" s="18">
        <f t="shared" si="5"/>
        <v>15.050699999999999</v>
      </c>
      <c r="K27" s="16">
        <v>1</v>
      </c>
      <c r="L27" s="12">
        <v>0.23080000000000001</v>
      </c>
      <c r="M27" s="17">
        <f t="shared" si="6"/>
        <v>23.080000000000002</v>
      </c>
      <c r="N27" s="18">
        <f t="shared" si="7"/>
        <v>20</v>
      </c>
      <c r="O27" s="18">
        <f t="shared" si="8"/>
        <v>4.6160000000000005</v>
      </c>
      <c r="P27" s="18">
        <f t="shared" si="9"/>
        <v>4.6160000000000005</v>
      </c>
      <c r="Q27" s="16">
        <v>1</v>
      </c>
      <c r="R27" s="16">
        <v>0.37</v>
      </c>
      <c r="S27" s="13">
        <f t="shared" si="10"/>
        <v>37</v>
      </c>
      <c r="T27" s="13">
        <f t="shared" si="11"/>
        <v>20</v>
      </c>
      <c r="U27" s="13">
        <f t="shared" si="12"/>
        <v>7.4</v>
      </c>
      <c r="V27" s="13">
        <f t="shared" si="13"/>
        <v>7.4</v>
      </c>
      <c r="W27" s="16">
        <v>1</v>
      </c>
      <c r="X27" s="16">
        <v>0.83</v>
      </c>
      <c r="Y27" s="13">
        <f t="shared" si="14"/>
        <v>83</v>
      </c>
      <c r="Z27" s="13">
        <f t="shared" si="15"/>
        <v>15</v>
      </c>
      <c r="AA27" s="13">
        <f t="shared" si="16"/>
        <v>12.45</v>
      </c>
      <c r="AB27" s="13">
        <f t="shared" si="17"/>
        <v>12.45</v>
      </c>
      <c r="AC27" s="16">
        <v>1</v>
      </c>
      <c r="AD27" s="16">
        <v>0.7</v>
      </c>
      <c r="AE27" s="13">
        <f t="shared" si="18"/>
        <v>70</v>
      </c>
      <c r="AF27" s="13">
        <f t="shared" si="19"/>
        <v>14</v>
      </c>
      <c r="AG27" s="13">
        <f t="shared" si="20"/>
        <v>9.8000000000000007</v>
      </c>
      <c r="AH27" s="13">
        <f t="shared" si="21"/>
        <v>9.8000000000000007</v>
      </c>
      <c r="AI27" s="16">
        <v>1</v>
      </c>
      <c r="AJ27" s="16">
        <v>0.74729999999999996</v>
      </c>
      <c r="AK27" s="13">
        <f t="shared" si="22"/>
        <v>74.72999999999999</v>
      </c>
      <c r="AL27" s="13">
        <f t="shared" si="23"/>
        <v>10</v>
      </c>
      <c r="AM27" s="13">
        <f t="shared" si="24"/>
        <v>7.4729999999999999</v>
      </c>
      <c r="AN27" s="13">
        <f t="shared" si="25"/>
        <v>7.4729999999999999</v>
      </c>
      <c r="AO27" s="18">
        <f t="shared" si="26"/>
        <v>2.1</v>
      </c>
      <c r="AP27" s="18">
        <f t="shared" si="27"/>
        <v>2</v>
      </c>
      <c r="AQ27" s="13">
        <f t="shared" si="28"/>
        <v>2</v>
      </c>
      <c r="AR27" s="13">
        <f t="shared" si="29"/>
        <v>1.5</v>
      </c>
      <c r="AS27" s="13">
        <f t="shared" si="30"/>
        <v>1.4</v>
      </c>
      <c r="AT27" s="13">
        <f t="shared" si="31"/>
        <v>1</v>
      </c>
      <c r="AU27" s="18">
        <f t="shared" si="32"/>
        <v>10</v>
      </c>
    </row>
    <row r="28" spans="1:47" ht="25.5" x14ac:dyDescent="0.2">
      <c r="A28" s="1" t="s">
        <v>50</v>
      </c>
      <c r="B28" s="11" t="s">
        <v>29</v>
      </c>
      <c r="C28" s="13">
        <f t="shared" si="0"/>
        <v>53.653899999999993</v>
      </c>
      <c r="D28" s="13">
        <f t="shared" si="1"/>
        <v>1</v>
      </c>
      <c r="E28" s="16">
        <v>1</v>
      </c>
      <c r="F28" s="12">
        <v>0.71240000000000003</v>
      </c>
      <c r="G28" s="17">
        <f t="shared" si="2"/>
        <v>71.240000000000009</v>
      </c>
      <c r="H28" s="18">
        <f t="shared" si="3"/>
        <v>21</v>
      </c>
      <c r="I28" s="18">
        <f t="shared" si="4"/>
        <v>14.960400000000002</v>
      </c>
      <c r="J28" s="18">
        <f t="shared" si="5"/>
        <v>14.960400000000002</v>
      </c>
      <c r="K28" s="16">
        <v>1</v>
      </c>
      <c r="L28" s="12">
        <v>0.35</v>
      </c>
      <c r="M28" s="17">
        <f t="shared" si="6"/>
        <v>35</v>
      </c>
      <c r="N28" s="18">
        <f t="shared" si="7"/>
        <v>20</v>
      </c>
      <c r="O28" s="18">
        <f t="shared" si="8"/>
        <v>7</v>
      </c>
      <c r="P28" s="18">
        <f t="shared" si="9"/>
        <v>7</v>
      </c>
      <c r="Q28" s="16">
        <v>1</v>
      </c>
      <c r="R28" s="16">
        <v>0.42080000000000001</v>
      </c>
      <c r="S28" s="13">
        <f t="shared" si="10"/>
        <v>42.08</v>
      </c>
      <c r="T28" s="13">
        <f t="shared" si="11"/>
        <v>20</v>
      </c>
      <c r="U28" s="13">
        <f t="shared" si="12"/>
        <v>8.4159999999999986</v>
      </c>
      <c r="V28" s="13">
        <f t="shared" si="13"/>
        <v>8.4159999999999986</v>
      </c>
      <c r="W28" s="16">
        <v>1</v>
      </c>
      <c r="X28" s="16">
        <v>0.69630000000000003</v>
      </c>
      <c r="Y28" s="13">
        <f t="shared" si="14"/>
        <v>69.63000000000001</v>
      </c>
      <c r="Z28" s="13">
        <f t="shared" si="15"/>
        <v>15</v>
      </c>
      <c r="AA28" s="13">
        <f t="shared" si="16"/>
        <v>10.4445</v>
      </c>
      <c r="AB28" s="13">
        <f t="shared" si="17"/>
        <v>10.4445</v>
      </c>
      <c r="AC28" s="16">
        <v>1</v>
      </c>
      <c r="AD28" s="16">
        <v>0.3</v>
      </c>
      <c r="AE28" s="13">
        <f t="shared" si="18"/>
        <v>30</v>
      </c>
      <c r="AF28" s="13">
        <f t="shared" si="19"/>
        <v>14</v>
      </c>
      <c r="AG28" s="13">
        <f t="shared" si="20"/>
        <v>4.2</v>
      </c>
      <c r="AH28" s="13">
        <f t="shared" si="21"/>
        <v>4.2</v>
      </c>
      <c r="AI28" s="16">
        <v>1</v>
      </c>
      <c r="AJ28" s="16">
        <v>0.86329999999999996</v>
      </c>
      <c r="AK28" s="13">
        <f t="shared" si="22"/>
        <v>86.33</v>
      </c>
      <c r="AL28" s="13">
        <f t="shared" si="23"/>
        <v>10</v>
      </c>
      <c r="AM28" s="13">
        <f t="shared" si="24"/>
        <v>8.6329999999999991</v>
      </c>
      <c r="AN28" s="13">
        <f t="shared" si="25"/>
        <v>8.6329999999999991</v>
      </c>
      <c r="AO28" s="18">
        <f t="shared" si="26"/>
        <v>2.1</v>
      </c>
      <c r="AP28" s="18">
        <f t="shared" si="27"/>
        <v>2</v>
      </c>
      <c r="AQ28" s="13">
        <f t="shared" si="28"/>
        <v>2</v>
      </c>
      <c r="AR28" s="13">
        <f t="shared" si="29"/>
        <v>1.5</v>
      </c>
      <c r="AS28" s="13">
        <f t="shared" si="30"/>
        <v>1.4</v>
      </c>
      <c r="AT28" s="13">
        <f t="shared" si="31"/>
        <v>1</v>
      </c>
      <c r="AU28" s="18">
        <f t="shared" si="32"/>
        <v>10</v>
      </c>
    </row>
    <row r="29" spans="1:47" x14ac:dyDescent="0.2">
      <c r="A29" s="1" t="s">
        <v>51</v>
      </c>
      <c r="B29" s="11" t="s">
        <v>30</v>
      </c>
      <c r="C29" s="13">
        <f t="shared" si="0"/>
        <v>59.736199999999997</v>
      </c>
      <c r="D29" s="13">
        <f t="shared" si="1"/>
        <v>1</v>
      </c>
      <c r="E29" s="16">
        <v>1</v>
      </c>
      <c r="F29" s="12">
        <v>0.72219999999999995</v>
      </c>
      <c r="G29" s="17">
        <f t="shared" si="2"/>
        <v>72.22</v>
      </c>
      <c r="H29" s="18">
        <f t="shared" si="3"/>
        <v>21</v>
      </c>
      <c r="I29" s="18">
        <f t="shared" si="4"/>
        <v>15.166199999999998</v>
      </c>
      <c r="J29" s="18">
        <f t="shared" si="5"/>
        <v>15.166199999999998</v>
      </c>
      <c r="K29" s="16">
        <v>1</v>
      </c>
      <c r="L29" s="12">
        <v>0.35</v>
      </c>
      <c r="M29" s="17">
        <f t="shared" si="6"/>
        <v>35</v>
      </c>
      <c r="N29" s="18">
        <f t="shared" si="7"/>
        <v>20</v>
      </c>
      <c r="O29" s="18">
        <f t="shared" si="8"/>
        <v>7</v>
      </c>
      <c r="P29" s="18">
        <f t="shared" si="9"/>
        <v>7</v>
      </c>
      <c r="Q29" s="16">
        <v>1</v>
      </c>
      <c r="R29" s="16">
        <v>0.66320000000000001</v>
      </c>
      <c r="S29" s="13">
        <f t="shared" si="10"/>
        <v>66.320000000000007</v>
      </c>
      <c r="T29" s="13">
        <f t="shared" si="11"/>
        <v>20</v>
      </c>
      <c r="U29" s="13">
        <f t="shared" si="12"/>
        <v>13.264000000000001</v>
      </c>
      <c r="V29" s="13">
        <f t="shared" si="13"/>
        <v>13.264000000000001</v>
      </c>
      <c r="W29" s="16">
        <v>1</v>
      </c>
      <c r="X29" s="16">
        <v>0.39</v>
      </c>
      <c r="Y29" s="13">
        <f t="shared" si="14"/>
        <v>39</v>
      </c>
      <c r="Z29" s="13">
        <f t="shared" si="15"/>
        <v>15</v>
      </c>
      <c r="AA29" s="13">
        <f t="shared" si="16"/>
        <v>5.85</v>
      </c>
      <c r="AB29" s="13">
        <f t="shared" si="17"/>
        <v>5.85</v>
      </c>
      <c r="AC29" s="16">
        <v>1</v>
      </c>
      <c r="AD29" s="16">
        <v>0.8</v>
      </c>
      <c r="AE29" s="13">
        <f t="shared" si="18"/>
        <v>80</v>
      </c>
      <c r="AF29" s="13">
        <f t="shared" si="19"/>
        <v>14</v>
      </c>
      <c r="AG29" s="13">
        <f t="shared" si="20"/>
        <v>11.2</v>
      </c>
      <c r="AH29" s="13">
        <f t="shared" si="21"/>
        <v>11.2</v>
      </c>
      <c r="AI29" s="16">
        <v>1</v>
      </c>
      <c r="AJ29" s="16">
        <v>0.72560000000000002</v>
      </c>
      <c r="AK29" s="13">
        <f t="shared" si="22"/>
        <v>72.56</v>
      </c>
      <c r="AL29" s="13">
        <f t="shared" si="23"/>
        <v>10</v>
      </c>
      <c r="AM29" s="13">
        <f t="shared" si="24"/>
        <v>7.2560000000000002</v>
      </c>
      <c r="AN29" s="13">
        <f t="shared" si="25"/>
        <v>7.2560000000000002</v>
      </c>
      <c r="AO29" s="18">
        <f t="shared" si="26"/>
        <v>2.1</v>
      </c>
      <c r="AP29" s="18">
        <f t="shared" si="27"/>
        <v>2</v>
      </c>
      <c r="AQ29" s="13">
        <f t="shared" si="28"/>
        <v>2</v>
      </c>
      <c r="AR29" s="13">
        <f t="shared" si="29"/>
        <v>1.5</v>
      </c>
      <c r="AS29" s="13">
        <f t="shared" si="30"/>
        <v>1.4</v>
      </c>
      <c r="AT29" s="13">
        <f t="shared" si="31"/>
        <v>1</v>
      </c>
      <c r="AU29" s="18">
        <f t="shared" si="32"/>
        <v>10</v>
      </c>
    </row>
    <row r="30" spans="1:47" ht="25.5" x14ac:dyDescent="0.2">
      <c r="A30" s="1" t="s">
        <v>52</v>
      </c>
      <c r="B30" s="11" t="s">
        <v>31</v>
      </c>
      <c r="C30" s="13">
        <f t="shared" si="0"/>
        <v>70.455199999999991</v>
      </c>
      <c r="D30" s="13">
        <f t="shared" si="1"/>
        <v>1</v>
      </c>
      <c r="E30" s="16">
        <v>1</v>
      </c>
      <c r="F30" s="12">
        <v>0.87370000000000003</v>
      </c>
      <c r="G30" s="17">
        <f t="shared" si="2"/>
        <v>87.37</v>
      </c>
      <c r="H30" s="18">
        <f t="shared" si="3"/>
        <v>21</v>
      </c>
      <c r="I30" s="18">
        <f t="shared" si="4"/>
        <v>18.3477</v>
      </c>
      <c r="J30" s="18">
        <f t="shared" si="5"/>
        <v>18.3477</v>
      </c>
      <c r="K30" s="16">
        <v>1</v>
      </c>
      <c r="L30" s="12">
        <v>1</v>
      </c>
      <c r="M30" s="17">
        <f t="shared" si="6"/>
        <v>100</v>
      </c>
      <c r="N30" s="18">
        <f t="shared" si="7"/>
        <v>20</v>
      </c>
      <c r="O30" s="18">
        <f t="shared" si="8"/>
        <v>20</v>
      </c>
      <c r="P30" s="18">
        <f t="shared" si="9"/>
        <v>20</v>
      </c>
      <c r="Q30" s="16">
        <v>1</v>
      </c>
      <c r="R30" s="16">
        <v>0.56559999999999999</v>
      </c>
      <c r="S30" s="13">
        <f t="shared" si="10"/>
        <v>56.56</v>
      </c>
      <c r="T30" s="13">
        <f t="shared" si="11"/>
        <v>20</v>
      </c>
      <c r="U30" s="13">
        <f t="shared" si="12"/>
        <v>11.312000000000001</v>
      </c>
      <c r="V30" s="13">
        <f t="shared" si="13"/>
        <v>11.312000000000001</v>
      </c>
      <c r="W30" s="16">
        <v>1</v>
      </c>
      <c r="X30" s="16">
        <v>0.55669999999999997</v>
      </c>
      <c r="Y30" s="13">
        <f t="shared" si="14"/>
        <v>55.669999999999995</v>
      </c>
      <c r="Z30" s="13">
        <f t="shared" si="15"/>
        <v>15</v>
      </c>
      <c r="AA30" s="13">
        <f t="shared" si="16"/>
        <v>8.3505000000000003</v>
      </c>
      <c r="AB30" s="13">
        <f t="shared" si="17"/>
        <v>8.3505000000000003</v>
      </c>
      <c r="AC30" s="16">
        <v>1</v>
      </c>
      <c r="AD30" s="16">
        <v>0.7</v>
      </c>
      <c r="AE30" s="13">
        <f t="shared" si="18"/>
        <v>70</v>
      </c>
      <c r="AF30" s="13">
        <f t="shared" si="19"/>
        <v>14</v>
      </c>
      <c r="AG30" s="13">
        <f t="shared" si="20"/>
        <v>9.8000000000000007</v>
      </c>
      <c r="AH30" s="13">
        <f t="shared" si="21"/>
        <v>9.8000000000000007</v>
      </c>
      <c r="AI30" s="16">
        <v>1</v>
      </c>
      <c r="AJ30" s="16">
        <v>0.26450000000000001</v>
      </c>
      <c r="AK30" s="13">
        <f t="shared" si="22"/>
        <v>26.450000000000003</v>
      </c>
      <c r="AL30" s="13">
        <f t="shared" si="23"/>
        <v>10</v>
      </c>
      <c r="AM30" s="13">
        <f t="shared" si="24"/>
        <v>2.645</v>
      </c>
      <c r="AN30" s="13">
        <f t="shared" si="25"/>
        <v>2.645</v>
      </c>
      <c r="AO30" s="18">
        <f t="shared" si="26"/>
        <v>2.1</v>
      </c>
      <c r="AP30" s="18">
        <f t="shared" si="27"/>
        <v>2</v>
      </c>
      <c r="AQ30" s="13">
        <f t="shared" si="28"/>
        <v>2</v>
      </c>
      <c r="AR30" s="13">
        <f t="shared" si="29"/>
        <v>1.5</v>
      </c>
      <c r="AS30" s="13">
        <f t="shared" si="30"/>
        <v>1.4</v>
      </c>
      <c r="AT30" s="13">
        <f t="shared" si="31"/>
        <v>1</v>
      </c>
      <c r="AU30" s="18">
        <f t="shared" si="32"/>
        <v>10</v>
      </c>
    </row>
    <row r="31" spans="1:47" ht="25.5" x14ac:dyDescent="0.2">
      <c r="A31" s="1" t="s">
        <v>53</v>
      </c>
      <c r="B31" s="11" t="s">
        <v>32</v>
      </c>
      <c r="C31" s="13">
        <f t="shared" si="0"/>
        <v>67.478700000000003</v>
      </c>
      <c r="D31" s="13">
        <f t="shared" si="1"/>
        <v>1</v>
      </c>
      <c r="E31" s="16">
        <v>1</v>
      </c>
      <c r="F31" s="12">
        <v>0.66669999999999996</v>
      </c>
      <c r="G31" s="17">
        <f t="shared" si="2"/>
        <v>66.67</v>
      </c>
      <c r="H31" s="18">
        <f t="shared" si="3"/>
        <v>21</v>
      </c>
      <c r="I31" s="18">
        <f t="shared" si="4"/>
        <v>14.0007</v>
      </c>
      <c r="J31" s="18">
        <f t="shared" si="5"/>
        <v>14.0007</v>
      </c>
      <c r="K31" s="16">
        <v>1</v>
      </c>
      <c r="L31" s="12">
        <v>0.65</v>
      </c>
      <c r="M31" s="17">
        <f t="shared" si="6"/>
        <v>65</v>
      </c>
      <c r="N31" s="18">
        <f t="shared" si="7"/>
        <v>20</v>
      </c>
      <c r="O31" s="18">
        <f t="shared" si="8"/>
        <v>13</v>
      </c>
      <c r="P31" s="18">
        <f t="shared" si="9"/>
        <v>13</v>
      </c>
      <c r="Q31" s="16">
        <v>1</v>
      </c>
      <c r="R31" s="16">
        <v>0.67549999999999999</v>
      </c>
      <c r="S31" s="13">
        <f t="shared" si="10"/>
        <v>67.55</v>
      </c>
      <c r="T31" s="13">
        <f t="shared" si="11"/>
        <v>20</v>
      </c>
      <c r="U31" s="13">
        <f t="shared" si="12"/>
        <v>13.51</v>
      </c>
      <c r="V31" s="13">
        <f t="shared" si="13"/>
        <v>13.51</v>
      </c>
      <c r="W31" s="16">
        <v>1</v>
      </c>
      <c r="X31" s="16">
        <v>0.56999999999999995</v>
      </c>
      <c r="Y31" s="13">
        <f t="shared" si="14"/>
        <v>56.999999999999993</v>
      </c>
      <c r="Z31" s="13">
        <f t="shared" si="15"/>
        <v>15</v>
      </c>
      <c r="AA31" s="13">
        <f t="shared" si="16"/>
        <v>8.5499999999999989</v>
      </c>
      <c r="AB31" s="13">
        <f t="shared" si="17"/>
        <v>8.5499999999999989</v>
      </c>
      <c r="AC31" s="16">
        <v>1</v>
      </c>
      <c r="AD31" s="16">
        <v>0.875</v>
      </c>
      <c r="AE31" s="13">
        <f t="shared" si="18"/>
        <v>87.5</v>
      </c>
      <c r="AF31" s="13">
        <f t="shared" si="19"/>
        <v>14</v>
      </c>
      <c r="AG31" s="13">
        <f t="shared" si="20"/>
        <v>12.25</v>
      </c>
      <c r="AH31" s="13">
        <f t="shared" si="21"/>
        <v>12.25</v>
      </c>
      <c r="AI31" s="16">
        <v>1</v>
      </c>
      <c r="AJ31" s="16">
        <v>0.61680000000000001</v>
      </c>
      <c r="AK31" s="13">
        <f t="shared" si="22"/>
        <v>61.68</v>
      </c>
      <c r="AL31" s="13">
        <f t="shared" si="23"/>
        <v>10</v>
      </c>
      <c r="AM31" s="13">
        <f t="shared" si="24"/>
        <v>6.1679999999999993</v>
      </c>
      <c r="AN31" s="13">
        <f t="shared" si="25"/>
        <v>6.1679999999999993</v>
      </c>
      <c r="AO31" s="18">
        <f t="shared" si="26"/>
        <v>2.1</v>
      </c>
      <c r="AP31" s="18">
        <f t="shared" si="27"/>
        <v>2</v>
      </c>
      <c r="AQ31" s="13">
        <f t="shared" si="28"/>
        <v>2</v>
      </c>
      <c r="AR31" s="13">
        <f t="shared" si="29"/>
        <v>1.5</v>
      </c>
      <c r="AS31" s="13">
        <f t="shared" si="30"/>
        <v>1.4</v>
      </c>
      <c r="AT31" s="13">
        <f t="shared" si="31"/>
        <v>1</v>
      </c>
      <c r="AU31" s="18">
        <f t="shared" si="32"/>
        <v>10</v>
      </c>
    </row>
    <row r="32" spans="1:47" x14ac:dyDescent="0.2">
      <c r="A32" s="1" t="s">
        <v>54</v>
      </c>
      <c r="B32" s="11" t="s">
        <v>33</v>
      </c>
      <c r="C32" s="13">
        <f t="shared" si="0"/>
        <v>36.576300000000003</v>
      </c>
      <c r="D32" s="13">
        <f t="shared" si="1"/>
        <v>1</v>
      </c>
      <c r="E32" s="16">
        <v>1</v>
      </c>
      <c r="F32" s="12">
        <v>0.32029999999999997</v>
      </c>
      <c r="G32" s="17">
        <f t="shared" si="2"/>
        <v>32.029999999999994</v>
      </c>
      <c r="H32" s="18">
        <f t="shared" si="3"/>
        <v>21</v>
      </c>
      <c r="I32" s="18">
        <f t="shared" si="4"/>
        <v>6.7262999999999984</v>
      </c>
      <c r="J32" s="18">
        <f t="shared" si="5"/>
        <v>6.7262999999999984</v>
      </c>
      <c r="K32" s="16">
        <v>1</v>
      </c>
      <c r="L32" s="12">
        <v>0</v>
      </c>
      <c r="M32" s="17">
        <f t="shared" si="6"/>
        <v>0</v>
      </c>
      <c r="N32" s="18">
        <f t="shared" si="7"/>
        <v>20</v>
      </c>
      <c r="O32" s="18">
        <f t="shared" si="8"/>
        <v>0</v>
      </c>
      <c r="P32" s="18">
        <f t="shared" si="9"/>
        <v>0</v>
      </c>
      <c r="Q32" s="16">
        <v>1</v>
      </c>
      <c r="R32" s="16">
        <v>0.52</v>
      </c>
      <c r="S32" s="13">
        <f t="shared" si="10"/>
        <v>52</v>
      </c>
      <c r="T32" s="13">
        <f t="shared" si="11"/>
        <v>20</v>
      </c>
      <c r="U32" s="13">
        <f t="shared" si="12"/>
        <v>10.4</v>
      </c>
      <c r="V32" s="13">
        <f t="shared" si="13"/>
        <v>10.4</v>
      </c>
      <c r="W32" s="16">
        <v>1</v>
      </c>
      <c r="X32" s="16">
        <v>0.13</v>
      </c>
      <c r="Y32" s="13">
        <f t="shared" si="14"/>
        <v>13</v>
      </c>
      <c r="Z32" s="13">
        <f t="shared" si="15"/>
        <v>15</v>
      </c>
      <c r="AA32" s="13">
        <f t="shared" si="16"/>
        <v>1.95</v>
      </c>
      <c r="AB32" s="13">
        <f t="shared" si="17"/>
        <v>1.95</v>
      </c>
      <c r="AC32" s="16">
        <v>1</v>
      </c>
      <c r="AD32" s="16">
        <v>0.7</v>
      </c>
      <c r="AE32" s="13">
        <f t="shared" si="18"/>
        <v>70</v>
      </c>
      <c r="AF32" s="13">
        <f t="shared" si="19"/>
        <v>14</v>
      </c>
      <c r="AG32" s="13">
        <f t="shared" si="20"/>
        <v>9.8000000000000007</v>
      </c>
      <c r="AH32" s="13">
        <f t="shared" si="21"/>
        <v>9.8000000000000007</v>
      </c>
      <c r="AI32" s="16">
        <v>1</v>
      </c>
      <c r="AJ32" s="16">
        <v>0.77</v>
      </c>
      <c r="AK32" s="13">
        <f t="shared" si="22"/>
        <v>77</v>
      </c>
      <c r="AL32" s="13">
        <f t="shared" si="23"/>
        <v>10</v>
      </c>
      <c r="AM32" s="13">
        <f t="shared" si="24"/>
        <v>7.7</v>
      </c>
      <c r="AN32" s="13">
        <f t="shared" si="25"/>
        <v>7.7</v>
      </c>
      <c r="AO32" s="18">
        <f t="shared" si="26"/>
        <v>2.1</v>
      </c>
      <c r="AP32" s="18">
        <f t="shared" si="27"/>
        <v>2</v>
      </c>
      <c r="AQ32" s="13">
        <f t="shared" si="28"/>
        <v>2</v>
      </c>
      <c r="AR32" s="13">
        <f t="shared" si="29"/>
        <v>1.5</v>
      </c>
      <c r="AS32" s="13">
        <f t="shared" si="30"/>
        <v>1.4</v>
      </c>
      <c r="AT32" s="13">
        <f t="shared" si="31"/>
        <v>1</v>
      </c>
      <c r="AU32" s="18">
        <f t="shared" si="32"/>
        <v>10</v>
      </c>
    </row>
    <row r="33" spans="1:47" x14ac:dyDescent="0.2">
      <c r="A33" s="1" t="s">
        <v>55</v>
      </c>
      <c r="B33" s="11" t="s">
        <v>34</v>
      </c>
      <c r="C33" s="13">
        <f t="shared" si="0"/>
        <v>36.245799999999996</v>
      </c>
      <c r="D33" s="13">
        <f t="shared" si="1"/>
        <v>1</v>
      </c>
      <c r="E33" s="16">
        <v>1</v>
      </c>
      <c r="F33" s="12">
        <v>0.44979999999999998</v>
      </c>
      <c r="G33" s="17">
        <f t="shared" si="2"/>
        <v>44.98</v>
      </c>
      <c r="H33" s="18">
        <f t="shared" si="3"/>
        <v>21</v>
      </c>
      <c r="I33" s="18">
        <f t="shared" si="4"/>
        <v>9.4457999999999984</v>
      </c>
      <c r="J33" s="18">
        <f t="shared" si="5"/>
        <v>9.4457999999999984</v>
      </c>
      <c r="K33" s="16">
        <v>1</v>
      </c>
      <c r="L33" s="12">
        <v>0</v>
      </c>
      <c r="M33" s="17">
        <f t="shared" si="6"/>
        <v>0</v>
      </c>
      <c r="N33" s="18">
        <f t="shared" si="7"/>
        <v>20</v>
      </c>
      <c r="O33" s="18">
        <f t="shared" si="8"/>
        <v>0</v>
      </c>
      <c r="P33" s="18">
        <f t="shared" si="9"/>
        <v>0</v>
      </c>
      <c r="Q33" s="16">
        <v>1</v>
      </c>
      <c r="R33" s="16">
        <v>0.52</v>
      </c>
      <c r="S33" s="13">
        <f t="shared" si="10"/>
        <v>52</v>
      </c>
      <c r="T33" s="13">
        <f t="shared" si="11"/>
        <v>20</v>
      </c>
      <c r="U33" s="13">
        <f t="shared" si="12"/>
        <v>10.4</v>
      </c>
      <c r="V33" s="13">
        <f t="shared" si="13"/>
        <v>10.4</v>
      </c>
      <c r="W33" s="16">
        <v>1</v>
      </c>
      <c r="X33" s="16">
        <v>0.3</v>
      </c>
      <c r="Y33" s="13">
        <f t="shared" si="14"/>
        <v>30</v>
      </c>
      <c r="Z33" s="13">
        <f t="shared" si="15"/>
        <v>15</v>
      </c>
      <c r="AA33" s="13">
        <f t="shared" si="16"/>
        <v>4.5</v>
      </c>
      <c r="AB33" s="13">
        <f t="shared" si="17"/>
        <v>4.5</v>
      </c>
      <c r="AC33" s="16">
        <v>1</v>
      </c>
      <c r="AD33" s="16">
        <v>0.3</v>
      </c>
      <c r="AE33" s="13">
        <f t="shared" si="18"/>
        <v>30</v>
      </c>
      <c r="AF33" s="13">
        <f t="shared" si="19"/>
        <v>14</v>
      </c>
      <c r="AG33" s="13">
        <f t="shared" si="20"/>
        <v>4.2</v>
      </c>
      <c r="AH33" s="13">
        <f t="shared" si="21"/>
        <v>4.2</v>
      </c>
      <c r="AI33" s="16">
        <v>1</v>
      </c>
      <c r="AJ33" s="16">
        <v>0.77</v>
      </c>
      <c r="AK33" s="13">
        <f t="shared" si="22"/>
        <v>77</v>
      </c>
      <c r="AL33" s="13">
        <f t="shared" si="23"/>
        <v>10</v>
      </c>
      <c r="AM33" s="13">
        <f t="shared" si="24"/>
        <v>7.7</v>
      </c>
      <c r="AN33" s="13">
        <f t="shared" si="25"/>
        <v>7.7</v>
      </c>
      <c r="AO33" s="18">
        <f t="shared" si="26"/>
        <v>2.1</v>
      </c>
      <c r="AP33" s="18">
        <f t="shared" si="27"/>
        <v>2</v>
      </c>
      <c r="AQ33" s="13">
        <f t="shared" si="28"/>
        <v>2</v>
      </c>
      <c r="AR33" s="13">
        <f t="shared" si="29"/>
        <v>1.5</v>
      </c>
      <c r="AS33" s="13">
        <f t="shared" si="30"/>
        <v>1.4</v>
      </c>
      <c r="AT33" s="13">
        <f t="shared" si="31"/>
        <v>1</v>
      </c>
      <c r="AU33" s="18">
        <f t="shared" si="32"/>
        <v>10</v>
      </c>
    </row>
    <row r="34" spans="1:47" x14ac:dyDescent="0.2">
      <c r="A34" s="1" t="s">
        <v>56</v>
      </c>
      <c r="B34" s="11" t="s">
        <v>35</v>
      </c>
      <c r="C34" s="13">
        <f t="shared" si="0"/>
        <v>38.959400000000002</v>
      </c>
      <c r="D34" s="13">
        <f t="shared" si="1"/>
        <v>1</v>
      </c>
      <c r="E34" s="16">
        <v>1</v>
      </c>
      <c r="F34" s="12">
        <v>0.40439999999999998</v>
      </c>
      <c r="G34" s="17">
        <f t="shared" si="2"/>
        <v>40.44</v>
      </c>
      <c r="H34" s="18">
        <f t="shared" si="3"/>
        <v>21</v>
      </c>
      <c r="I34" s="18">
        <f t="shared" si="4"/>
        <v>8.4923999999999999</v>
      </c>
      <c r="J34" s="18">
        <f t="shared" si="5"/>
        <v>8.4923999999999999</v>
      </c>
      <c r="K34" s="16">
        <v>1</v>
      </c>
      <c r="L34" s="12">
        <v>0</v>
      </c>
      <c r="M34" s="17">
        <f t="shared" si="6"/>
        <v>0</v>
      </c>
      <c r="N34" s="18">
        <f t="shared" si="7"/>
        <v>20</v>
      </c>
      <c r="O34" s="18">
        <f t="shared" si="8"/>
        <v>0</v>
      </c>
      <c r="P34" s="18">
        <f t="shared" si="9"/>
        <v>0</v>
      </c>
      <c r="Q34" s="16">
        <v>1</v>
      </c>
      <c r="R34" s="16">
        <v>0.52</v>
      </c>
      <c r="S34" s="13">
        <f t="shared" si="10"/>
        <v>52</v>
      </c>
      <c r="T34" s="13">
        <f t="shared" si="11"/>
        <v>20</v>
      </c>
      <c r="U34" s="13">
        <f t="shared" si="12"/>
        <v>10.4</v>
      </c>
      <c r="V34" s="13">
        <f t="shared" si="13"/>
        <v>10.4</v>
      </c>
      <c r="W34" s="16">
        <v>1</v>
      </c>
      <c r="X34" s="16">
        <v>0.4</v>
      </c>
      <c r="Y34" s="13">
        <f t="shared" si="14"/>
        <v>40</v>
      </c>
      <c r="Z34" s="13">
        <f t="shared" si="15"/>
        <v>15</v>
      </c>
      <c r="AA34" s="13">
        <f t="shared" si="16"/>
        <v>6</v>
      </c>
      <c r="AB34" s="13">
        <f t="shared" si="17"/>
        <v>6</v>
      </c>
      <c r="AC34" s="16">
        <v>1</v>
      </c>
      <c r="AD34" s="16">
        <v>0.4</v>
      </c>
      <c r="AE34" s="13">
        <f t="shared" si="18"/>
        <v>40</v>
      </c>
      <c r="AF34" s="13">
        <f t="shared" si="19"/>
        <v>14</v>
      </c>
      <c r="AG34" s="13">
        <f t="shared" si="20"/>
        <v>5.6</v>
      </c>
      <c r="AH34" s="13">
        <f t="shared" si="21"/>
        <v>5.6</v>
      </c>
      <c r="AI34" s="16">
        <v>1</v>
      </c>
      <c r="AJ34" s="16">
        <v>0.84670000000000001</v>
      </c>
      <c r="AK34" s="13">
        <f t="shared" si="22"/>
        <v>84.67</v>
      </c>
      <c r="AL34" s="13">
        <f t="shared" si="23"/>
        <v>10</v>
      </c>
      <c r="AM34" s="13">
        <f t="shared" si="24"/>
        <v>8.4670000000000005</v>
      </c>
      <c r="AN34" s="13">
        <f t="shared" si="25"/>
        <v>8.4670000000000005</v>
      </c>
      <c r="AO34" s="18">
        <f t="shared" si="26"/>
        <v>2.1</v>
      </c>
      <c r="AP34" s="18">
        <f t="shared" si="27"/>
        <v>2</v>
      </c>
      <c r="AQ34" s="13">
        <f t="shared" si="28"/>
        <v>2</v>
      </c>
      <c r="AR34" s="13">
        <f t="shared" si="29"/>
        <v>1.5</v>
      </c>
      <c r="AS34" s="13">
        <f t="shared" si="30"/>
        <v>1.4</v>
      </c>
      <c r="AT34" s="13">
        <f t="shared" si="31"/>
        <v>1</v>
      </c>
      <c r="AU34" s="18">
        <f t="shared" si="32"/>
        <v>10</v>
      </c>
    </row>
    <row r="35" spans="1:47" x14ac:dyDescent="0.2">
      <c r="A35" s="1" t="s">
        <v>57</v>
      </c>
      <c r="B35" s="11" t="s">
        <v>36</v>
      </c>
      <c r="C35" s="13">
        <f t="shared" si="0"/>
        <v>47.774900000000002</v>
      </c>
      <c r="D35" s="13">
        <f t="shared" si="1"/>
        <v>1</v>
      </c>
      <c r="E35" s="16">
        <v>1</v>
      </c>
      <c r="F35" s="12">
        <v>0.4864</v>
      </c>
      <c r="G35" s="17">
        <f t="shared" si="2"/>
        <v>48.64</v>
      </c>
      <c r="H35" s="18">
        <f t="shared" si="3"/>
        <v>21</v>
      </c>
      <c r="I35" s="18">
        <f t="shared" si="4"/>
        <v>10.214400000000001</v>
      </c>
      <c r="J35" s="18">
        <f t="shared" si="5"/>
        <v>10.214400000000001</v>
      </c>
      <c r="K35" s="16">
        <v>1</v>
      </c>
      <c r="L35" s="12">
        <v>0</v>
      </c>
      <c r="M35" s="17">
        <f t="shared" si="6"/>
        <v>0</v>
      </c>
      <c r="N35" s="18">
        <f t="shared" si="7"/>
        <v>20</v>
      </c>
      <c r="O35" s="18">
        <f t="shared" si="8"/>
        <v>0</v>
      </c>
      <c r="P35" s="18">
        <f t="shared" si="9"/>
        <v>0</v>
      </c>
      <c r="Q35" s="16">
        <v>1</v>
      </c>
      <c r="R35" s="16">
        <v>0.52</v>
      </c>
      <c r="S35" s="13">
        <f t="shared" si="10"/>
        <v>52</v>
      </c>
      <c r="T35" s="13">
        <f t="shared" si="11"/>
        <v>20</v>
      </c>
      <c r="U35" s="13">
        <f t="shared" si="12"/>
        <v>10.4</v>
      </c>
      <c r="V35" s="13">
        <f t="shared" si="13"/>
        <v>10.4</v>
      </c>
      <c r="W35" s="16">
        <v>1</v>
      </c>
      <c r="X35" s="16">
        <v>0.65669999999999995</v>
      </c>
      <c r="Y35" s="13">
        <f t="shared" si="14"/>
        <v>65.67</v>
      </c>
      <c r="Z35" s="13">
        <f t="shared" si="15"/>
        <v>15</v>
      </c>
      <c r="AA35" s="13">
        <f t="shared" si="16"/>
        <v>9.8505000000000003</v>
      </c>
      <c r="AB35" s="13">
        <f t="shared" si="17"/>
        <v>9.8505000000000003</v>
      </c>
      <c r="AC35" s="16">
        <v>1</v>
      </c>
      <c r="AD35" s="16">
        <v>0.7</v>
      </c>
      <c r="AE35" s="13">
        <f t="shared" si="18"/>
        <v>70</v>
      </c>
      <c r="AF35" s="13">
        <f t="shared" si="19"/>
        <v>14</v>
      </c>
      <c r="AG35" s="13">
        <f t="shared" si="20"/>
        <v>9.8000000000000007</v>
      </c>
      <c r="AH35" s="13">
        <f t="shared" si="21"/>
        <v>9.8000000000000007</v>
      </c>
      <c r="AI35" s="16">
        <v>1</v>
      </c>
      <c r="AJ35" s="16">
        <v>0.751</v>
      </c>
      <c r="AK35" s="13">
        <f t="shared" si="22"/>
        <v>75.099999999999994</v>
      </c>
      <c r="AL35" s="13">
        <f t="shared" si="23"/>
        <v>10</v>
      </c>
      <c r="AM35" s="13">
        <f t="shared" si="24"/>
        <v>7.51</v>
      </c>
      <c r="AN35" s="13">
        <f t="shared" si="25"/>
        <v>7.51</v>
      </c>
      <c r="AO35" s="18">
        <f t="shared" si="26"/>
        <v>2.1</v>
      </c>
      <c r="AP35" s="18">
        <f t="shared" si="27"/>
        <v>2</v>
      </c>
      <c r="AQ35" s="13">
        <f t="shared" si="28"/>
        <v>2</v>
      </c>
      <c r="AR35" s="13">
        <f t="shared" si="29"/>
        <v>1.5</v>
      </c>
      <c r="AS35" s="13">
        <f t="shared" si="30"/>
        <v>1.4</v>
      </c>
      <c r="AT35" s="13">
        <f t="shared" si="31"/>
        <v>1</v>
      </c>
      <c r="AU35" s="18">
        <f t="shared" si="32"/>
        <v>10</v>
      </c>
    </row>
    <row r="36" spans="1:47" ht="25.5" x14ac:dyDescent="0.2">
      <c r="A36" s="1" t="s">
        <v>58</v>
      </c>
      <c r="B36" s="11" t="s">
        <v>37</v>
      </c>
      <c r="C36" s="13">
        <f t="shared" si="0"/>
        <v>42.881900000000002</v>
      </c>
      <c r="D36" s="13">
        <f t="shared" si="1"/>
        <v>1</v>
      </c>
      <c r="E36" s="16">
        <v>1</v>
      </c>
      <c r="F36" s="12">
        <v>0.63890000000000002</v>
      </c>
      <c r="G36" s="17">
        <f t="shared" si="2"/>
        <v>63.89</v>
      </c>
      <c r="H36" s="18">
        <f t="shared" si="3"/>
        <v>21</v>
      </c>
      <c r="I36" s="18">
        <f t="shared" si="4"/>
        <v>13.4169</v>
      </c>
      <c r="J36" s="18">
        <f t="shared" si="5"/>
        <v>13.4169</v>
      </c>
      <c r="K36" s="16">
        <v>1</v>
      </c>
      <c r="L36" s="12">
        <v>0</v>
      </c>
      <c r="M36" s="17">
        <f t="shared" si="6"/>
        <v>0</v>
      </c>
      <c r="N36" s="18">
        <f t="shared" si="7"/>
        <v>20</v>
      </c>
      <c r="O36" s="18">
        <f t="shared" si="8"/>
        <v>0</v>
      </c>
      <c r="P36" s="18">
        <f t="shared" si="9"/>
        <v>0</v>
      </c>
      <c r="Q36" s="16">
        <v>1</v>
      </c>
      <c r="R36" s="16">
        <v>0.6089</v>
      </c>
      <c r="S36" s="13">
        <f t="shared" si="10"/>
        <v>60.89</v>
      </c>
      <c r="T36" s="13">
        <f t="shared" si="11"/>
        <v>20</v>
      </c>
      <c r="U36" s="13">
        <f t="shared" si="12"/>
        <v>12.177999999999999</v>
      </c>
      <c r="V36" s="13">
        <f t="shared" si="13"/>
        <v>12.177999999999999</v>
      </c>
      <c r="W36" s="16">
        <v>1</v>
      </c>
      <c r="X36" s="16">
        <v>0.54579999999999995</v>
      </c>
      <c r="Y36" s="13">
        <f t="shared" si="14"/>
        <v>54.58</v>
      </c>
      <c r="Z36" s="13">
        <f t="shared" si="15"/>
        <v>15</v>
      </c>
      <c r="AA36" s="13">
        <f t="shared" si="16"/>
        <v>8.1869999999999994</v>
      </c>
      <c r="AB36" s="13">
        <f t="shared" si="17"/>
        <v>8.1869999999999994</v>
      </c>
      <c r="AC36" s="16">
        <v>1</v>
      </c>
      <c r="AD36" s="16">
        <v>0.1</v>
      </c>
      <c r="AE36" s="13">
        <f t="shared" si="18"/>
        <v>10</v>
      </c>
      <c r="AF36" s="13">
        <f t="shared" si="19"/>
        <v>14</v>
      </c>
      <c r="AG36" s="13">
        <f t="shared" si="20"/>
        <v>1.4</v>
      </c>
      <c r="AH36" s="13">
        <f t="shared" si="21"/>
        <v>1.4</v>
      </c>
      <c r="AI36" s="16">
        <v>1</v>
      </c>
      <c r="AJ36" s="16">
        <v>0.77</v>
      </c>
      <c r="AK36" s="13">
        <f t="shared" si="22"/>
        <v>77</v>
      </c>
      <c r="AL36" s="13">
        <f t="shared" si="23"/>
        <v>10</v>
      </c>
      <c r="AM36" s="13">
        <f t="shared" si="24"/>
        <v>7.7</v>
      </c>
      <c r="AN36" s="13">
        <f t="shared" si="25"/>
        <v>7.7</v>
      </c>
      <c r="AO36" s="18">
        <f t="shared" si="26"/>
        <v>2.1</v>
      </c>
      <c r="AP36" s="18">
        <f t="shared" si="27"/>
        <v>2</v>
      </c>
      <c r="AQ36" s="13">
        <f t="shared" si="28"/>
        <v>2</v>
      </c>
      <c r="AR36" s="13">
        <f t="shared" si="29"/>
        <v>1.5</v>
      </c>
      <c r="AS36" s="13">
        <f t="shared" si="30"/>
        <v>1.4</v>
      </c>
      <c r="AT36" s="13">
        <f t="shared" si="31"/>
        <v>1</v>
      </c>
      <c r="AU36" s="18">
        <f t="shared" si="32"/>
        <v>10</v>
      </c>
    </row>
    <row r="37" spans="1:47" ht="25.5" x14ac:dyDescent="0.2">
      <c r="A37" s="1" t="s">
        <v>59</v>
      </c>
      <c r="B37" s="11" t="s">
        <v>38</v>
      </c>
      <c r="C37" s="13">
        <f t="shared" si="0"/>
        <v>55.942100000000003</v>
      </c>
      <c r="D37" s="13">
        <f t="shared" si="1"/>
        <v>1</v>
      </c>
      <c r="E37" s="16">
        <v>1</v>
      </c>
      <c r="F37" s="12">
        <v>0.69359999999999999</v>
      </c>
      <c r="G37" s="17">
        <f t="shared" si="2"/>
        <v>69.36</v>
      </c>
      <c r="H37" s="18">
        <f t="shared" si="3"/>
        <v>21</v>
      </c>
      <c r="I37" s="18">
        <f t="shared" si="4"/>
        <v>14.5656</v>
      </c>
      <c r="J37" s="18">
        <f t="shared" si="5"/>
        <v>14.5656</v>
      </c>
      <c r="K37" s="16">
        <v>1</v>
      </c>
      <c r="L37" s="12">
        <v>0.23080000000000001</v>
      </c>
      <c r="M37" s="17">
        <f t="shared" si="6"/>
        <v>23.080000000000002</v>
      </c>
      <c r="N37" s="18">
        <f t="shared" si="7"/>
        <v>20</v>
      </c>
      <c r="O37" s="18">
        <f t="shared" si="8"/>
        <v>4.6160000000000005</v>
      </c>
      <c r="P37" s="18">
        <f t="shared" si="9"/>
        <v>4.6160000000000005</v>
      </c>
      <c r="Q37" s="16">
        <v>1</v>
      </c>
      <c r="R37" s="16">
        <v>0.63739999999999997</v>
      </c>
      <c r="S37" s="13">
        <f t="shared" si="10"/>
        <v>63.739999999999995</v>
      </c>
      <c r="T37" s="13">
        <f t="shared" si="11"/>
        <v>20</v>
      </c>
      <c r="U37" s="13">
        <f t="shared" si="12"/>
        <v>12.747999999999999</v>
      </c>
      <c r="V37" s="13">
        <f t="shared" si="13"/>
        <v>12.747999999999999</v>
      </c>
      <c r="W37" s="16">
        <v>1</v>
      </c>
      <c r="X37" s="16">
        <v>0.52749999999999997</v>
      </c>
      <c r="Y37" s="13">
        <f t="shared" si="14"/>
        <v>52.75</v>
      </c>
      <c r="Z37" s="13">
        <f t="shared" si="15"/>
        <v>15</v>
      </c>
      <c r="AA37" s="13">
        <f t="shared" si="16"/>
        <v>7.9124999999999996</v>
      </c>
      <c r="AB37" s="13">
        <f t="shared" si="17"/>
        <v>7.9124999999999996</v>
      </c>
      <c r="AC37" s="16">
        <v>1</v>
      </c>
      <c r="AD37" s="16">
        <v>0.6</v>
      </c>
      <c r="AE37" s="13">
        <f t="shared" si="18"/>
        <v>60</v>
      </c>
      <c r="AF37" s="13">
        <f t="shared" si="19"/>
        <v>14</v>
      </c>
      <c r="AG37" s="13">
        <f t="shared" si="20"/>
        <v>8.4</v>
      </c>
      <c r="AH37" s="13">
        <f t="shared" si="21"/>
        <v>8.4</v>
      </c>
      <c r="AI37" s="16">
        <v>1</v>
      </c>
      <c r="AJ37" s="16">
        <v>0.77</v>
      </c>
      <c r="AK37" s="13">
        <f t="shared" si="22"/>
        <v>77</v>
      </c>
      <c r="AL37" s="13">
        <f t="shared" si="23"/>
        <v>10</v>
      </c>
      <c r="AM37" s="13">
        <f t="shared" si="24"/>
        <v>7.7</v>
      </c>
      <c r="AN37" s="13">
        <f t="shared" si="25"/>
        <v>7.7</v>
      </c>
      <c r="AO37" s="18">
        <f t="shared" si="26"/>
        <v>2.1</v>
      </c>
      <c r="AP37" s="18">
        <f t="shared" si="27"/>
        <v>2</v>
      </c>
      <c r="AQ37" s="13">
        <f t="shared" si="28"/>
        <v>2</v>
      </c>
      <c r="AR37" s="13">
        <f t="shared" si="29"/>
        <v>1.5</v>
      </c>
      <c r="AS37" s="13">
        <f t="shared" si="30"/>
        <v>1.4</v>
      </c>
      <c r="AT37" s="13">
        <f t="shared" si="31"/>
        <v>1</v>
      </c>
      <c r="AU37" s="18">
        <f t="shared" si="32"/>
        <v>10</v>
      </c>
    </row>
    <row r="38" spans="1:47" ht="25.5" x14ac:dyDescent="0.2">
      <c r="A38" s="1" t="s">
        <v>60</v>
      </c>
      <c r="B38" s="11" t="s">
        <v>39</v>
      </c>
      <c r="C38" s="13">
        <f t="shared" si="0"/>
        <v>50.768599999999999</v>
      </c>
      <c r="D38" s="13">
        <f t="shared" si="1"/>
        <v>1</v>
      </c>
      <c r="E38" s="16">
        <v>1</v>
      </c>
      <c r="F38" s="12">
        <v>0.55559999999999998</v>
      </c>
      <c r="G38" s="17">
        <f t="shared" si="2"/>
        <v>55.559999999999995</v>
      </c>
      <c r="H38" s="18">
        <f t="shared" si="3"/>
        <v>21</v>
      </c>
      <c r="I38" s="18">
        <f t="shared" si="4"/>
        <v>11.6676</v>
      </c>
      <c r="J38" s="18">
        <f t="shared" si="5"/>
        <v>11.6676</v>
      </c>
      <c r="K38" s="16">
        <v>1</v>
      </c>
      <c r="L38" s="12">
        <v>0.35</v>
      </c>
      <c r="M38" s="17">
        <f t="shared" si="6"/>
        <v>35</v>
      </c>
      <c r="N38" s="18">
        <f t="shared" si="7"/>
        <v>20</v>
      </c>
      <c r="O38" s="18">
        <f t="shared" si="8"/>
        <v>7</v>
      </c>
      <c r="P38" s="18">
        <f t="shared" si="9"/>
        <v>7</v>
      </c>
      <c r="Q38" s="16">
        <v>1</v>
      </c>
      <c r="R38" s="16">
        <v>0.52</v>
      </c>
      <c r="S38" s="13">
        <f t="shared" si="10"/>
        <v>52</v>
      </c>
      <c r="T38" s="13">
        <f t="shared" si="11"/>
        <v>20</v>
      </c>
      <c r="U38" s="13">
        <f t="shared" si="12"/>
        <v>10.4</v>
      </c>
      <c r="V38" s="13">
        <f t="shared" si="13"/>
        <v>10.4</v>
      </c>
      <c r="W38" s="16">
        <v>1</v>
      </c>
      <c r="X38" s="16">
        <v>0.41420000000000001</v>
      </c>
      <c r="Y38" s="13">
        <f t="shared" si="14"/>
        <v>41.42</v>
      </c>
      <c r="Z38" s="13">
        <f t="shared" si="15"/>
        <v>15</v>
      </c>
      <c r="AA38" s="13">
        <f t="shared" si="16"/>
        <v>6.213000000000001</v>
      </c>
      <c r="AB38" s="13">
        <f t="shared" si="17"/>
        <v>6.213000000000001</v>
      </c>
      <c r="AC38" s="16">
        <v>1</v>
      </c>
      <c r="AD38" s="16">
        <v>0.6</v>
      </c>
      <c r="AE38" s="13">
        <f t="shared" si="18"/>
        <v>60</v>
      </c>
      <c r="AF38" s="13">
        <f t="shared" si="19"/>
        <v>14</v>
      </c>
      <c r="AG38" s="13">
        <f t="shared" si="20"/>
        <v>8.4</v>
      </c>
      <c r="AH38" s="13">
        <f t="shared" si="21"/>
        <v>8.4</v>
      </c>
      <c r="AI38" s="16">
        <v>1</v>
      </c>
      <c r="AJ38" s="16">
        <v>0.70879999999999999</v>
      </c>
      <c r="AK38" s="13">
        <f t="shared" si="22"/>
        <v>70.88</v>
      </c>
      <c r="AL38" s="13">
        <f t="shared" si="23"/>
        <v>10</v>
      </c>
      <c r="AM38" s="13">
        <f t="shared" si="24"/>
        <v>7.0879999999999992</v>
      </c>
      <c r="AN38" s="13">
        <f t="shared" si="25"/>
        <v>7.0879999999999992</v>
      </c>
      <c r="AO38" s="18">
        <f t="shared" si="26"/>
        <v>2.1</v>
      </c>
      <c r="AP38" s="18">
        <f t="shared" si="27"/>
        <v>2</v>
      </c>
      <c r="AQ38" s="13">
        <f t="shared" si="28"/>
        <v>2</v>
      </c>
      <c r="AR38" s="13">
        <f t="shared" si="29"/>
        <v>1.5</v>
      </c>
      <c r="AS38" s="13">
        <f t="shared" si="30"/>
        <v>1.4</v>
      </c>
      <c r="AT38" s="13">
        <f t="shared" si="31"/>
        <v>1</v>
      </c>
      <c r="AU38" s="18">
        <f t="shared" si="32"/>
        <v>10</v>
      </c>
    </row>
    <row r="39" spans="1:47" x14ac:dyDescent="0.2">
      <c r="A39" s="1" t="s">
        <v>61</v>
      </c>
      <c r="B39" s="11" t="s">
        <v>40</v>
      </c>
      <c r="C39" s="13">
        <f t="shared" si="0"/>
        <v>45.015300000000003</v>
      </c>
      <c r="D39" s="13">
        <f t="shared" si="1"/>
        <v>1</v>
      </c>
      <c r="E39" s="16">
        <v>1</v>
      </c>
      <c r="F39" s="12">
        <v>0.33329999999999999</v>
      </c>
      <c r="G39" s="17">
        <f t="shared" si="2"/>
        <v>33.33</v>
      </c>
      <c r="H39" s="18">
        <f t="shared" si="3"/>
        <v>21</v>
      </c>
      <c r="I39" s="18">
        <f t="shared" si="4"/>
        <v>6.9992999999999999</v>
      </c>
      <c r="J39" s="18">
        <f t="shared" si="5"/>
        <v>6.9992999999999999</v>
      </c>
      <c r="K39" s="16">
        <v>1</v>
      </c>
      <c r="L39" s="12">
        <v>0.23080000000000001</v>
      </c>
      <c r="M39" s="17">
        <f t="shared" si="6"/>
        <v>23.080000000000002</v>
      </c>
      <c r="N39" s="18">
        <f t="shared" si="7"/>
        <v>20</v>
      </c>
      <c r="O39" s="18">
        <f t="shared" si="8"/>
        <v>4.6160000000000005</v>
      </c>
      <c r="P39" s="18">
        <f t="shared" si="9"/>
        <v>4.6160000000000005</v>
      </c>
      <c r="Q39" s="16">
        <v>1</v>
      </c>
      <c r="R39" s="16">
        <v>0.52</v>
      </c>
      <c r="S39" s="13">
        <f t="shared" si="10"/>
        <v>52</v>
      </c>
      <c r="T39" s="13">
        <f t="shared" si="11"/>
        <v>20</v>
      </c>
      <c r="U39" s="13">
        <f t="shared" si="12"/>
        <v>10.4</v>
      </c>
      <c r="V39" s="13">
        <f t="shared" si="13"/>
        <v>10.4</v>
      </c>
      <c r="W39" s="16">
        <v>1</v>
      </c>
      <c r="X39" s="16">
        <v>0.56999999999999995</v>
      </c>
      <c r="Y39" s="13">
        <f t="shared" si="14"/>
        <v>56.999999999999993</v>
      </c>
      <c r="Z39" s="13">
        <f t="shared" si="15"/>
        <v>15</v>
      </c>
      <c r="AA39" s="13">
        <f t="shared" si="16"/>
        <v>8.5499999999999989</v>
      </c>
      <c r="AB39" s="13">
        <f t="shared" si="17"/>
        <v>8.5499999999999989</v>
      </c>
      <c r="AC39" s="16">
        <v>1</v>
      </c>
      <c r="AD39" s="16">
        <v>0.4</v>
      </c>
      <c r="AE39" s="13">
        <f t="shared" si="18"/>
        <v>40</v>
      </c>
      <c r="AF39" s="13">
        <f t="shared" si="19"/>
        <v>14</v>
      </c>
      <c r="AG39" s="13">
        <f t="shared" si="20"/>
        <v>5.6</v>
      </c>
      <c r="AH39" s="13">
        <f t="shared" si="21"/>
        <v>5.6</v>
      </c>
      <c r="AI39" s="16">
        <v>1</v>
      </c>
      <c r="AJ39" s="16">
        <v>0.88500000000000001</v>
      </c>
      <c r="AK39" s="13">
        <f t="shared" si="22"/>
        <v>88.5</v>
      </c>
      <c r="AL39" s="13">
        <f t="shared" si="23"/>
        <v>10</v>
      </c>
      <c r="AM39" s="13">
        <f t="shared" si="24"/>
        <v>8.85</v>
      </c>
      <c r="AN39" s="13">
        <f t="shared" si="25"/>
        <v>8.85</v>
      </c>
      <c r="AO39" s="18">
        <f t="shared" si="26"/>
        <v>2.1</v>
      </c>
      <c r="AP39" s="18">
        <f t="shared" si="27"/>
        <v>2</v>
      </c>
      <c r="AQ39" s="13">
        <f t="shared" si="28"/>
        <v>2</v>
      </c>
      <c r="AR39" s="13">
        <f t="shared" si="29"/>
        <v>1.5</v>
      </c>
      <c r="AS39" s="13">
        <f t="shared" si="30"/>
        <v>1.4</v>
      </c>
      <c r="AT39" s="13">
        <f t="shared" si="31"/>
        <v>1</v>
      </c>
      <c r="AU39" s="18">
        <f t="shared" si="32"/>
        <v>10</v>
      </c>
    </row>
  </sheetData>
  <sheetProtection algorithmName="SHA-512" hashValue="MHxWqAk/TUakmdddH2pijayRBzIIsw2gTxTzQkQ1hUeIB3Yudsu0Vgk28PlojIqVyoyNZCeLcS/g3ODHWJoxmw==" saltValue="lPeVR+bunWLnm7HcmGH0KQ==" spinCount="100000" sheet="1" objects="1" scenarios="1" formatCells="0" formatColumns="0" formatRows="0" deleteColumns="0" deleteRows="0"/>
  <protectedRanges>
    <protectedRange sqref="C17:C39" name="krista_tr_25389_0_0"/>
    <protectedRange sqref="D17:D39" name="krista_tr_237_0_5"/>
    <protectedRange sqref="G17:G39" name="krista_tf_16747_0_4"/>
    <protectedRange sqref="H17:H39" name="krista_tf_529_0_4"/>
    <protectedRange sqref="I17:I39" name="krista_tf_530_0_4"/>
    <protectedRange sqref="J17:J39" name="krista_tr_531_0_4"/>
    <protectedRange sqref="M17:M39" name="krista_tf_16748_0_4"/>
    <protectedRange sqref="N17:N39" name="krista_tf_534_0_4"/>
    <protectedRange sqref="O17:O39" name="krista_tf_535_0_4"/>
    <protectedRange sqref="P17:P39" name="krista_tr_536_0_4"/>
    <protectedRange sqref="S17:S39" name="krista_tf_25801_0_0"/>
    <protectedRange sqref="T17:T39" name="krista_tf_25803_0_0"/>
    <protectedRange sqref="U17:U39" name="krista_tf_25804_0_0"/>
    <protectedRange sqref="V17:V39" name="krista_tr_25805_0_0"/>
    <protectedRange sqref="Y17:Y39" name="krista_tf_25808_0_0"/>
    <protectedRange sqref="Z17:Z39" name="krista_tf_25810_0_0"/>
    <protectedRange sqref="AA17:AA39" name="krista_tf_25811_0_0"/>
    <protectedRange sqref="AB17:AB39" name="krista_tr_25812_0_0"/>
    <protectedRange sqref="AE17:AE39" name="krista_tf_25817_0_0"/>
    <protectedRange sqref="AF17:AF39" name="krista_tf_25819_0_0"/>
    <protectedRange sqref="AG17:AG39" name="krista_tf_25820_0_0"/>
    <protectedRange sqref="AH17:AH39" name="krista_tr_25821_0_0"/>
    <protectedRange sqref="AK17:AK39" name="krista_tf_25823_0_0"/>
    <protectedRange sqref="AL17:AL39" name="krista_tf_25825_0_0"/>
    <protectedRange sqref="AM17:AM39" name="krista_tf_25826_0_0"/>
    <protectedRange sqref="AN17:AN39" name="krista_tr_25827_0_0"/>
    <protectedRange sqref="AO17:AO39" name="krista_tf_552_0_4"/>
    <protectedRange sqref="AP17:AP39" name="krista_tf_553_0_4"/>
    <protectedRange sqref="AQ17:AQ39" name="krista_tf_25806_0_0"/>
    <protectedRange sqref="AR17:AR39" name="krista_tf_25813_0_0"/>
    <protectedRange sqref="AS17:AS39" name="krista_tf_25814_0_0"/>
    <protectedRange sqref="AT17:AT39" name="krista_tf_25815_0_0"/>
    <protectedRange sqref="AU17:AU39" name="krista_tf_557_0_4"/>
  </protectedRanges>
  <mergeCells count="12">
    <mergeCell ref="AI15:AN15"/>
    <mergeCell ref="AO15:AU15"/>
    <mergeCell ref="A1:H1"/>
    <mergeCell ref="A15:A16"/>
    <mergeCell ref="C15:C16"/>
    <mergeCell ref="D15:D16"/>
    <mergeCell ref="B15:B16"/>
    <mergeCell ref="E15:J15"/>
    <mergeCell ref="K15:P15"/>
    <mergeCell ref="Q15:V15"/>
    <mergeCell ref="W15:AB15"/>
    <mergeCell ref="AC15:AH15"/>
  </mergeCells>
  <phoneticPr fontId="0" type="noConversion"/>
  <conditionalFormatting sqref="A8:A13">
    <cfRule type="expression" dxfId="0" priority="1" stopIfTrue="1">
      <formula>"(сумм(A8:F12)&lt;&gt;100"</formula>
    </cfRule>
  </conditionalFormatting>
  <dataValidations count="1">
    <dataValidation type="list" allowBlank="1" showDropDown="1" showInputMessage="1" showErrorMessage="1" sqref="K17:K39 D17:E39">
      <formula1>"0,1,"</formula1>
    </dataValidation>
  </dataValidations>
  <pageMargins left="0.31496062992125984" right="0.23622047244094491" top="0.27559055118110237" bottom="0.23622047244094491" header="0.27559055118110237" footer="0.23622047244094491"/>
  <pageSetup paperSize="8" scale="97" fitToWidth="0" orientation="landscape" r:id="rId1"/>
  <headerFooter alignWithMargins="0"/>
  <colBreaks count="1" manualBreakCount="1">
    <brk id="11" max="42" man="1"/>
  </colBreaks>
  <customProperties>
    <customPr name="15241" r:id="rId2"/>
    <customPr name="15242" r:id="rId3"/>
    <customPr name="15243" r:id="rId4"/>
    <customPr name="25828" r:id="rId5"/>
    <customPr name="25829" r:id="rId6"/>
    <customPr name="25830" r:id="rId7"/>
    <customPr name="25831" r:id="rId8"/>
    <customPr name="krista_fm_columnsmarkup" r:id="rId9"/>
    <customPr name="krista_fm_consts" r:id="rId10"/>
    <customPr name="krista_fm_Events" r:id="rId11"/>
    <customPr name="krista_fm_metadataXML" r:id="rId12"/>
    <customPr name="krista_fm_rowsaxis" r:id="rId13"/>
    <customPr name="krista_fm_rowsmarkup" r:id="rId14"/>
    <customPr name="krista_SheetHistory" r:id="rId15"/>
    <customPr name="p14" r:id="rId16"/>
    <customPr name="p16" r:id="rId17"/>
    <customPr name="p17" r:id="rId18"/>
  </customProperties>
  <legacyDrawing r:id="rId1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indexed="48"/>
    <pageSetUpPr fitToPage="1"/>
  </sheetPr>
  <dimension ref="A1:AZ31"/>
  <sheetViews>
    <sheetView zoomScale="70" zoomScaleNormal="70" workbookViewId="0">
      <selection activeCell="F3" sqref="F3"/>
    </sheetView>
  </sheetViews>
  <sheetFormatPr defaultRowHeight="12.75" x14ac:dyDescent="0.2"/>
  <cols>
    <col min="1" max="1" width="6.28515625" style="15" customWidth="1"/>
    <col min="2" max="2" width="109.28515625" style="15" customWidth="1"/>
    <col min="3" max="3" width="16.85546875" style="15" customWidth="1"/>
    <col min="4" max="4" width="13" style="15" customWidth="1"/>
    <col min="5" max="7" width="16.140625" style="15" customWidth="1"/>
    <col min="8" max="32" width="16.7109375" style="15" customWidth="1"/>
    <col min="33" max="33" width="16.7109375" style="15" hidden="1" customWidth="1"/>
    <col min="34" max="34" width="20.7109375" style="15" customWidth="1"/>
    <col min="35" max="37" width="16.7109375" style="15" customWidth="1"/>
    <col min="38" max="38" width="17.28515625" style="15" hidden="1" customWidth="1"/>
    <col min="39" max="42" width="17.28515625" style="15" customWidth="1"/>
    <col min="43" max="48" width="17.28515625" style="15" hidden="1" customWidth="1"/>
    <col min="49" max="51" width="13" style="15" hidden="1" customWidth="1"/>
    <col min="52" max="52" width="19" style="15" hidden="1" customWidth="1"/>
    <col min="53" max="53" width="13" style="15" customWidth="1"/>
    <col min="54" max="58" width="12" style="15" customWidth="1"/>
    <col min="59" max="63" width="27.42578125" style="15" customWidth="1"/>
    <col min="64" max="64" width="41.42578125" style="15" customWidth="1"/>
    <col min="65" max="65" width="36.85546875" style="15" customWidth="1"/>
    <col min="66" max="67" width="27.42578125" style="15" customWidth="1"/>
    <col min="68" max="70" width="37.28515625" style="15" customWidth="1"/>
    <col min="71" max="79" width="27.42578125" style="15" customWidth="1"/>
    <col min="80" max="80" width="60.85546875" style="15" customWidth="1"/>
    <col min="81" max="86" width="27.42578125" style="15" customWidth="1"/>
    <col min="87" max="89" width="31.28515625" style="15" customWidth="1"/>
    <col min="90" max="90" width="27.42578125" style="15" customWidth="1"/>
    <col min="91" max="93" width="34.28515625" style="15" customWidth="1"/>
    <col min="94" max="97" width="27.42578125" style="15" customWidth="1"/>
    <col min="98" max="98" width="39.42578125" style="15" customWidth="1"/>
    <col min="99" max="99" width="41.28515625" style="15" customWidth="1"/>
    <col min="100" max="111" width="27.42578125" style="15" customWidth="1"/>
    <col min="112" max="113" width="9.140625" style="15"/>
    <col min="114" max="114" width="10.28515625" style="15" bestFit="1" customWidth="1"/>
    <col min="115" max="116" width="9.140625" style="15"/>
    <col min="117" max="117" width="10.28515625" style="15" bestFit="1" customWidth="1"/>
    <col min="118" max="119" width="9.140625" style="15"/>
    <col min="120" max="120" width="10.28515625" style="15" bestFit="1" customWidth="1"/>
    <col min="121" max="122" width="9.140625" style="15"/>
    <col min="123" max="123" width="10.28515625" style="15" bestFit="1" customWidth="1"/>
    <col min="124" max="125" width="9.140625" style="15"/>
    <col min="126" max="126" width="10.28515625" style="15" bestFit="1" customWidth="1"/>
    <col min="127" max="128" width="9.140625" style="15"/>
    <col min="129" max="129" width="10.28515625" style="15" bestFit="1" customWidth="1"/>
    <col min="130" max="131" width="9.140625" style="15"/>
    <col min="132" max="132" width="10.28515625" style="15" bestFit="1" customWidth="1"/>
    <col min="133" max="134" width="9.140625" style="15"/>
    <col min="135" max="135" width="10.28515625" style="15" bestFit="1" customWidth="1"/>
    <col min="136" max="137" width="9.140625" style="15"/>
    <col min="138" max="138" width="10.28515625" style="15" bestFit="1" customWidth="1"/>
    <col min="139" max="140" width="9.140625" style="15"/>
    <col min="141" max="141" width="10.28515625" style="15" bestFit="1" customWidth="1"/>
    <col min="142" max="143" width="9.140625" style="15"/>
    <col min="144" max="144" width="10.28515625" style="15" bestFit="1" customWidth="1"/>
    <col min="145" max="146" width="9.140625" style="15"/>
    <col min="147" max="147" width="10.28515625" style="15" bestFit="1" customWidth="1"/>
    <col min="148" max="149" width="9.140625" style="15"/>
    <col min="150" max="150" width="10.28515625" style="15" bestFit="1" customWidth="1"/>
    <col min="151" max="152" width="9.140625" style="15"/>
    <col min="153" max="153" width="10.28515625" style="15" bestFit="1" customWidth="1"/>
    <col min="154" max="155" width="9.140625" style="15"/>
    <col min="156" max="156" width="10.28515625" style="15" bestFit="1" customWidth="1"/>
    <col min="157" max="158" width="9.140625" style="15"/>
    <col min="159" max="159" width="10.28515625" style="15" bestFit="1" customWidth="1"/>
    <col min="160" max="161" width="9.140625" style="15"/>
    <col min="162" max="162" width="10.28515625" style="15" bestFit="1" customWidth="1"/>
    <col min="163" max="164" width="9.140625" style="15"/>
    <col min="165" max="165" width="10.28515625" style="15" bestFit="1" customWidth="1"/>
    <col min="166" max="167" width="9.140625" style="15"/>
    <col min="168" max="168" width="10.28515625" style="15" bestFit="1" customWidth="1"/>
    <col min="169" max="170" width="9.140625" style="15"/>
    <col min="171" max="171" width="10.28515625" style="15" bestFit="1" customWidth="1"/>
    <col min="172" max="173" width="9.140625" style="15"/>
    <col min="174" max="174" width="10.28515625" style="15" bestFit="1" customWidth="1"/>
    <col min="175" max="176" width="9.140625" style="15"/>
    <col min="177" max="177" width="10.28515625" style="15" bestFit="1" customWidth="1"/>
    <col min="178" max="179" width="9.140625" style="15"/>
    <col min="180" max="180" width="10.28515625" style="15" bestFit="1" customWidth="1"/>
    <col min="181" max="182" width="9.140625" style="15"/>
    <col min="183" max="183" width="10.28515625" style="15" bestFit="1" customWidth="1"/>
    <col min="184" max="185" width="9.140625" style="15"/>
    <col min="186" max="186" width="10.28515625" style="15" bestFit="1" customWidth="1"/>
    <col min="187" max="188" width="9.140625" style="15"/>
    <col min="189" max="189" width="10.28515625" style="15" bestFit="1" customWidth="1"/>
    <col min="190" max="191" width="9.140625" style="15"/>
    <col min="192" max="192" width="10.28515625" style="15" bestFit="1" customWidth="1"/>
    <col min="193" max="194" width="9.140625" style="15"/>
    <col min="195" max="195" width="10.28515625" style="15" bestFit="1" customWidth="1"/>
    <col min="196" max="197" width="9.140625" style="15"/>
    <col min="198" max="198" width="10.28515625" style="15" bestFit="1" customWidth="1"/>
    <col min="199" max="200" width="9.140625" style="15"/>
    <col min="201" max="201" width="10.28515625" style="15" bestFit="1" customWidth="1"/>
    <col min="202" max="203" width="9.140625" style="15"/>
    <col min="204" max="204" width="10.28515625" style="15" bestFit="1" customWidth="1"/>
    <col min="205" max="206" width="9.140625" style="15"/>
    <col min="207" max="207" width="10.28515625" style="15" bestFit="1" customWidth="1"/>
    <col min="208" max="209" width="9.140625" style="15"/>
    <col min="210" max="210" width="10.28515625" style="15" bestFit="1" customWidth="1"/>
    <col min="211" max="212" width="9.140625" style="15"/>
    <col min="213" max="213" width="10.28515625" style="15" bestFit="1" customWidth="1"/>
    <col min="214" max="215" width="9.140625" style="15"/>
    <col min="216" max="216" width="10.28515625" style="15" bestFit="1" customWidth="1"/>
    <col min="217" max="218" width="9.140625" style="15"/>
    <col min="219" max="219" width="10.28515625" style="15" bestFit="1" customWidth="1"/>
    <col min="220" max="221" width="9.140625" style="15"/>
    <col min="222" max="222" width="10.28515625" style="15" bestFit="1" customWidth="1"/>
    <col min="223" max="224" width="9.140625" style="15"/>
    <col min="225" max="225" width="10.28515625" style="15" bestFit="1" customWidth="1"/>
    <col min="226" max="227" width="9.140625" style="15"/>
    <col min="228" max="228" width="10.28515625" style="15" bestFit="1" customWidth="1"/>
    <col min="229" max="230" width="9.140625" style="15"/>
    <col min="231" max="231" width="10.28515625" style="15" bestFit="1" customWidth="1"/>
    <col min="232" max="233" width="9.140625" style="15"/>
    <col min="234" max="234" width="10.28515625" style="15" bestFit="1" customWidth="1"/>
    <col min="235" max="236" width="9.140625" style="15"/>
    <col min="237" max="237" width="10.28515625" style="15" bestFit="1" customWidth="1"/>
    <col min="238" max="239" width="9.140625" style="15"/>
    <col min="240" max="240" width="10.28515625" style="15" bestFit="1" customWidth="1"/>
    <col min="241" max="242" width="9.140625" style="15"/>
    <col min="243" max="243" width="10.28515625" style="15" bestFit="1" customWidth="1"/>
    <col min="244" max="245" width="9.140625" style="15"/>
    <col min="246" max="246" width="10.28515625" style="15" bestFit="1" customWidth="1"/>
    <col min="247" max="248" width="9.140625" style="15"/>
    <col min="249" max="249" width="10.28515625" style="15" bestFit="1" customWidth="1"/>
    <col min="250" max="251" width="9.140625" style="15"/>
    <col min="252" max="252" width="10.28515625" style="15" bestFit="1" customWidth="1"/>
    <col min="253" max="16384" width="9.140625" style="15"/>
  </cols>
  <sheetData>
    <row r="1" spans="1:7" ht="18.75" x14ac:dyDescent="0.3">
      <c r="A1" s="172" t="s">
        <v>66</v>
      </c>
      <c r="B1" s="173"/>
      <c r="C1" s="173"/>
      <c r="D1" s="173"/>
      <c r="E1" s="14"/>
      <c r="F1" s="14"/>
      <c r="G1" s="14"/>
    </row>
    <row r="2" spans="1:7" ht="12.75" customHeight="1" x14ac:dyDescent="0.3">
      <c r="A2" s="74"/>
      <c r="B2" s="74"/>
      <c r="C2" s="74"/>
      <c r="D2" s="74"/>
    </row>
    <row r="3" spans="1:7" ht="18.75" x14ac:dyDescent="0.3">
      <c r="A3" s="75" t="s">
        <v>14</v>
      </c>
      <c r="B3" s="75"/>
      <c r="C3" s="75"/>
      <c r="D3" s="75"/>
    </row>
    <row r="4" spans="1:7" ht="18.75" x14ac:dyDescent="0.3">
      <c r="A4" s="75" t="s">
        <v>67</v>
      </c>
      <c r="B4" s="75"/>
      <c r="C4" s="75"/>
      <c r="D4" s="75"/>
    </row>
    <row r="5" spans="1:7" ht="18.75" x14ac:dyDescent="0.3">
      <c r="A5" s="174" t="s">
        <v>68</v>
      </c>
      <c r="B5" s="174"/>
      <c r="C5" s="174"/>
      <c r="D5" s="174"/>
    </row>
    <row r="6" spans="1:7" ht="12.75" customHeight="1" thickBot="1" x14ac:dyDescent="0.35">
      <c r="A6" s="74"/>
      <c r="B6" s="74"/>
      <c r="C6" s="74"/>
      <c r="D6" s="74"/>
    </row>
    <row r="7" spans="1:7" ht="28.5" customHeight="1" thickBot="1" x14ac:dyDescent="0.25">
      <c r="A7" s="76" t="s">
        <v>9</v>
      </c>
      <c r="B7" s="76" t="s">
        <v>8</v>
      </c>
      <c r="C7" s="76" t="s">
        <v>6</v>
      </c>
      <c r="D7" s="76" t="s">
        <v>69</v>
      </c>
    </row>
    <row r="8" spans="1:7" customFormat="1" ht="18.75" x14ac:dyDescent="0.2">
      <c r="A8" s="77" t="s">
        <v>41</v>
      </c>
      <c r="B8" s="78" t="s">
        <v>21</v>
      </c>
      <c r="C8" s="79">
        <v>88.048699999999997</v>
      </c>
      <c r="D8" s="80">
        <f t="shared" ref="D8:D30" si="0">IF(C8="","",RANK(C8,Криста_Мера_17_0))</f>
        <v>1</v>
      </c>
    </row>
    <row r="9" spans="1:7" customFormat="1" ht="18.75" x14ac:dyDescent="0.2">
      <c r="A9" s="77" t="s">
        <v>44</v>
      </c>
      <c r="B9" s="78" t="s">
        <v>23</v>
      </c>
      <c r="C9" s="79">
        <v>79.473799999999997</v>
      </c>
      <c r="D9" s="80">
        <f t="shared" si="0"/>
        <v>2</v>
      </c>
    </row>
    <row r="10" spans="1:7" customFormat="1" ht="18.75" x14ac:dyDescent="0.2">
      <c r="A10" s="77" t="s">
        <v>43</v>
      </c>
      <c r="B10" s="78" t="s">
        <v>22</v>
      </c>
      <c r="C10" s="79">
        <v>73.991799999999998</v>
      </c>
      <c r="D10" s="80">
        <f t="shared" si="0"/>
        <v>3</v>
      </c>
    </row>
    <row r="11" spans="1:7" customFormat="1" ht="18.75" x14ac:dyDescent="0.2">
      <c r="A11" s="77" t="s">
        <v>42</v>
      </c>
      <c r="B11" s="78" t="s">
        <v>148</v>
      </c>
      <c r="C11" s="79">
        <v>72.875600000000006</v>
      </c>
      <c r="D11" s="80">
        <f t="shared" si="0"/>
        <v>4</v>
      </c>
    </row>
    <row r="12" spans="1:7" customFormat="1" ht="37.5" x14ac:dyDescent="0.2">
      <c r="A12" s="77" t="s">
        <v>52</v>
      </c>
      <c r="B12" s="78" t="s">
        <v>31</v>
      </c>
      <c r="C12" s="79">
        <v>70.455200000000005</v>
      </c>
      <c r="D12" s="80">
        <f t="shared" si="0"/>
        <v>5</v>
      </c>
    </row>
    <row r="13" spans="1:7" customFormat="1" ht="37.5" x14ac:dyDescent="0.2">
      <c r="A13" s="77" t="s">
        <v>46</v>
      </c>
      <c r="B13" s="78" t="s">
        <v>25</v>
      </c>
      <c r="C13" s="79">
        <v>68.542599999999993</v>
      </c>
      <c r="D13" s="80">
        <f t="shared" si="0"/>
        <v>6</v>
      </c>
    </row>
    <row r="14" spans="1:7" customFormat="1" ht="37.5" x14ac:dyDescent="0.2">
      <c r="A14" s="77" t="s">
        <v>53</v>
      </c>
      <c r="B14" s="78" t="s">
        <v>32</v>
      </c>
      <c r="C14" s="79">
        <v>67.478700000000003</v>
      </c>
      <c r="D14" s="80">
        <f t="shared" si="0"/>
        <v>7</v>
      </c>
    </row>
    <row r="15" spans="1:7" customFormat="1" ht="37.5" x14ac:dyDescent="0.2">
      <c r="A15" s="77" t="s">
        <v>47</v>
      </c>
      <c r="B15" s="78" t="s">
        <v>26</v>
      </c>
      <c r="C15" s="79">
        <v>60.296199999999999</v>
      </c>
      <c r="D15" s="80">
        <f t="shared" si="0"/>
        <v>8</v>
      </c>
    </row>
    <row r="16" spans="1:7" customFormat="1" ht="18.75" x14ac:dyDescent="0.2">
      <c r="A16" s="77" t="s">
        <v>51</v>
      </c>
      <c r="B16" s="78" t="s">
        <v>30</v>
      </c>
      <c r="C16" s="79">
        <v>59.736199999999997</v>
      </c>
      <c r="D16" s="80">
        <f t="shared" si="0"/>
        <v>9</v>
      </c>
    </row>
    <row r="17" spans="1:4" customFormat="1" ht="37.5" x14ac:dyDescent="0.2">
      <c r="A17" s="77" t="s">
        <v>45</v>
      </c>
      <c r="B17" s="78" t="s">
        <v>24</v>
      </c>
      <c r="C17" s="79">
        <v>59.180700000000002</v>
      </c>
      <c r="D17" s="80">
        <f t="shared" si="0"/>
        <v>10</v>
      </c>
    </row>
    <row r="18" spans="1:4" customFormat="1" ht="37.5" x14ac:dyDescent="0.2">
      <c r="A18" s="77" t="s">
        <v>150</v>
      </c>
      <c r="B18" s="78" t="s">
        <v>147</v>
      </c>
      <c r="C18" s="79">
        <v>56.789700000000003</v>
      </c>
      <c r="D18" s="80">
        <f t="shared" si="0"/>
        <v>11</v>
      </c>
    </row>
    <row r="19" spans="1:4" customFormat="1" ht="37.5" x14ac:dyDescent="0.2">
      <c r="A19" s="77" t="s">
        <v>59</v>
      </c>
      <c r="B19" s="78" t="s">
        <v>38</v>
      </c>
      <c r="C19" s="79">
        <v>55.942100000000003</v>
      </c>
      <c r="D19" s="80">
        <f t="shared" si="0"/>
        <v>12</v>
      </c>
    </row>
    <row r="20" spans="1:4" customFormat="1" ht="37.5" x14ac:dyDescent="0.2">
      <c r="A20" s="77" t="s">
        <v>50</v>
      </c>
      <c r="B20" s="78" t="s">
        <v>29</v>
      </c>
      <c r="C20" s="79">
        <v>53.6539</v>
      </c>
      <c r="D20" s="80">
        <f t="shared" si="0"/>
        <v>13</v>
      </c>
    </row>
    <row r="21" spans="1:4" customFormat="1" ht="37.5" x14ac:dyDescent="0.2">
      <c r="A21" s="77" t="s">
        <v>60</v>
      </c>
      <c r="B21" s="78" t="s">
        <v>39</v>
      </c>
      <c r="C21" s="79">
        <v>50.768599999999999</v>
      </c>
      <c r="D21" s="80">
        <f t="shared" si="0"/>
        <v>14</v>
      </c>
    </row>
    <row r="22" spans="1:4" customFormat="1" ht="18.75" x14ac:dyDescent="0.2">
      <c r="A22" s="77" t="s">
        <v>57</v>
      </c>
      <c r="B22" s="78" t="s">
        <v>36</v>
      </c>
      <c r="C22" s="79">
        <v>47.774900000000002</v>
      </c>
      <c r="D22" s="80">
        <f t="shared" si="0"/>
        <v>15</v>
      </c>
    </row>
    <row r="23" spans="1:4" customFormat="1" ht="18.75" x14ac:dyDescent="0.2">
      <c r="A23" s="77" t="s">
        <v>61</v>
      </c>
      <c r="B23" s="78" t="s">
        <v>40</v>
      </c>
      <c r="C23" s="79">
        <v>45.015300000000003</v>
      </c>
      <c r="D23" s="80">
        <f t="shared" si="0"/>
        <v>16</v>
      </c>
    </row>
    <row r="24" spans="1:4" customFormat="1" ht="37.5" x14ac:dyDescent="0.2">
      <c r="A24" s="77" t="s">
        <v>58</v>
      </c>
      <c r="B24" s="78" t="s">
        <v>37</v>
      </c>
      <c r="C24" s="79">
        <v>42.881900000000002</v>
      </c>
      <c r="D24" s="80">
        <f t="shared" si="0"/>
        <v>17</v>
      </c>
    </row>
    <row r="25" spans="1:4" customFormat="1" ht="18.75" x14ac:dyDescent="0.2">
      <c r="A25" s="77" t="s">
        <v>49</v>
      </c>
      <c r="B25" s="78" t="s">
        <v>28</v>
      </c>
      <c r="C25" s="79">
        <v>41.592399999999998</v>
      </c>
      <c r="D25" s="80">
        <f t="shared" si="0"/>
        <v>18</v>
      </c>
    </row>
    <row r="26" spans="1:4" customFormat="1" ht="18.75" x14ac:dyDescent="0.2">
      <c r="A26" s="77" t="s">
        <v>56</v>
      </c>
      <c r="B26" s="78" t="s">
        <v>35</v>
      </c>
      <c r="C26" s="79">
        <v>38.959400000000002</v>
      </c>
      <c r="D26" s="80">
        <f t="shared" si="0"/>
        <v>19</v>
      </c>
    </row>
    <row r="27" spans="1:4" customFormat="1" ht="37.5" x14ac:dyDescent="0.2">
      <c r="A27" s="77" t="s">
        <v>48</v>
      </c>
      <c r="B27" s="78" t="s">
        <v>27</v>
      </c>
      <c r="C27" s="79">
        <v>38.765099999999997</v>
      </c>
      <c r="D27" s="80">
        <f t="shared" si="0"/>
        <v>20</v>
      </c>
    </row>
    <row r="28" spans="1:4" customFormat="1" ht="18.75" x14ac:dyDescent="0.2">
      <c r="A28" s="77" t="s">
        <v>54</v>
      </c>
      <c r="B28" s="78" t="s">
        <v>33</v>
      </c>
      <c r="C28" s="79">
        <v>36.576300000000003</v>
      </c>
      <c r="D28" s="80">
        <f t="shared" si="0"/>
        <v>21</v>
      </c>
    </row>
    <row r="29" spans="1:4" customFormat="1" ht="18.75" x14ac:dyDescent="0.2">
      <c r="A29" s="77" t="s">
        <v>55</v>
      </c>
      <c r="B29" s="78" t="s">
        <v>34</v>
      </c>
      <c r="C29" s="79">
        <v>36.245800000000003</v>
      </c>
      <c r="D29" s="80">
        <f t="shared" si="0"/>
        <v>22</v>
      </c>
    </row>
    <row r="30" spans="1:4" customFormat="1" ht="37.5" x14ac:dyDescent="0.2">
      <c r="A30" s="77" t="s">
        <v>152</v>
      </c>
      <c r="B30" s="78" t="s">
        <v>153</v>
      </c>
      <c r="C30" s="79">
        <v>26.999300000000002</v>
      </c>
      <c r="D30" s="80">
        <f t="shared" si="0"/>
        <v>23</v>
      </c>
    </row>
    <row r="31" spans="1:4" x14ac:dyDescent="0.2">
      <c r="C31" s="54"/>
    </row>
  </sheetData>
  <sheetProtection algorithmName="SHA-512" hashValue="z75p0oFhwKJS5YzO6DXEKMzchK3dce0kq9rd4enddAroWrFqUIH0Slo1wTuUEiM5UyygzmBJt8S4hqeX2qEx0A==" saltValue="2jdeD2f2qviAJBIs8bp6bg==" spinCount="100000" sheet="1" objects="1" scenarios="1" formatCells="0" formatColumns="0" formatRows="0" deleteColumns="0" deleteRows="0"/>
  <protectedRanges>
    <protectedRange sqref="D8:D30" name="krista_tf_8792_0_0"/>
  </protectedRanges>
  <sortState ref="A8:D30">
    <sortCondition ref="D8"/>
  </sortState>
  <mergeCells count="2">
    <mergeCell ref="A1:D1"/>
    <mergeCell ref="A5:D5"/>
  </mergeCells>
  <pageMargins left="0" right="0" top="0" bottom="0" header="0" footer="0"/>
  <pageSetup paperSize="9" orientation="landscape" r:id="rId1"/>
  <headerFooter alignWithMargins="0"/>
  <customProperties>
    <customPr name="273" r:id="rId2"/>
    <customPr name="krista_fm_columnsmarkup" r:id="rId3"/>
    <customPr name="krista_fm_consts" r:id="rId4"/>
    <customPr name="krista_fm_Events" r:id="rId5"/>
    <customPr name="krista_fm_metadataXML" r:id="rId6"/>
    <customPr name="krista_fm_rowsaxis" r:id="rId7"/>
    <customPr name="krista_fm_rowsmarkup" r:id="rId8"/>
    <customPr name="krista_SheetHistory" r:id="rId9"/>
    <customPr name="p8" r:id="rId10"/>
    <customPr name="p9" r:id="rId11"/>
  </customProperties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337</vt:i4>
      </vt:variant>
    </vt:vector>
  </HeadingPairs>
  <TitlesOfParts>
    <vt:vector size="345" baseType="lpstr">
      <vt:lpstr>1. Среднесрочное финансовое пла</vt:lpstr>
      <vt:lpstr>2. Исп местн бюдж в части доход</vt:lpstr>
      <vt:lpstr>3. Исп мест бюджета в ч расх</vt:lpstr>
      <vt:lpstr>4. Учет и отчетность</vt:lpstr>
      <vt:lpstr>5. Контроль и аудит</vt:lpstr>
      <vt:lpstr>6. Кадровый потенциал сотруд</vt:lpstr>
      <vt:lpstr>Итог</vt:lpstr>
      <vt:lpstr>Рейтинг</vt:lpstr>
      <vt:lpstr>'6. Кадровый потенциал сотруд'!Print_Area</vt:lpstr>
      <vt:lpstr>Вес1</vt:lpstr>
      <vt:lpstr>'1. Среднесрочное финансовое пла'!Вес1.1</vt:lpstr>
      <vt:lpstr>'1. Среднесрочное финансовое пла'!Вес1.2</vt:lpstr>
      <vt:lpstr>'1. Среднесрочное финансовое пла'!Вес1.3</vt:lpstr>
      <vt:lpstr>'1. Среднесрочное финансовое пла'!Вес1.4</vt:lpstr>
      <vt:lpstr>'1. Среднесрочное финансовое пла'!Вес1.5</vt:lpstr>
      <vt:lpstr>'1. Среднесрочное финансовое пла'!Вес1.6</vt:lpstr>
      <vt:lpstr>'1. Среднесрочное финансовое пла'!Вес1.7</vt:lpstr>
      <vt:lpstr>Итог!Вес2</vt:lpstr>
      <vt:lpstr>'2. Исп местн бюдж в части доход'!Вес2.1</vt:lpstr>
      <vt:lpstr>'2. Исп местн бюдж в части доход'!Вес2.2</vt:lpstr>
      <vt:lpstr>'2. Исп местн бюдж в части доход'!Вес2.3</vt:lpstr>
      <vt:lpstr>Вес3</vt:lpstr>
      <vt:lpstr>'3. Исп мест бюджета в ч расх'!Вес3.1</vt:lpstr>
      <vt:lpstr>'3. Исп мест бюджета в ч расх'!Вес3.2</vt:lpstr>
      <vt:lpstr>'3. Исп мест бюджета в ч расх'!Вес3.3</vt:lpstr>
      <vt:lpstr>'3. Исп мест бюджета в ч расх'!Вес3.4</vt:lpstr>
      <vt:lpstr>'3. Исп мест бюджета в ч расх'!Вес3.5</vt:lpstr>
      <vt:lpstr>Вес4</vt:lpstr>
      <vt:lpstr>'4. Учет и отчетность'!Вес4.1</vt:lpstr>
      <vt:lpstr>'4. Учет и отчетность'!Вес4.2</vt:lpstr>
      <vt:lpstr>'4. Учет и отчетность'!Вес4.3</vt:lpstr>
      <vt:lpstr>'4. Учет и отчетность'!Вес4.4</vt:lpstr>
      <vt:lpstr>'4. Учет и отчетность'!Вес4.5</vt:lpstr>
      <vt:lpstr>Вес4.6</vt:lpstr>
      <vt:lpstr>Вес5</vt:lpstr>
      <vt:lpstr>'5. Контроль и аудит'!Вес5.1</vt:lpstr>
      <vt:lpstr>'5. Контроль и аудит'!Вес5.2</vt:lpstr>
      <vt:lpstr>'5. Контроль и аудит'!Вес5.3</vt:lpstr>
      <vt:lpstr>'5. Контроль и аудит'!Вес5.4</vt:lpstr>
      <vt:lpstr>'5. Контроль и аудит'!Вес5.5</vt:lpstr>
      <vt:lpstr>'5. Контроль и аудит'!Вес5.6</vt:lpstr>
      <vt:lpstr>Вес6</vt:lpstr>
      <vt:lpstr>'6. Кадровый потенциал сотруд'!Вес6.1</vt:lpstr>
      <vt:lpstr>'6. Кадровый потенциал сотруд'!Вес6.2</vt:lpstr>
      <vt:lpstr>'6. Кадровый потенциал сотруд'!Вес6.3</vt:lpstr>
      <vt:lpstr>'6. Кадровый потенциал сотруд'!Вес6.4</vt:lpstr>
      <vt:lpstr>Итог!Криста_Мера_15_0</vt:lpstr>
      <vt:lpstr>Итог!Криста_Мера_16_0</vt:lpstr>
      <vt:lpstr>Итог!Криста_Мера_17_0</vt:lpstr>
      <vt:lpstr>Рейтинг!Криста_Мера_17_0</vt:lpstr>
      <vt:lpstr>Итог!Криста_Мера_19_0</vt:lpstr>
      <vt:lpstr>Итог!Криста_Мера_21_0</vt:lpstr>
      <vt:lpstr>Итог!Криста_Мера_23_0</vt:lpstr>
      <vt:lpstr>Итог!Криста_Мера_25_0</vt:lpstr>
      <vt:lpstr>Итог!Криста_Мера_26_0</vt:lpstr>
      <vt:lpstr>Итог!Криста_Мера_27_0</vt:lpstr>
      <vt:lpstr>'2. Исп местн бюдж в части доход'!Криста_Мера_28_0</vt:lpstr>
      <vt:lpstr>'3. Исп мест бюджета в ч расх'!Криста_Мера_28_0</vt:lpstr>
      <vt:lpstr>'4. Учет и отчетность'!Криста_Мера_28_0</vt:lpstr>
      <vt:lpstr>'5. Контроль и аудит'!Криста_Мера_28_0</vt:lpstr>
      <vt:lpstr>'6. Кадровый потенциал сотруд'!Криста_Мера_28_0</vt:lpstr>
      <vt:lpstr>Итог!Криста_Мера_28_0</vt:lpstr>
      <vt:lpstr>'2. Исп местн бюдж в части доход'!Криста_Мера_29_0</vt:lpstr>
      <vt:lpstr>'3. Исп мест бюджета в ч расх'!Криста_Мера_29_0</vt:lpstr>
      <vt:lpstr>'4. Учет и отчетность'!Криста_Мера_29_0</vt:lpstr>
      <vt:lpstr>'5. Контроль и аудит'!Криста_Мера_29_0</vt:lpstr>
      <vt:lpstr>'6. Кадровый потенциал сотруд'!Криста_Мера_29_0</vt:lpstr>
      <vt:lpstr>Итог!Криста_Мера_29_0</vt:lpstr>
      <vt:lpstr>'1. Среднесрочное финансовое пла'!Криста_Мера_30_0</vt:lpstr>
      <vt:lpstr>'2. Исп местн бюдж в части доход'!Криста_Мера_30_0</vt:lpstr>
      <vt:lpstr>'3. Исп мест бюджета в ч расх'!Криста_Мера_30_0</vt:lpstr>
      <vt:lpstr>'4. Учет и отчетность'!Криста_Мера_30_0</vt:lpstr>
      <vt:lpstr>'5. Контроль и аудит'!Криста_Мера_30_0</vt:lpstr>
      <vt:lpstr>'6. Кадровый потенциал сотруд'!Криста_Мера_30_0</vt:lpstr>
      <vt:lpstr>Итог!Криста_Мера_30_0</vt:lpstr>
      <vt:lpstr>'1. Среднесрочное финансовое пла'!Криста_Мера_31_0</vt:lpstr>
      <vt:lpstr>'2. Исп местн бюдж в части доход'!Криста_Мера_31_0</vt:lpstr>
      <vt:lpstr>'3. Исп мест бюджета в ч расх'!Криста_Мера_31_0</vt:lpstr>
      <vt:lpstr>'4. Учет и отчетность'!Криста_Мера_31_0</vt:lpstr>
      <vt:lpstr>'5. Контроль и аудит'!Криста_Мера_31_0</vt:lpstr>
      <vt:lpstr>'6. Кадровый потенциал сотруд'!Криста_Мера_31_0</vt:lpstr>
      <vt:lpstr>'1. Среднесрочное финансовое пла'!Криста_Мера_32_0</vt:lpstr>
      <vt:lpstr>'2. Исп местн бюдж в части доход'!Криста_Мера_32_0</vt:lpstr>
      <vt:lpstr>'3. Исп мест бюджета в ч расх'!Криста_Мера_32_0</vt:lpstr>
      <vt:lpstr>'4. Учет и отчетность'!Криста_Мера_32_0</vt:lpstr>
      <vt:lpstr>'5. Контроль и аудит'!Криста_Мера_32_0</vt:lpstr>
      <vt:lpstr>'6. Кадровый потенциал сотруд'!Криста_Мера_32_0</vt:lpstr>
      <vt:lpstr>'1. Среднесрочное финансовое пла'!Криста_Мера_33_0</vt:lpstr>
      <vt:lpstr>'2. Исп местн бюдж в части доход'!Криста_Мера_33_0</vt:lpstr>
      <vt:lpstr>'3. Исп мест бюджета в ч расх'!Криста_Мера_33_0</vt:lpstr>
      <vt:lpstr>'4. Учет и отчетность'!Криста_Мера_33_0</vt:lpstr>
      <vt:lpstr>'5. Контроль и аудит'!Криста_Мера_33_0</vt:lpstr>
      <vt:lpstr>'6. Кадровый потенциал сотруд'!Криста_Мера_33_0</vt:lpstr>
      <vt:lpstr>'1. Среднесрочное финансовое пла'!Криста_Мера_34_0</vt:lpstr>
      <vt:lpstr>'3. Исп мест бюджета в ч расх'!Криста_Мера_34_0</vt:lpstr>
      <vt:lpstr>'4. Учет и отчетность'!Криста_Мера_34_0</vt:lpstr>
      <vt:lpstr>'5. Контроль и аудит'!Криста_Мера_34_0</vt:lpstr>
      <vt:lpstr>'6. Кадровый потенциал сотруд'!Криста_Мера_34_0</vt:lpstr>
      <vt:lpstr>'1. Среднесрочное финансовое пла'!Криста_Мера_35_0</vt:lpstr>
      <vt:lpstr>'3. Исп мест бюджета в ч расх'!Криста_Мера_35_0</vt:lpstr>
      <vt:lpstr>'4. Учет и отчетность'!Криста_Мера_35_0</vt:lpstr>
      <vt:lpstr>'5. Контроль и аудит'!Криста_Мера_35_0</vt:lpstr>
      <vt:lpstr>'6. Кадровый потенциал сотруд'!Криста_Мера_35_0</vt:lpstr>
      <vt:lpstr>'1. Среднесрочное финансовое пла'!Криста_Мера_36_0</vt:lpstr>
      <vt:lpstr>'3. Исп мест бюджета в ч расх'!Криста_Мера_36_0</vt:lpstr>
      <vt:lpstr>'4. Учет и отчетность'!Криста_Мера_36_0</vt:lpstr>
      <vt:lpstr>'5. Контроль и аудит'!Криста_Мера_36_0</vt:lpstr>
      <vt:lpstr>'1. Среднесрочное финансовое пла'!Криста_Мера_37_0</vt:lpstr>
      <vt:lpstr>'3. Исп мест бюджета в ч расх'!Криста_Мера_37_0</vt:lpstr>
      <vt:lpstr>'4. Учет и отчетность'!Криста_Мера_37_0</vt:lpstr>
      <vt:lpstr>'5. Контроль и аудит'!Криста_Мера_37_0</vt:lpstr>
      <vt:lpstr>'1. Среднесрочное финансовое пла'!Криста_Мера_38_0</vt:lpstr>
      <vt:lpstr>'5. Контроль и аудит'!Криста_Мера_38_0</vt:lpstr>
      <vt:lpstr>'1. Среднесрочное финансовое пла'!Криста_Мера_39_0</vt:lpstr>
      <vt:lpstr>'5. Контроль и аудит'!Криста_Мера_39_0</vt:lpstr>
      <vt:lpstr>'1. Среднесрочное финансовое пла'!Криста_Мера_40_0</vt:lpstr>
      <vt:lpstr>'1. Среднесрочное финансовое пла'!Криста_Мера_41_0</vt:lpstr>
      <vt:lpstr>'1. Среднесрочное финансовое пла'!Криста_Мера_44_0</vt:lpstr>
      <vt:lpstr>'2. Исп местн бюдж в части доход'!Криста_Мера_44_0</vt:lpstr>
      <vt:lpstr>'3. Исп мест бюджета в ч расх'!Криста_Мера_44_0</vt:lpstr>
      <vt:lpstr>'4. Учет и отчетность'!Криста_Мера_44_0</vt:lpstr>
      <vt:lpstr>'5. Контроль и аудит'!Криста_Мера_44_0</vt:lpstr>
      <vt:lpstr>'6. Кадровый потенциал сотруд'!Криста_Мера_44_0</vt:lpstr>
      <vt:lpstr>'1. Среднесрочное финансовое пла'!Криста_Мера_45_0</vt:lpstr>
      <vt:lpstr>'2. Исп местн бюдж в части доход'!Криста_Мера_45_0</vt:lpstr>
      <vt:lpstr>'3. Исп мест бюджета в ч расх'!Криста_Мера_45_0</vt:lpstr>
      <vt:lpstr>'4. Учет и отчетность'!Криста_Мера_45_0</vt:lpstr>
      <vt:lpstr>'5. Контроль и аудит'!Криста_Мера_45_0</vt:lpstr>
      <vt:lpstr>'6. Кадровый потенциал сотруд'!Криста_Мера_45_0</vt:lpstr>
      <vt:lpstr>'1. Среднесрочное финансовое пла'!Криста_Мера_46_0</vt:lpstr>
      <vt:lpstr>'2. Исп местн бюдж в части доход'!Криста_Мера_46_0</vt:lpstr>
      <vt:lpstr>'3. Исп мест бюджета в ч расх'!Криста_Мера_46_0</vt:lpstr>
      <vt:lpstr>'4. Учет и отчетность'!Криста_Мера_46_0</vt:lpstr>
      <vt:lpstr>'5. Контроль и аудит'!Криста_Мера_46_0</vt:lpstr>
      <vt:lpstr>'6. Кадровый потенциал сотруд'!Криста_Мера_46_0</vt:lpstr>
      <vt:lpstr>'1. Среднесрочное финансовое пла'!Криста_Мера_47_0</vt:lpstr>
      <vt:lpstr>'3. Исп мест бюджета в ч расх'!Криста_Мера_47_0</vt:lpstr>
      <vt:lpstr>'4. Учет и отчетность'!Криста_Мера_47_0</vt:lpstr>
      <vt:lpstr>'5. Контроль и аудит'!Криста_Мера_47_0</vt:lpstr>
      <vt:lpstr>'6. Кадровый потенциал сотруд'!Криста_Мера_47_0</vt:lpstr>
      <vt:lpstr>'1. Среднесрочное финансовое пла'!Криста_Мера_48_0</vt:lpstr>
      <vt:lpstr>'3. Исп мест бюджета в ч расх'!Криста_Мера_48_0</vt:lpstr>
      <vt:lpstr>'4. Учет и отчетность'!Криста_Мера_48_0</vt:lpstr>
      <vt:lpstr>'5. Контроль и аудит'!Криста_Мера_48_0</vt:lpstr>
      <vt:lpstr>'1. Среднесрочное финансовое пла'!Криста_Мера_49_0</vt:lpstr>
      <vt:lpstr>'5. Контроль и аудит'!Криста_Мера_49_0</vt:lpstr>
      <vt:lpstr>'1. Среднесрочное финансовое пла'!Криста_Мера_50_0</vt:lpstr>
      <vt:lpstr>'1. Среднесрочное финансовое пла'!Криста_Мера_52_0</vt:lpstr>
      <vt:lpstr>'4. Учет и отчетность'!Криста_Мера_52_0</vt:lpstr>
      <vt:lpstr>'4. Учет и отчетность'!Криста_Мера_53_0</vt:lpstr>
      <vt:lpstr>'4. Учет и отчетность'!Криста_Мера_54_0</vt:lpstr>
      <vt:lpstr>Итог!Криста_Результат_11_0</vt:lpstr>
      <vt:lpstr>Итог!Криста_Результат_2_0</vt:lpstr>
      <vt:lpstr>Итог!Криста_Результат_30_0</vt:lpstr>
      <vt:lpstr>Итог!Криста_Результат_31_0</vt:lpstr>
      <vt:lpstr>Итог!Криста_Результат_32_0</vt:lpstr>
      <vt:lpstr>Итог!Криста_Результат_33_0</vt:lpstr>
      <vt:lpstr>Итог!Криста_Результат_34_0</vt:lpstr>
      <vt:lpstr>'1. Среднесрочное финансовое пла'!Криста_Результат_39_0</vt:lpstr>
      <vt:lpstr>'2. Исп местн бюдж в части доход'!Криста_Результат_39_0</vt:lpstr>
      <vt:lpstr>'3. Исп мест бюджета в ч расх'!Криста_Результат_39_0</vt:lpstr>
      <vt:lpstr>'4. Учет и отчетность'!Криста_Результат_39_0</vt:lpstr>
      <vt:lpstr>'5. Контроль и аудит'!Криста_Результат_39_0</vt:lpstr>
      <vt:lpstr>'6. Кадровый потенциал сотруд'!Криста_Результат_39_0</vt:lpstr>
      <vt:lpstr>'1. Среднесрочное финансовое пла'!Криста_Результат_41_0</vt:lpstr>
      <vt:lpstr>'2. Исп местн бюдж в части доход'!Криста_Результат_41_0</vt:lpstr>
      <vt:lpstr>'3. Исп мест бюджета в ч расх'!Криста_Результат_41_0</vt:lpstr>
      <vt:lpstr>'4. Учет и отчетность'!Криста_Результат_41_0</vt:lpstr>
      <vt:lpstr>'5. Контроль и аудит'!Криста_Результат_41_0</vt:lpstr>
      <vt:lpstr>'6. Кадровый потенциал сотруд'!Криста_Результат_41_0</vt:lpstr>
      <vt:lpstr>'1. Среднесрочное финансовое пла'!Криста_Результат_43_0</vt:lpstr>
      <vt:lpstr>'2. Исп местн бюдж в части доход'!Криста_Результат_43_0</vt:lpstr>
      <vt:lpstr>'3. Исп мест бюджета в ч расх'!Криста_Результат_43_0</vt:lpstr>
      <vt:lpstr>'4. Учет и отчетность'!Криста_Результат_43_0</vt:lpstr>
      <vt:lpstr>'5. Контроль и аудит'!Криста_Результат_43_0</vt:lpstr>
      <vt:lpstr>'6. Кадровый потенциал сотруд'!Криста_Результат_43_0</vt:lpstr>
      <vt:lpstr>'1. Среднесрочное финансовое пла'!Криста_Результат_45_0</vt:lpstr>
      <vt:lpstr>'2. Исп местн бюдж в части доход'!Криста_Результат_45_0</vt:lpstr>
      <vt:lpstr>'3. Исп мест бюджета в ч расх'!Криста_Результат_45_0</vt:lpstr>
      <vt:lpstr>'4. Учет и отчетность'!Криста_Результат_45_0</vt:lpstr>
      <vt:lpstr>'5. Контроль и аудит'!Криста_Результат_45_0</vt:lpstr>
      <vt:lpstr>'6. Кадровый потенциал сотруд'!Криста_Результат_45_0</vt:lpstr>
      <vt:lpstr>'1. Среднесрочное финансовое пла'!Криста_Результат_47_0</vt:lpstr>
      <vt:lpstr>'3. Исп мест бюджета в ч расх'!Криста_Результат_47_0</vt:lpstr>
      <vt:lpstr>'4. Учет и отчетность'!Криста_Результат_47_0</vt:lpstr>
      <vt:lpstr>'5. Контроль и аудит'!Криста_Результат_47_0</vt:lpstr>
      <vt:lpstr>'6. Кадровый потенциал сотруд'!Криста_Результат_47_0</vt:lpstr>
      <vt:lpstr>'1. Среднесрочное финансовое пла'!Криста_Результат_49_0</vt:lpstr>
      <vt:lpstr>'3. Исп мест бюджета в ч расх'!Криста_Результат_49_0</vt:lpstr>
      <vt:lpstr>'4. Учет и отчетность'!Криста_Результат_49_0</vt:lpstr>
      <vt:lpstr>'5. Контроль и аудит'!Криста_Результат_49_0</vt:lpstr>
      <vt:lpstr>'1. Среднесрочное финансовое пла'!Криста_Результат_51_0</vt:lpstr>
      <vt:lpstr>'5. Контроль и аудит'!Криста_Результат_51_0</vt:lpstr>
      <vt:lpstr>'1. Среднесрочное финансовое пла'!Криста_Результат_53_0</vt:lpstr>
      <vt:lpstr>'4. Учет и отчетность'!Криста_Результат_57_0</vt:lpstr>
      <vt:lpstr>'5. Контроль и аудит'!Криста_Результат_57_0</vt:lpstr>
      <vt:lpstr>'6. Кадровый потенциал сотруд'!Криста_Результат_57_0</vt:lpstr>
      <vt:lpstr>'1. Среднесрочное финансовое пла'!Криста_Результат_58_0</vt:lpstr>
      <vt:lpstr>'2. Исп местн бюдж в части доход'!Криста_Результат_58_0</vt:lpstr>
      <vt:lpstr>'3. Исп мест бюджета в ч расх'!Криста_Результат_58_0</vt:lpstr>
      <vt:lpstr>'4. Учет и отчетность'!Криста_Результат_58_0</vt:lpstr>
      <vt:lpstr>Итог!Криста_Результат_8_0</vt:lpstr>
      <vt:lpstr>Итог!Криста_Свободный_13_0</vt:lpstr>
      <vt:lpstr>Итог!Криста_Свободный_14_0</vt:lpstr>
      <vt:lpstr>Итог!Криста_Свободный_18_0</vt:lpstr>
      <vt:lpstr>Итог!Криста_Свободный_3_0</vt:lpstr>
      <vt:lpstr>Итог!Криста_Свободный_31_0</vt:lpstr>
      <vt:lpstr>Рейтинг!Криста_Свободный_31_0</vt:lpstr>
      <vt:lpstr>Итог!Криста_Свободный_32_0</vt:lpstr>
      <vt:lpstr>Итог!Криста_Свободный_34_0</vt:lpstr>
      <vt:lpstr>Итог!Криста_Свободный_35_0</vt:lpstr>
      <vt:lpstr>Итог!Криста_Свободный_36_0</vt:lpstr>
      <vt:lpstr>Итог!Криста_Свободный_37_0</vt:lpstr>
      <vt:lpstr>Итог!Криста_Свободный_38_0</vt:lpstr>
      <vt:lpstr>Итог!Криста_Свободный_39_0</vt:lpstr>
      <vt:lpstr>Итог!Криста_Свободный_4_0</vt:lpstr>
      <vt:lpstr>Итог!Криста_Свободный_40_0</vt:lpstr>
      <vt:lpstr>Итог!Криста_Свободный_41_0</vt:lpstr>
      <vt:lpstr>Итог!Криста_Свободный_42_0</vt:lpstr>
      <vt:lpstr>Итог!Криста_Свободный_43_0</vt:lpstr>
      <vt:lpstr>Итог!Криста_Свободный_44_0</vt:lpstr>
      <vt:lpstr>Итог!Криста_Свободный_45_0</vt:lpstr>
      <vt:lpstr>Итог!Криста_Свободный_46_0</vt:lpstr>
      <vt:lpstr>Итог!Криста_Свободный_47_0</vt:lpstr>
      <vt:lpstr>Итог!Криста_Свободный_48_0</vt:lpstr>
      <vt:lpstr>Итог!Криста_Свободный_49_0</vt:lpstr>
      <vt:lpstr>Итог!Криста_Свободный_5_0</vt:lpstr>
      <vt:lpstr>'1. Среднесрочное финансовое пла'!Криста_Свободный_52_0</vt:lpstr>
      <vt:lpstr>'2. Исп местн бюдж в части доход'!Криста_Свободный_52_0</vt:lpstr>
      <vt:lpstr>'3. Исп мест бюджета в ч расх'!Криста_Свободный_52_0</vt:lpstr>
      <vt:lpstr>'4. Учет и отчетность'!Криста_Свободный_52_0</vt:lpstr>
      <vt:lpstr>'5. Контроль и аудит'!Криста_Свободный_52_0</vt:lpstr>
      <vt:lpstr>'6. Кадровый потенциал сотруд'!Криста_Свободный_52_0</vt:lpstr>
      <vt:lpstr>'1. Среднесрочное финансовое пла'!Криста_Свободный_53_0</vt:lpstr>
      <vt:lpstr>'2. Исп местн бюдж в части доход'!Криста_Свободный_53_0</vt:lpstr>
      <vt:lpstr>'3. Исп мест бюджета в ч расх'!Криста_Свободный_53_0</vt:lpstr>
      <vt:lpstr>'4. Учет и отчетность'!Криста_Свободный_53_0</vt:lpstr>
      <vt:lpstr>'5. Контроль и аудит'!Криста_Свободный_53_0</vt:lpstr>
      <vt:lpstr>'6. Кадровый потенциал сотруд'!Криста_Свободный_53_0</vt:lpstr>
      <vt:lpstr>'1. Среднесрочное финансовое пла'!Криста_Свободный_54_0</vt:lpstr>
      <vt:lpstr>'2. Исп местн бюдж в части доход'!Криста_Свободный_54_0</vt:lpstr>
      <vt:lpstr>'3. Исп мест бюджета в ч расх'!Криста_Свободный_54_0</vt:lpstr>
      <vt:lpstr>'4. Учет и отчетность'!Криста_Свободный_54_0</vt:lpstr>
      <vt:lpstr>'5. Контроль и аудит'!Криста_Свободный_54_0</vt:lpstr>
      <vt:lpstr>'6. Кадровый потенциал сотруд'!Криста_Свободный_54_0</vt:lpstr>
      <vt:lpstr>'1. Среднесрочное финансовое пла'!Криста_Свободный_55_0</vt:lpstr>
      <vt:lpstr>'2. Исп местн бюдж в части доход'!Криста_Свободный_55_0</vt:lpstr>
      <vt:lpstr>'3. Исп мест бюджета в ч расх'!Криста_Свободный_55_0</vt:lpstr>
      <vt:lpstr>'4. Учет и отчетность'!Криста_Свободный_55_0</vt:lpstr>
      <vt:lpstr>'5. Контроль и аудит'!Криста_Свободный_55_0</vt:lpstr>
      <vt:lpstr>'6. Кадровый потенциал сотруд'!Криста_Свободный_55_0</vt:lpstr>
      <vt:lpstr>'1. Среднесрочное финансовое пла'!Криста_Свободный_56_0</vt:lpstr>
      <vt:lpstr>'2. Исп местн бюдж в части доход'!Криста_Свободный_56_0</vt:lpstr>
      <vt:lpstr>'3. Исп мест бюджета в ч расх'!Криста_Свободный_56_0</vt:lpstr>
      <vt:lpstr>'4. Учет и отчетность'!Криста_Свободный_56_0</vt:lpstr>
      <vt:lpstr>'5. Контроль и аудит'!Криста_Свободный_56_0</vt:lpstr>
      <vt:lpstr>'6. Кадровый потенциал сотруд'!Криста_Свободный_56_0</vt:lpstr>
      <vt:lpstr>'1. Среднесрочное финансовое пла'!Криста_Свободный_57_0</vt:lpstr>
      <vt:lpstr>'2. Исп местн бюдж в части доход'!Криста_Свободный_57_0</vt:lpstr>
      <vt:lpstr>'3. Исп мест бюджета в ч расх'!Криста_Свободный_57_0</vt:lpstr>
      <vt:lpstr>'4. Учет и отчетность'!Криста_Свободный_57_0</vt:lpstr>
      <vt:lpstr>'5. Контроль и аудит'!Криста_Свободный_57_0</vt:lpstr>
      <vt:lpstr>'6. Кадровый потенциал сотруд'!Криста_Свободный_57_0</vt:lpstr>
      <vt:lpstr>'1. Среднесрочное финансовое пла'!Криста_Свободный_58_0</vt:lpstr>
      <vt:lpstr>'3. Исп мест бюджета в ч расх'!Криста_Свободный_58_0</vt:lpstr>
      <vt:lpstr>'4. Учет и отчетность'!Криста_Свободный_58_0</vt:lpstr>
      <vt:lpstr>'5. Контроль и аудит'!Криста_Свободный_58_0</vt:lpstr>
      <vt:lpstr>'6. Кадровый потенциал сотруд'!Криста_Свободный_58_0</vt:lpstr>
      <vt:lpstr>'1. Среднесрочное финансовое пла'!Криста_Свободный_59_0</vt:lpstr>
      <vt:lpstr>'3. Исп мест бюджета в ч расх'!Криста_Свободный_59_0</vt:lpstr>
      <vt:lpstr>'4. Учет и отчетность'!Криста_Свободный_59_0</vt:lpstr>
      <vt:lpstr>'5. Контроль и аудит'!Криста_Свободный_59_0</vt:lpstr>
      <vt:lpstr>'6. Кадровый потенциал сотруд'!Криста_Свободный_59_0</vt:lpstr>
      <vt:lpstr>Итог!Криста_Свободный_6_0</vt:lpstr>
      <vt:lpstr>'1. Среднесрочное финансовое пла'!Криста_Свободный_60_0</vt:lpstr>
      <vt:lpstr>'3. Исп мест бюджета в ч расх'!Криста_Свободный_60_0</vt:lpstr>
      <vt:lpstr>'4. Учет и отчетность'!Криста_Свободный_60_0</vt:lpstr>
      <vt:lpstr>'5. Контроль и аудит'!Криста_Свободный_60_0</vt:lpstr>
      <vt:lpstr>'1. Среднесрочное финансовое пла'!Криста_Свободный_61_0</vt:lpstr>
      <vt:lpstr>'3. Исп мест бюджета в ч расх'!Криста_Свободный_61_0</vt:lpstr>
      <vt:lpstr>'4. Учет и отчетность'!Криста_Свободный_61_0</vt:lpstr>
      <vt:lpstr>'5. Контроль и аудит'!Криста_Свободный_61_0</vt:lpstr>
      <vt:lpstr>'1. Среднесрочное финансовое пла'!Криста_Свободный_62_0</vt:lpstr>
      <vt:lpstr>'5. Контроль и аудит'!Криста_Свободный_62_0</vt:lpstr>
      <vt:lpstr>'1. Среднесрочное финансовое пла'!Криста_Свободный_63_0</vt:lpstr>
      <vt:lpstr>'5. Контроль и аудит'!Криста_Свободный_63_0</vt:lpstr>
      <vt:lpstr>'1. Среднесрочное финансовое пла'!Криста_Свободный_64_0</vt:lpstr>
      <vt:lpstr>'1. Среднесрочное финансовое пла'!Криста_Свободный_65_0</vt:lpstr>
      <vt:lpstr>'1. Среднесрочное финансовое пла'!Криста_Свободный_68_0</vt:lpstr>
      <vt:lpstr>'2. Исп местн бюдж в части доход'!Криста_Свободный_68_0</vt:lpstr>
      <vt:lpstr>'3. Исп мест бюджета в ч расх'!Криста_Свободный_68_0</vt:lpstr>
      <vt:lpstr>'4. Учет и отчетность'!Криста_Свободный_68_0</vt:lpstr>
      <vt:lpstr>'5. Контроль и аудит'!Криста_Свободный_68_0</vt:lpstr>
      <vt:lpstr>'6. Кадровый потенциал сотруд'!Криста_Свободный_68_0</vt:lpstr>
      <vt:lpstr>'1. Среднесрочное финансовое пла'!Криста_Свободный_69_0</vt:lpstr>
      <vt:lpstr>'2. Исп местн бюдж в части доход'!Криста_Свободный_69_0</vt:lpstr>
      <vt:lpstr>'3. Исп мест бюджета в ч расх'!Криста_Свободный_69_0</vt:lpstr>
      <vt:lpstr>'4. Учет и отчетность'!Криста_Свободный_69_0</vt:lpstr>
      <vt:lpstr>'5. Контроль и аудит'!Криста_Свободный_69_0</vt:lpstr>
      <vt:lpstr>'6. Кадровый потенциал сотруд'!Криста_Свободный_69_0</vt:lpstr>
      <vt:lpstr>'1. Среднесрочное финансовое пла'!Криста_Свободный_70_0</vt:lpstr>
      <vt:lpstr>'2. Исп местн бюдж в части доход'!Криста_Свободный_70_0</vt:lpstr>
      <vt:lpstr>'3. Исп мест бюджета в ч расх'!Криста_Свободный_70_0</vt:lpstr>
      <vt:lpstr>'4. Учет и отчетность'!Криста_Свободный_70_0</vt:lpstr>
      <vt:lpstr>'5. Контроль и аудит'!Криста_Свободный_70_0</vt:lpstr>
      <vt:lpstr>'6. Кадровый потенциал сотруд'!Криста_Свободный_70_0</vt:lpstr>
      <vt:lpstr>'1. Среднесрочное финансовое пла'!Криста_Свободный_71_0</vt:lpstr>
      <vt:lpstr>'3. Исп мест бюджета в ч расх'!Криста_Свободный_71_0</vt:lpstr>
      <vt:lpstr>'4. Учет и отчетность'!Криста_Свободный_71_0</vt:lpstr>
      <vt:lpstr>'5. Контроль и аудит'!Криста_Свободный_71_0</vt:lpstr>
      <vt:lpstr>'6. Кадровый потенциал сотруд'!Криста_Свободный_71_0</vt:lpstr>
      <vt:lpstr>'1. Среднесрочное финансовое пла'!Криста_Свободный_72_0</vt:lpstr>
      <vt:lpstr>'3. Исп мест бюджета в ч расх'!Криста_Свободный_72_0</vt:lpstr>
      <vt:lpstr>'4. Учет и отчетность'!Криста_Свободный_72_0</vt:lpstr>
      <vt:lpstr>'5. Контроль и аудит'!Криста_Свободный_72_0</vt:lpstr>
      <vt:lpstr>'1. Среднесрочное финансовое пла'!Криста_Свободный_73_0</vt:lpstr>
      <vt:lpstr>'5. Контроль и аудит'!Криста_Свободный_73_0</vt:lpstr>
      <vt:lpstr>'1. Среднесрочное финансовое пла'!Криста_Свободный_74_0</vt:lpstr>
      <vt:lpstr>'1. Среднесрочное финансовое пла'!Криста_Свободный_76_0</vt:lpstr>
      <vt:lpstr>'2. Исп местн бюдж в части доход'!Криста_Свободный_76_0</vt:lpstr>
      <vt:lpstr>'3. Исп мест бюджета в ч расх'!Криста_Свободный_76_0</vt:lpstr>
      <vt:lpstr>'4. Учет и отчетность'!Криста_Свободный_76_0</vt:lpstr>
      <vt:lpstr>'5. Контроль и аудит'!Криста_Свободный_76_0</vt:lpstr>
      <vt:lpstr>'6. Кадровый потенциал сотруд'!Криста_Свободный_76_0</vt:lpstr>
      <vt:lpstr>'1. Среднесрочное финансовое пла'!Криста_Свободный_77_0</vt:lpstr>
      <vt:lpstr>'4. Учет и отчетность'!Криста_Свободный_77_0</vt:lpstr>
      <vt:lpstr>'4. Учет и отчетность'!Криста_Свободный_78_0</vt:lpstr>
      <vt:lpstr>'4. Учет и отчетность'!Криста_Свободный_79_0</vt:lpstr>
      <vt:lpstr>'1. Среднесрочное финансовое пла'!Криста_Таблица</vt:lpstr>
      <vt:lpstr>'2. Исп местн бюдж в части доход'!Криста_Таблица</vt:lpstr>
      <vt:lpstr>'3. Исп мест бюджета в ч расх'!Криста_Таблица</vt:lpstr>
      <vt:lpstr>'4. Учет и отчетность'!Криста_Таблица</vt:lpstr>
      <vt:lpstr>'5. Контроль и аудит'!Криста_Таблица</vt:lpstr>
      <vt:lpstr>'6. Кадровый потенциал сотруд'!Криста_Таблица</vt:lpstr>
      <vt:lpstr>Итог!Криста_Таблица</vt:lpstr>
      <vt:lpstr>Рейтинг!Криста_Таблица</vt:lpstr>
      <vt:lpstr>Рейтинг!Область_печати</vt:lpstr>
      <vt:lpstr>'1. Среднесрочное финансовое пла'!ОбластьИмпорта</vt:lpstr>
      <vt:lpstr>'2. Исп местн бюдж в части доход'!ОбластьИмпорта</vt:lpstr>
      <vt:lpstr>'3. Исп мест бюджета в ч расх'!ОбластьИмпорта</vt:lpstr>
      <vt:lpstr>'4. Учет и отчетность'!ОбластьИмпорта</vt:lpstr>
      <vt:lpstr>'5. Контроль и аудит'!ОбластьИмпорта</vt:lpstr>
      <vt:lpstr>'6. Кадровый потенциал сотруд'!ОбластьИмпорта</vt:lpstr>
      <vt:lpstr>Итог!ОбластьИмпорта</vt:lpstr>
      <vt:lpstr>Рейтинг!ОбластьИмпорта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Балабанова Татьяна Георгиевна</dc:creator>
  <cp:lastModifiedBy>Чулков Александр Сергеевич</cp:lastModifiedBy>
  <cp:lastPrinted>2018-05-11T07:01:47Z</cp:lastPrinted>
  <dcterms:created xsi:type="dcterms:W3CDTF">2012-04-25T03:36:51Z</dcterms:created>
  <dcterms:modified xsi:type="dcterms:W3CDTF">2018-05-11T07:40:51Z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C:\Program Files (x86)\Krista\FM\Krista.FM.Client\Workplace\TasksDocuments\126_186_ИТОГОВАЯ ОЦЕНКА.xlsx</vt:lpwstr>
  </property>
  <property fmtid="{D5CDD505-2E9C-101B-9397-08002B2CF9AE}" pid="3" name="PlanningSheetType">
    <vt:lpwstr>0</vt:lpwstr>
  </property>
  <property fmtid="{D5CDD505-2E9C-101B-9397-08002B2CF9AE}" pid="4" name="ProcessedWithRenamer">
    <vt:lpwstr>true</vt:lpwstr>
  </property>
  <property fmtid="{D5CDD505-2E9C-101B-9397-08002B2CF9AE}" pid="5" name="fm.DocumentName">
    <vt:lpwstr>ИТОГОВАЯ ОЦЕНКА</vt:lpwstr>
  </property>
  <property fmtid="{D5CDD505-2E9C-101B-9397-08002B2CF9AE}" pid="6" name="fm.DocumentId">
    <vt:lpwstr>186</vt:lpwstr>
  </property>
  <property fmtid="{D5CDD505-2E9C-101B-9397-08002B2CF9AE}" pid="7" name="fm.TaskName">
    <vt:lpwstr>Отдел сводного планирования</vt:lpwstr>
  </property>
  <property fmtid="{D5CDD505-2E9C-101B-9397-08002B2CF9AE}" pid="8" name="fm.TaskId">
    <vt:lpwstr>126</vt:lpwstr>
  </property>
  <property fmtid="{D5CDD505-2E9C-101B-9397-08002B2CF9AE}" pid="9" name="fm.Owner">
    <vt:lpwstr>DF\AChulkov</vt:lpwstr>
  </property>
  <property fmtid="{D5CDD505-2E9C-101B-9397-08002B2CF9AE}" pid="10" name="fm.DocPath">
    <vt:lpwstr>C:\Program Files (x86)\Krista\FM\Krista.FM.Client\Workplace\TasksDocuments\126_186_ИТОГОВАЯ ОЦЕНКА.xlsx</vt:lpwstr>
  </property>
  <property fmtid="{D5CDD505-2E9C-101B-9397-08002B2CF9AE}" pid="11" name="fm.DocType">
    <vt:lpwstr>0</vt:lpwstr>
  </property>
  <property fmtid="{D5CDD505-2E9C-101B-9397-08002B2CF9AE}" pid="12" name="fm.ConnectionStr">
    <vt:lpwstr>SERVER4:8008</vt:lpwstr>
  </property>
  <property fmtid="{D5CDD505-2E9C-101B-9397-08002B2CF9AE}" pid="13" name="fm.AlterConnection">
    <vt:lpwstr>http://fmserv/Krista.FM.Server.WebServices/PlaningService.asmx</vt:lpwstr>
  </property>
  <property fmtid="{D5CDD505-2E9C-101B-9397-08002B2CF9AE}" pid="14" name="fm.SchemeName">
    <vt:lpwstr>Краснодар ГО</vt:lpwstr>
  </property>
  <property fmtid="{D5CDD505-2E9C-101B-9397-08002B2CF9AE}" pid="15" name="fm.tc.Data.Size">
    <vt:lpwstr>2916</vt:lpwstr>
  </property>
  <property fmtid="{D5CDD505-2E9C-101B-9397-08002B2CF9AE}" pid="16" name="fm.Result.Success">
    <vt:lpwstr>true</vt:lpwstr>
  </property>
  <property fmtid="{D5CDD505-2E9C-101B-9397-08002B2CF9AE}" pid="17" name="fm.Result.Message">
    <vt:lpwstr/>
  </property>
</Properties>
</file>