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8700" activeTab="7"/>
  </bookViews>
  <sheets>
    <sheet name="Смета" sheetId="1" r:id="rId1"/>
    <sheet name="Таблица зп" sheetId="2" r:id="rId2"/>
    <sheet name="февраль" sheetId="3" r:id="rId3"/>
    <sheet name="март" sheetId="4" r:id="rId4"/>
    <sheet name="Лист1" sheetId="5" r:id="rId5"/>
    <sheet name="Смета 2015" sheetId="6" r:id="rId6"/>
    <sheet name="Лист2" sheetId="7" r:id="rId7"/>
    <sheet name="2016" sheetId="8" r:id="rId8"/>
  </sheets>
  <definedNames>
    <definedName name="OLE_LINK1" localSheetId="0">'Смета'!#REF!</definedName>
    <definedName name="t" localSheetId="3">'март'!$B$219</definedName>
  </definedNames>
  <calcPr fullCalcOnLoad="1"/>
</workbook>
</file>

<file path=xl/sharedStrings.xml><?xml version="1.0" encoding="utf-8"?>
<sst xmlns="http://schemas.openxmlformats.org/spreadsheetml/2006/main" count="604" uniqueCount="237">
  <si>
    <t>Доходы</t>
  </si>
  <si>
    <t>Возмещение от содержания жилых помещений:</t>
  </si>
  <si>
    <t>Возмещение от содержания нежилых помещений:</t>
  </si>
  <si>
    <t>ИТОГО:</t>
  </si>
  <si>
    <t>Административно-управленческие расходы:</t>
  </si>
  <si>
    <t>Фонд оплаты труда административно-управленческого персонала</t>
  </si>
  <si>
    <t>Налоги ( УСН+ Природопользование)</t>
  </si>
  <si>
    <t>Услуги связи</t>
  </si>
  <si>
    <t>Канцелярские расходы</t>
  </si>
  <si>
    <t>Банковское и расчетно-кассовое обслуживание</t>
  </si>
  <si>
    <t>Приобретение о обслуживание оргтехники</t>
  </si>
  <si>
    <t>Прочие расходы</t>
  </si>
  <si>
    <t>Расходы по техническому обслуживанию, содержанию и ремонтам</t>
  </si>
  <si>
    <t>Фонд оплаты труда обслуживающего персонала</t>
  </si>
  <si>
    <t>Опрессовка</t>
  </si>
  <si>
    <t>Непредвиденные расходы</t>
  </si>
  <si>
    <t>ВСЕГО РАСХОДОВ:</t>
  </si>
  <si>
    <t>Доходы от сдачи в аренду МОП</t>
  </si>
  <si>
    <t>Обучение и повышение квалификации персонала</t>
  </si>
  <si>
    <t>Фонд оплаты труда по договорам оказания услуг</t>
  </si>
  <si>
    <t>Обслуживание компьютерных программ</t>
  </si>
  <si>
    <t>Шлагбаум</t>
  </si>
  <si>
    <t>Деньги "Авроры"</t>
  </si>
  <si>
    <t>Страхование, госпошлины. Почтовые услуги</t>
  </si>
  <si>
    <t>Хозяйственные принадлежности и моющие средства</t>
  </si>
  <si>
    <t>Информационное обслуживание</t>
  </si>
  <si>
    <t>РАСХОДЫ:</t>
  </si>
  <si>
    <t xml:space="preserve">          на 2012 год.</t>
  </si>
  <si>
    <t>Начисления ФОТ 30,2%</t>
  </si>
  <si>
    <t>Ремонт водомерных узлов (8дом), замена труб ХВС,ГВС(6 дом)</t>
  </si>
  <si>
    <t>Благоустройство и озеленение жилого комплекса</t>
  </si>
  <si>
    <t>Доходы внешних арендаторов</t>
  </si>
  <si>
    <t>ВСЕГО ДОХОДОВ:</t>
  </si>
  <si>
    <t>Пожарная декларация</t>
  </si>
  <si>
    <t xml:space="preserve"> ( 399 тыс.руб.-деньги "Авроры", 600 тыс.руб - неосвоенные средства </t>
  </si>
  <si>
    <t>Остаток нераспределенных  доходов</t>
  </si>
  <si>
    <t>Техническое обслуживание теплосчетчиков</t>
  </si>
  <si>
    <t>Срочный ремонт систем коммуникаций</t>
  </si>
  <si>
    <t>Текущий ремонт и обслуживание МОП</t>
  </si>
  <si>
    <t>Экономия сметы 2011 года</t>
  </si>
  <si>
    <t xml:space="preserve">Смета доходов и расходов по ТСЖ "СВЕТЛАНА"  </t>
  </si>
  <si>
    <t>Экспертиза вентканалов электрооборудования</t>
  </si>
  <si>
    <t>ШТАТНЫЕ ЕДИНИЦЫ</t>
  </si>
  <si>
    <t>Председатель</t>
  </si>
  <si>
    <t>Заместитель председателя</t>
  </si>
  <si>
    <t>Бухгалтер</t>
  </si>
  <si>
    <t>Паспортист</t>
  </si>
  <si>
    <t>Озеленитель</t>
  </si>
  <si>
    <t>Электрик</t>
  </si>
  <si>
    <t>Сантехник</t>
  </si>
  <si>
    <t>Всего:</t>
  </si>
  <si>
    <t>Уборщик  6 подъездов</t>
  </si>
  <si>
    <t>ДОГОВОРНИКИ</t>
  </si>
  <si>
    <t>Юрист</t>
  </si>
  <si>
    <t>Дворник</t>
  </si>
  <si>
    <t>Уборщик цоколей</t>
  </si>
  <si>
    <t>Оклад по 30,06,12</t>
  </si>
  <si>
    <t>Оклад с 01,07,12</t>
  </si>
  <si>
    <t>За год</t>
  </si>
  <si>
    <t>Отпускные</t>
  </si>
  <si>
    <t>Уборщик   4 подъезда</t>
  </si>
  <si>
    <t>Итого:</t>
  </si>
  <si>
    <t>Возмещение ущерба по судебному иску</t>
  </si>
  <si>
    <t>Утверждено</t>
  </si>
  <si>
    <t>общим собранием</t>
  </si>
  <si>
    <t>членом ТСЖ "Светлана"</t>
  </si>
  <si>
    <t>"     " ________________2012 года.</t>
  </si>
  <si>
    <t xml:space="preserve">  - Ремонт межпанельных швов</t>
  </si>
  <si>
    <t xml:space="preserve">  - Ямочный ремонт</t>
  </si>
  <si>
    <t xml:space="preserve">  - Замена водомерного узла </t>
  </si>
  <si>
    <t xml:space="preserve">  - Ремонт крыши</t>
  </si>
  <si>
    <t>Проверка внутредомовых газопроводов на гермитичность</t>
  </si>
  <si>
    <t>Остаток</t>
  </si>
  <si>
    <t>за январь</t>
  </si>
  <si>
    <t>Расход за янв</t>
  </si>
  <si>
    <t>начислено</t>
  </si>
  <si>
    <t>получено</t>
  </si>
  <si>
    <t>в январе</t>
  </si>
  <si>
    <t>Еврошоп- 11520, материалы-1960, Хижняк-3000</t>
  </si>
  <si>
    <t>Праздник-6400, доставка материалов 250</t>
  </si>
  <si>
    <t>материалы</t>
  </si>
  <si>
    <t>за февраль</t>
  </si>
  <si>
    <t>в феврале</t>
  </si>
  <si>
    <t>Расход за фев</t>
  </si>
  <si>
    <t>4000-Хижняк</t>
  </si>
  <si>
    <t>Расходы по вывозу ТБО</t>
  </si>
  <si>
    <t>Расходы по содержанию и обслуживанию лифтов</t>
  </si>
  <si>
    <t xml:space="preserve">Аудит </t>
  </si>
  <si>
    <t>Проф.чистка канализ. Труб</t>
  </si>
  <si>
    <t>Расходы по канализированию для ОДН</t>
  </si>
  <si>
    <t>Проверка внутредомовых газопроводов на герметичность</t>
  </si>
  <si>
    <t>Содержание и обслуживание МОП</t>
  </si>
  <si>
    <t xml:space="preserve">  - Прочие работы по ремонту и содержанию МОП</t>
  </si>
  <si>
    <t>Расчет тарифа МОП для жил. Помещений: S(ж) =29302,77</t>
  </si>
  <si>
    <t>6мес*(8,5+3,09)=2037718 руб.</t>
  </si>
  <si>
    <t>ИТОГО за 2013 г.</t>
  </si>
  <si>
    <t>4 339 156 руб.</t>
  </si>
  <si>
    <t>Расчет тарифа МОП для нежил. Помещений: S(ж) =2234,91</t>
  </si>
  <si>
    <t>6мес*(17+3,09)=269 396 руб.</t>
  </si>
  <si>
    <t>6мес*(10+3,09)=2301441 руб.</t>
  </si>
  <si>
    <t>6мес*(20+3,09)=309 624 руб.</t>
  </si>
  <si>
    <t>579020 руб.</t>
  </si>
  <si>
    <t xml:space="preserve"> ТСЖ "Светлана"</t>
  </si>
  <si>
    <t xml:space="preserve">Приложение №3 к протоколу Правления от </t>
  </si>
  <si>
    <t>"     "  июня 2014 года.</t>
  </si>
  <si>
    <t xml:space="preserve">          на 2014 год.</t>
  </si>
  <si>
    <t>Неизрасходованные средства по смете 2013 года</t>
  </si>
  <si>
    <t>Фонд оплаты труда  сотрудников</t>
  </si>
  <si>
    <t>16.1</t>
  </si>
  <si>
    <t>16.2</t>
  </si>
  <si>
    <t>16.3</t>
  </si>
  <si>
    <t>16,4</t>
  </si>
  <si>
    <t>16,5</t>
  </si>
  <si>
    <t>16,6</t>
  </si>
  <si>
    <t>16,7</t>
  </si>
  <si>
    <t>16,8</t>
  </si>
  <si>
    <t>Израсходов.</t>
  </si>
  <si>
    <t>янв</t>
  </si>
  <si>
    <t>фев</t>
  </si>
  <si>
    <t>март</t>
  </si>
  <si>
    <t>апр</t>
  </si>
  <si>
    <t>май</t>
  </si>
  <si>
    <t>июнь</t>
  </si>
  <si>
    <t>июль</t>
  </si>
  <si>
    <t>август</t>
  </si>
  <si>
    <t>сентябрь</t>
  </si>
  <si>
    <t xml:space="preserve">  -Замена полов в кабинах лифтов на аллюминиевые</t>
  </si>
  <si>
    <t xml:space="preserve">  - Асфальтирование отмостки 81/2,тротуара</t>
  </si>
  <si>
    <t xml:space="preserve">  - Ремонт кровли 81/3</t>
  </si>
  <si>
    <t xml:space="preserve">  - Ремонт кровли 81/8</t>
  </si>
  <si>
    <t xml:space="preserve">  - Ремонт кровли прочий</t>
  </si>
  <si>
    <t xml:space="preserve">  - Поверка приборов учета теплоузла81/2,81/3,81/6,81/8</t>
  </si>
  <si>
    <t>16,9</t>
  </si>
  <si>
    <t xml:space="preserve">  - Ремонт канализационной системы цок 81/2</t>
  </si>
  <si>
    <t>16.10</t>
  </si>
  <si>
    <t xml:space="preserve">  - Замена и установка 28 урн</t>
  </si>
  <si>
    <t>16.11</t>
  </si>
  <si>
    <t xml:space="preserve">  - Замена колотой плитки и порожков</t>
  </si>
  <si>
    <t xml:space="preserve">  - Ремонт защитных коробов</t>
  </si>
  <si>
    <t>Проведение детских праздников</t>
  </si>
  <si>
    <t>Противопожарные мероприятия</t>
  </si>
  <si>
    <t>Изготовление и установка ограждающих столбиков</t>
  </si>
  <si>
    <t>октябрь</t>
  </si>
  <si>
    <t>ноябрь</t>
  </si>
  <si>
    <t>декабрь</t>
  </si>
  <si>
    <t>ИТОГО</t>
  </si>
  <si>
    <t>16.12</t>
  </si>
  <si>
    <t xml:space="preserve">  - Косметический ремонт цок 81/3</t>
  </si>
  <si>
    <t>поступило</t>
  </si>
  <si>
    <t>81/2 цоколь</t>
  </si>
  <si>
    <t>16.13</t>
  </si>
  <si>
    <t xml:space="preserve">  - Ремонт кровли в ж/д 81/6</t>
  </si>
  <si>
    <t>16.14</t>
  </si>
  <si>
    <t xml:space="preserve">  - Ремонт в цоколе 81/2</t>
  </si>
  <si>
    <t>21174,91 списание по судам</t>
  </si>
  <si>
    <t xml:space="preserve">Пеня </t>
  </si>
  <si>
    <t>Фактически:</t>
  </si>
  <si>
    <t>"24"  июня 2014 года.</t>
  </si>
  <si>
    <t xml:space="preserve">          на 2015 год.</t>
  </si>
  <si>
    <t>Расходы по договорам гражданско-павового характера</t>
  </si>
  <si>
    <t>Обязательная покупка СИЗ для рабочих специальностей</t>
  </si>
  <si>
    <t xml:space="preserve">  - Асфальтирование отмостки 81/3,тротуара</t>
  </si>
  <si>
    <t>Освидельствование и страхование лифтов</t>
  </si>
  <si>
    <t>Ремонт дворовых скамеек</t>
  </si>
  <si>
    <t>Обслуживание шлагбаума</t>
  </si>
  <si>
    <t xml:space="preserve">  - Ремонт кровли в ж/д 81/3, 2 подъезд</t>
  </si>
  <si>
    <t xml:space="preserve">  - Ремонт защитных коробов 81/3,81/6</t>
  </si>
  <si>
    <t xml:space="preserve">  - Устройство подсобного помещения в цоколе 81/2</t>
  </si>
  <si>
    <t>Специальная оценка условий труда</t>
  </si>
  <si>
    <t xml:space="preserve">  - Приобретение и замена запорной арматуры для отопления и ХВС</t>
  </si>
  <si>
    <t>Субсидия на отмостку ж/д 81/1</t>
  </si>
  <si>
    <t>Неизрасходованные средства по смете 2014 года</t>
  </si>
  <si>
    <t>ТБО: 2,19</t>
  </si>
  <si>
    <t>Лифт: 1,08</t>
  </si>
  <si>
    <t>итого</t>
  </si>
  <si>
    <t>январь</t>
  </si>
  <si>
    <t>февраль</t>
  </si>
  <si>
    <t>сент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</si>
  <si>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</si>
  <si>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</si>
  <si>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</si>
  <si>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</si>
  <si>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</si>
  <si>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</si>
  <si>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</si>
  <si>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</si>
  <si>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</si>
  <si>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19.10.</t>
  </si>
  <si>
    <t>19.11.</t>
  </si>
  <si>
    <t>19.12</t>
  </si>
  <si>
    <t xml:space="preserve">  - Ремонт кровли в ж/д 81/2,1,2 п</t>
  </si>
  <si>
    <t>Аварийная прочистка канализации</t>
  </si>
  <si>
    <t>Техпаспорт БТИ</t>
  </si>
  <si>
    <t xml:space="preserve">  - Косметический ремонт в цоколе 81/3</t>
  </si>
  <si>
    <t>19.13</t>
  </si>
  <si>
    <t xml:space="preserve">  - Косметический ремонт в тамбурах ж/ж 81/2,81/6</t>
  </si>
  <si>
    <t>19.14</t>
  </si>
  <si>
    <t xml:space="preserve">  - Косметический ремонт 1 этажей всех подъездов</t>
  </si>
  <si>
    <t xml:space="preserve">Утверждено </t>
  </si>
  <si>
    <t>Общим собранием собственников</t>
  </si>
  <si>
    <t>ТСЖ "Светлана" от 23.06.2015 г.</t>
  </si>
  <si>
    <t>Приложение № 3</t>
  </si>
  <si>
    <t xml:space="preserve">  - Плановая прочистка ливневой канализации</t>
  </si>
  <si>
    <t xml:space="preserve">  - Плановая прочистка фекальной канализации</t>
  </si>
  <si>
    <t xml:space="preserve">  - Ремонт кровли 81/1, 81/8, 2 подъезд</t>
  </si>
  <si>
    <t xml:space="preserve">  - Замена вводной трубы от колодца до теплоузла 81/2,81/3</t>
  </si>
  <si>
    <t>Замена аварийных участков канализационных труб 81/3</t>
  </si>
  <si>
    <t>Тариф на жилые помещения: 10 руб/кв.м.</t>
  </si>
  <si>
    <t>Тариф на нежилые помещения: 20 руб/кв.м.</t>
  </si>
  <si>
    <t xml:space="preserve">          на 2016 год.</t>
  </si>
  <si>
    <t>Неизрасходованные средства по смете 2015 года</t>
  </si>
  <si>
    <t>ТБО: 2,37</t>
  </si>
  <si>
    <t>Лифт: 1,00</t>
  </si>
  <si>
    <t>Тариф на жилые помещения: 12 руб/кв.м.</t>
  </si>
  <si>
    <t>Тариф на нежилые помещения: 24 руб/кв.м.</t>
  </si>
  <si>
    <t>Асфальтировка отмостки 81/9</t>
  </si>
  <si>
    <t xml:space="preserve">Асфальтировка отмостки 81/8 </t>
  </si>
  <si>
    <t>Ремонт кровли 81/6, 1п</t>
  </si>
  <si>
    <t>Ремонт кровли в ж/д 81/3, 2 подъезд</t>
  </si>
  <si>
    <t>Ремонт кровли 81/2,  подъезд</t>
  </si>
  <si>
    <t>Прочие работы по ремонту и содержанию МОП</t>
  </si>
  <si>
    <t>Замена участка стока ливневых вод 81/3, 2 п</t>
  </si>
  <si>
    <t>Плановая прочистка фекальной канализации весна, осень</t>
  </si>
  <si>
    <t>Приобретение и замена запорной арматуры для отопления и ХВС</t>
  </si>
  <si>
    <t>Плановая прочистка ливневой канализации весна, осень</t>
  </si>
  <si>
    <t>Организация приямка и установка насоса  для откачки грунт вод 81/3,81/8</t>
  </si>
  <si>
    <t xml:space="preserve">Косметический ремонт в тамбурах  </t>
  </si>
  <si>
    <t xml:space="preserve">Замена участка водопроводной сети 81/8 </t>
  </si>
  <si>
    <t>Косметический ремонт 1 этажей всех подъездов</t>
  </si>
  <si>
    <t xml:space="preserve">Установка дворовых скамеек 11 шт </t>
  </si>
  <si>
    <t xml:space="preserve">Приобртение и установка уличных урн  28 шт  </t>
  </si>
  <si>
    <t>Поверка приборов учета теплоузла81/1,81/9</t>
  </si>
  <si>
    <t>Электроиспытание оборудования в МОП</t>
  </si>
  <si>
    <t xml:space="preserve">Проект сметы доходов и расходов по ТСЖ "СВЕТЛАНА"  </t>
  </si>
  <si>
    <t xml:space="preserve">Экспертиза вентканалов </t>
  </si>
  <si>
    <t>Общим собранием</t>
  </si>
  <si>
    <t>членов ТСЖ "Светлана" от 30.06.2016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</si>
</sst>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000"/>
    <numFmt numFmtId="173" formatCode="0.000000"/>
  </numFmts>
  <fonts count="5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4" fillId="8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9" borderId="0" xfId="0" applyFill="1" applyAlignment="1">
      <alignment/>
    </xf>
    <xf numFmtId="1" fontId="7" fillId="34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164" fontId="7" fillId="35" borderId="0" xfId="0" applyNumberFormat="1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left" vertical="center"/>
    </xf>
    <xf numFmtId="0" fontId="0" fillId="15" borderId="0" xfId="0" applyFill="1" applyBorder="1" applyAlignment="1">
      <alignment/>
    </xf>
    <xf numFmtId="0" fontId="0" fillId="15" borderId="0" xfId="0" applyFill="1" applyAlignment="1">
      <alignment/>
    </xf>
    <xf numFmtId="2" fontId="0" fillId="15" borderId="0" xfId="0" applyNumberFormat="1" applyFill="1" applyAlignment="1">
      <alignment/>
    </xf>
    <xf numFmtId="0" fontId="7" fillId="9" borderId="0" xfId="0" applyFont="1" applyFill="1" applyBorder="1" applyAlignment="1">
      <alignment horizontal="left" vertical="center"/>
    </xf>
    <xf numFmtId="2" fontId="0" fillId="9" borderId="0" xfId="0" applyNumberFormat="1" applyFill="1" applyAlignment="1">
      <alignment/>
    </xf>
    <xf numFmtId="2" fontId="4" fillId="34" borderId="0" xfId="0" applyNumberFormat="1" applyFont="1" applyFill="1" applyAlignment="1">
      <alignment/>
    </xf>
    <xf numFmtId="2" fontId="4" fillId="8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34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5" fontId="0" fillId="0" borderId="15" xfId="0" applyNumberFormat="1" applyBorder="1" applyAlignment="1">
      <alignment/>
    </xf>
    <xf numFmtId="0" fontId="8" fillId="0" borderId="0" xfId="0" applyFont="1" applyBorder="1" applyAlignment="1">
      <alignment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2" fontId="9" fillId="37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Alignment="1">
      <alignment horizontal="left"/>
    </xf>
    <xf numFmtId="164" fontId="9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13" borderId="0" xfId="0" applyFont="1" applyFill="1" applyAlignment="1">
      <alignment/>
    </xf>
    <xf numFmtId="0" fontId="9" fillId="13" borderId="0" xfId="0" applyFont="1" applyFill="1" applyBorder="1" applyAlignment="1">
      <alignment/>
    </xf>
    <xf numFmtId="0" fontId="12" fillId="13" borderId="0" xfId="0" applyFont="1" applyFill="1" applyBorder="1" applyAlignment="1">
      <alignment horizontal="left" vertical="center"/>
    </xf>
    <xf numFmtId="0" fontId="9" fillId="13" borderId="0" xfId="0" applyFont="1" applyFill="1" applyAlignment="1">
      <alignment horizontal="right"/>
    </xf>
    <xf numFmtId="49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9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0" fillId="0" borderId="33" xfId="0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9" fillId="8" borderId="29" xfId="0" applyFont="1" applyFill="1" applyBorder="1" applyAlignment="1">
      <alignment/>
    </xf>
    <xf numFmtId="0" fontId="1" fillId="8" borderId="34" xfId="0" applyFont="1" applyFill="1" applyBorder="1" applyAlignment="1">
      <alignment/>
    </xf>
    <xf numFmtId="2" fontId="9" fillId="8" borderId="34" xfId="0" applyNumberFormat="1" applyFont="1" applyFill="1" applyBorder="1" applyAlignment="1">
      <alignment/>
    </xf>
    <xf numFmtId="164" fontId="7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9" fillId="14" borderId="29" xfId="0" applyFont="1" applyFill="1" applyBorder="1" applyAlignment="1">
      <alignment/>
    </xf>
    <xf numFmtId="0" fontId="1" fillId="14" borderId="34" xfId="0" applyFont="1" applyFill="1" applyBorder="1" applyAlignment="1">
      <alignment/>
    </xf>
    <xf numFmtId="2" fontId="9" fillId="14" borderId="34" xfId="0" applyNumberFormat="1" applyFont="1" applyFill="1" applyBorder="1" applyAlignment="1">
      <alignment/>
    </xf>
    <xf numFmtId="0" fontId="9" fillId="8" borderId="40" xfId="0" applyFont="1" applyFill="1" applyBorder="1" applyAlignment="1">
      <alignment/>
    </xf>
    <xf numFmtId="164" fontId="9" fillId="8" borderId="40" xfId="0" applyNumberFormat="1" applyFont="1" applyFill="1" applyBorder="1" applyAlignment="1">
      <alignment/>
    </xf>
    <xf numFmtId="0" fontId="0" fillId="0" borderId="41" xfId="0" applyBorder="1" applyAlignment="1">
      <alignment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46" xfId="0" applyFont="1" applyBorder="1" applyAlignment="1">
      <alignment/>
    </xf>
    <xf numFmtId="0" fontId="0" fillId="0" borderId="47" xfId="0" applyBorder="1" applyAlignment="1">
      <alignment/>
    </xf>
    <xf numFmtId="164" fontId="0" fillId="0" borderId="44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5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1" fontId="9" fillId="0" borderId="0" xfId="0" applyNumberFormat="1" applyFont="1" applyFill="1" applyAlignment="1">
      <alignment/>
    </xf>
    <xf numFmtId="164" fontId="0" fillId="0" borderId="0" xfId="0" applyNumberFormat="1" applyBorder="1" applyAlignment="1">
      <alignment/>
    </xf>
    <xf numFmtId="165" fontId="14" fillId="0" borderId="17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15" fillId="0" borderId="0" xfId="0" applyNumberFormat="1" applyFont="1" applyBorder="1" applyAlignment="1">
      <alignment horizontal="right" vertical="center"/>
    </xf>
    <xf numFmtId="0" fontId="16" fillId="13" borderId="0" xfId="0" applyFont="1" applyFill="1" applyBorder="1" applyAlignment="1">
      <alignment horizontal="left" vertical="center"/>
    </xf>
    <xf numFmtId="0" fontId="0" fillId="13" borderId="0" xfId="0" applyFont="1" applyFill="1" applyAlignment="1">
      <alignment/>
    </xf>
    <xf numFmtId="0" fontId="5" fillId="1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13" borderId="0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0" fontId="0" fillId="37" borderId="0" xfId="0" applyFont="1" applyFill="1" applyAlignment="1">
      <alignment/>
    </xf>
    <xf numFmtId="2" fontId="5" fillId="37" borderId="0" xfId="0" applyNumberFormat="1" applyFont="1" applyFill="1" applyBorder="1" applyAlignment="1">
      <alignment/>
    </xf>
    <xf numFmtId="164" fontId="5" fillId="8" borderId="4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8" borderId="29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0" fontId="5" fillId="8" borderId="4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2" fontId="5" fillId="8" borderId="34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14" borderId="29" xfId="0" applyFont="1" applyFill="1" applyBorder="1" applyAlignment="1">
      <alignment/>
    </xf>
    <xf numFmtId="0" fontId="0" fillId="14" borderId="34" xfId="0" applyFont="1" applyFill="1" applyBorder="1" applyAlignment="1">
      <alignment/>
    </xf>
    <xf numFmtId="2" fontId="5" fillId="14" borderId="34" xfId="0" applyNumberFormat="1" applyFont="1" applyFill="1" applyBorder="1" applyAlignment="1">
      <alignment/>
    </xf>
    <xf numFmtId="164" fontId="9" fillId="8" borderId="34" xfId="0" applyNumberFormat="1" applyFont="1" applyFill="1" applyBorder="1" applyAlignment="1">
      <alignment/>
    </xf>
    <xf numFmtId="0" fontId="9" fillId="8" borderId="3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5" fillId="0" borderId="0" xfId="0" applyFont="1" applyAlignment="1">
      <alignment horizontal="center"/>
    </xf>
    <xf numFmtId="2" fontId="0" fillId="0" borderId="41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2" fontId="0" fillId="0" borderId="5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0" fontId="9" fillId="0" borderId="34" xfId="0" applyFont="1" applyFill="1" applyBorder="1" applyAlignment="1">
      <alignment/>
    </xf>
    <xf numFmtId="49" fontId="5" fillId="0" borderId="62" xfId="0" applyNumberFormat="1" applyFont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 horizontal="left"/>
    </xf>
    <xf numFmtId="0" fontId="0" fillId="0" borderId="63" xfId="0" applyFill="1" applyBorder="1" applyAlignment="1">
      <alignment/>
    </xf>
    <xf numFmtId="0" fontId="1" fillId="0" borderId="63" xfId="0" applyFont="1" applyFill="1" applyBorder="1" applyAlignment="1">
      <alignment horizontal="left"/>
    </xf>
    <xf numFmtId="49" fontId="5" fillId="0" borderId="3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0" fontId="0" fillId="0" borderId="64" xfId="0" applyFont="1" applyFill="1" applyBorder="1" applyAlignment="1">
      <alignment/>
    </xf>
    <xf numFmtId="0" fontId="0" fillId="0" borderId="64" xfId="0" applyFont="1" applyFill="1" applyBorder="1" applyAlignment="1">
      <alignment horizontal="left"/>
    </xf>
    <xf numFmtId="0" fontId="0" fillId="0" borderId="64" xfId="0" applyFill="1" applyBorder="1" applyAlignment="1">
      <alignment/>
    </xf>
    <xf numFmtId="0" fontId="1" fillId="0" borderId="64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33" xfId="0" applyFont="1" applyBorder="1" applyAlignment="1">
      <alignment/>
    </xf>
    <xf numFmtId="0" fontId="0" fillId="34" borderId="2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6" xfId="0" applyFill="1" applyBorder="1" applyAlignment="1">
      <alignment/>
    </xf>
    <xf numFmtId="0" fontId="5" fillId="36" borderId="2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8" borderId="29" xfId="0" applyFont="1" applyFill="1" applyBorder="1" applyAlignment="1">
      <alignment horizontal="left"/>
    </xf>
    <xf numFmtId="0" fontId="9" fillId="8" borderId="34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8" borderId="29" xfId="0" applyFont="1" applyFill="1" applyBorder="1" applyAlignment="1">
      <alignment horizontal="left"/>
    </xf>
    <xf numFmtId="0" fontId="5" fillId="8" borderId="34" xfId="0" applyFont="1" applyFill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3">
      <selection activeCell="K18" sqref="K18"/>
    </sheetView>
  </sheetViews>
  <sheetFormatPr defaultColWidth="9.00390625" defaultRowHeight="12.75"/>
  <cols>
    <col min="1" max="1" width="2.25390625" style="0" customWidth="1"/>
    <col min="8" max="8" width="4.75390625" style="0" customWidth="1"/>
    <col min="9" max="9" width="10.25390625" style="0" customWidth="1"/>
    <col min="11" max="11" width="14.375" style="0" customWidth="1"/>
    <col min="12" max="12" width="15.625" style="0" customWidth="1"/>
  </cols>
  <sheetData>
    <row r="1" ht="12.75">
      <c r="F1" t="s">
        <v>63</v>
      </c>
    </row>
    <row r="2" ht="12.75">
      <c r="F2" t="s">
        <v>64</v>
      </c>
    </row>
    <row r="3" ht="12.75">
      <c r="F3" t="s">
        <v>65</v>
      </c>
    </row>
    <row r="4" ht="12.75">
      <c r="F4" t="s">
        <v>66</v>
      </c>
    </row>
    <row r="7" spans="2:12" ht="18">
      <c r="B7" s="1" t="s">
        <v>40</v>
      </c>
      <c r="C7" s="1"/>
      <c r="D7" s="1"/>
      <c r="E7" s="1"/>
      <c r="F7" s="1"/>
      <c r="K7" s="37" t="s">
        <v>75</v>
      </c>
      <c r="L7" s="37" t="s">
        <v>76</v>
      </c>
    </row>
    <row r="8" spans="2:12" ht="18">
      <c r="B8" s="1"/>
      <c r="C8" s="1" t="s">
        <v>27</v>
      </c>
      <c r="D8" s="1"/>
      <c r="E8" s="1"/>
      <c r="F8" s="1"/>
      <c r="K8" s="37" t="s">
        <v>73</v>
      </c>
      <c r="L8" s="37" t="s">
        <v>77</v>
      </c>
    </row>
    <row r="9" spans="11:12" ht="12.75">
      <c r="K9" s="37"/>
      <c r="L9" s="37"/>
    </row>
    <row r="10" spans="2:12" ht="16.5" customHeight="1">
      <c r="B10" s="3" t="s">
        <v>35</v>
      </c>
      <c r="C10" s="11"/>
      <c r="K10" s="37"/>
      <c r="L10" s="37"/>
    </row>
    <row r="11" spans="2:12" ht="15.75">
      <c r="B11" s="9" t="s">
        <v>21</v>
      </c>
      <c r="C11" s="10"/>
      <c r="I11" s="24">
        <v>199</v>
      </c>
      <c r="K11" s="47"/>
      <c r="L11" s="37"/>
    </row>
    <row r="12" spans="2:12" ht="15.75">
      <c r="B12" s="28" t="s">
        <v>22</v>
      </c>
      <c r="C12" s="29"/>
      <c r="D12" s="30"/>
      <c r="E12" s="30"/>
      <c r="F12" s="30"/>
      <c r="G12" s="31"/>
      <c r="H12" s="30"/>
      <c r="I12" s="31">
        <f>(399000-2457.88-5027.42-6208.31)/1000</f>
        <v>385.30639</v>
      </c>
      <c r="J12" s="22"/>
      <c r="K12" s="48"/>
      <c r="L12" s="37"/>
    </row>
    <row r="13" spans="2:12" ht="15.75">
      <c r="B13" t="s">
        <v>39</v>
      </c>
      <c r="I13" s="46">
        <v>1241.42</v>
      </c>
      <c r="K13" s="49"/>
      <c r="L13" s="37"/>
    </row>
    <row r="14" spans="2:12" ht="15.75">
      <c r="B14" s="12" t="s">
        <v>3</v>
      </c>
      <c r="C14" s="13"/>
      <c r="D14" s="13"/>
      <c r="E14" s="13"/>
      <c r="F14" s="13"/>
      <c r="G14" s="13"/>
      <c r="H14" s="13"/>
      <c r="I14" s="25">
        <f>SUM(I11:I13)</f>
        <v>1825.72639</v>
      </c>
      <c r="K14" s="50"/>
      <c r="L14" s="51"/>
    </row>
    <row r="15" spans="1:12" ht="15.75">
      <c r="A15" s="2"/>
      <c r="B15" s="3" t="s">
        <v>0</v>
      </c>
      <c r="I15" s="26"/>
      <c r="K15" s="37"/>
      <c r="L15" s="37"/>
    </row>
    <row r="16" spans="2:12" ht="12.75" customHeight="1">
      <c r="B16" t="s">
        <v>1</v>
      </c>
      <c r="I16" s="8">
        <f>28934.11*8.5*12/1000</f>
        <v>2951.27922</v>
      </c>
      <c r="K16" s="281">
        <v>287394.57</v>
      </c>
      <c r="L16" s="281">
        <f>254358/1000</f>
        <v>254.358</v>
      </c>
    </row>
    <row r="17" spans="2:12" ht="15.75">
      <c r="B17" t="s">
        <v>2</v>
      </c>
      <c r="I17" s="8">
        <f>2230.35*17*12/1000</f>
        <v>454.99139999999994</v>
      </c>
      <c r="K17" s="282"/>
      <c r="L17" s="282"/>
    </row>
    <row r="18" spans="2:12" ht="12.75" customHeight="1">
      <c r="B18" t="s">
        <v>17</v>
      </c>
      <c r="I18" s="27">
        <f>(122439+73102+12283+7227)/1000</f>
        <v>215.051</v>
      </c>
      <c r="K18" s="37">
        <f>(12342+6802)/1000</f>
        <v>19.144</v>
      </c>
      <c r="L18" s="37">
        <f>(11108.17+10197.56)/1000</f>
        <v>21.30573</v>
      </c>
    </row>
    <row r="19" spans="2:12" ht="12.75" customHeight="1">
      <c r="B19" t="s">
        <v>31</v>
      </c>
      <c r="I19" s="27">
        <f>501.6-75.24</f>
        <v>426.36</v>
      </c>
      <c r="K19" s="37">
        <v>43.6</v>
      </c>
      <c r="L19" s="37">
        <v>9.6</v>
      </c>
    </row>
    <row r="20" spans="2:12" ht="15.75">
      <c r="B20" s="19" t="s">
        <v>3</v>
      </c>
      <c r="C20" s="19"/>
      <c r="D20" s="19"/>
      <c r="E20" s="19"/>
      <c r="F20" s="19"/>
      <c r="G20" s="19"/>
      <c r="H20" s="19"/>
      <c r="I20" s="35">
        <f>SUM(I16:I19)</f>
        <v>4047.68162</v>
      </c>
      <c r="J20" s="22"/>
      <c r="K20" s="53"/>
      <c r="L20" s="54"/>
    </row>
    <row r="21" spans="2:14" ht="18.75" customHeight="1" thickBot="1">
      <c r="B21" s="14" t="s">
        <v>32</v>
      </c>
      <c r="C21" s="14"/>
      <c r="D21" s="14"/>
      <c r="E21" s="14"/>
      <c r="F21" s="14"/>
      <c r="G21" s="15"/>
      <c r="H21" s="15"/>
      <c r="I21" s="34">
        <f>I20+I14</f>
        <v>5873.40801</v>
      </c>
      <c r="K21" s="55">
        <f>SUM(K16:K20)</f>
        <v>287457.31399999995</v>
      </c>
      <c r="L21" s="54">
        <f>SUM(L16:L20)</f>
        <v>285.26373</v>
      </c>
      <c r="N21" s="36"/>
    </row>
    <row r="22" spans="2:12" ht="4.5" customHeight="1" hidden="1">
      <c r="B22" s="3"/>
      <c r="K22" s="37"/>
      <c r="L22" s="37"/>
    </row>
    <row r="23" spans="2:14" ht="0.75" customHeight="1" hidden="1">
      <c r="B23" s="3"/>
      <c r="I23" s="3"/>
      <c r="K23" s="37"/>
      <c r="L23" s="37"/>
      <c r="N23" t="s">
        <v>34</v>
      </c>
    </row>
    <row r="24" spans="2:12" ht="16.5" thickBot="1">
      <c r="B24" s="3" t="s">
        <v>26</v>
      </c>
      <c r="I24" s="18"/>
      <c r="K24" s="39" t="s">
        <v>72</v>
      </c>
      <c r="L24" s="61" t="s">
        <v>74</v>
      </c>
    </row>
    <row r="25" spans="1:12" ht="15.75">
      <c r="A25" s="6">
        <v>1</v>
      </c>
      <c r="B25" s="3" t="s">
        <v>4</v>
      </c>
      <c r="C25" s="6"/>
      <c r="D25" s="6"/>
      <c r="E25" s="6"/>
      <c r="F25" s="6"/>
      <c r="G25" s="6"/>
      <c r="K25" s="37"/>
      <c r="L25" s="37"/>
    </row>
    <row r="26" spans="2:12" ht="12.75">
      <c r="B26" t="s">
        <v>5</v>
      </c>
      <c r="I26" s="43">
        <v>876</v>
      </c>
      <c r="K26" s="57">
        <f>I26-L26</f>
        <v>811</v>
      </c>
      <c r="L26" s="37">
        <v>65</v>
      </c>
    </row>
    <row r="27" spans="2:12" ht="12.75">
      <c r="B27" t="s">
        <v>28</v>
      </c>
      <c r="I27" s="43">
        <f>I26/100*30.2</f>
        <v>264.55199999999996</v>
      </c>
      <c r="K27" s="57">
        <f aca="true" t="shared" si="0" ref="K27:K36">I27-L27</f>
        <v>244.92199999999997</v>
      </c>
      <c r="L27" s="37">
        <f>L26/100*30.2</f>
        <v>19.63</v>
      </c>
    </row>
    <row r="28" spans="2:12" ht="12.75">
      <c r="B28" t="s">
        <v>6</v>
      </c>
      <c r="I28">
        <v>100</v>
      </c>
      <c r="K28" s="57">
        <f t="shared" si="0"/>
        <v>82.1</v>
      </c>
      <c r="L28" s="37">
        <v>17.9</v>
      </c>
    </row>
    <row r="29" spans="2:12" ht="12.75">
      <c r="B29" t="s">
        <v>7</v>
      </c>
      <c r="I29" s="22">
        <v>30</v>
      </c>
      <c r="K29" s="57">
        <f t="shared" si="0"/>
        <v>27.972</v>
      </c>
      <c r="L29" s="37">
        <v>2.028</v>
      </c>
    </row>
    <row r="30" spans="2:12" ht="12.75">
      <c r="B30" t="s">
        <v>8</v>
      </c>
      <c r="I30">
        <v>15</v>
      </c>
      <c r="K30" s="57">
        <f t="shared" si="0"/>
        <v>15</v>
      </c>
      <c r="L30" s="37"/>
    </row>
    <row r="31" spans="2:12" ht="12.75">
      <c r="B31" t="s">
        <v>20</v>
      </c>
      <c r="I31" s="22">
        <v>20</v>
      </c>
      <c r="K31" s="57">
        <f t="shared" si="0"/>
        <v>15.5</v>
      </c>
      <c r="L31" s="37">
        <v>4.5</v>
      </c>
    </row>
    <row r="32" spans="2:12" ht="12.75">
      <c r="B32" t="s">
        <v>9</v>
      </c>
      <c r="I32">
        <v>20</v>
      </c>
      <c r="K32" s="57">
        <f t="shared" si="0"/>
        <v>18.182</v>
      </c>
      <c r="L32" s="37">
        <v>1.818</v>
      </c>
    </row>
    <row r="33" spans="2:12" ht="12.75">
      <c r="B33" t="s">
        <v>10</v>
      </c>
      <c r="I33">
        <v>15</v>
      </c>
      <c r="K33" s="57">
        <f t="shared" si="0"/>
        <v>14.7</v>
      </c>
      <c r="L33" s="37">
        <v>0.3</v>
      </c>
    </row>
    <row r="34" spans="2:12" ht="12.75">
      <c r="B34" t="s">
        <v>18</v>
      </c>
      <c r="I34">
        <v>10</v>
      </c>
      <c r="K34" s="57">
        <f t="shared" si="0"/>
        <v>10</v>
      </c>
      <c r="L34" s="37"/>
    </row>
    <row r="35" spans="2:12" ht="12.75">
      <c r="B35" t="s">
        <v>25</v>
      </c>
      <c r="I35">
        <v>25</v>
      </c>
      <c r="K35" s="57">
        <f t="shared" si="0"/>
        <v>22.75</v>
      </c>
      <c r="L35" s="37">
        <v>2.25</v>
      </c>
    </row>
    <row r="36" spans="2:12" ht="12.75">
      <c r="B36" t="s">
        <v>11</v>
      </c>
      <c r="I36">
        <v>30</v>
      </c>
      <c r="K36" s="57">
        <f t="shared" si="0"/>
        <v>27.5</v>
      </c>
      <c r="L36" s="37">
        <v>2.5</v>
      </c>
    </row>
    <row r="37" spans="2:12" ht="15.75">
      <c r="B37" s="3" t="s">
        <v>3</v>
      </c>
      <c r="I37" s="18">
        <f>SUM(I26:I36)</f>
        <v>1405.552</v>
      </c>
      <c r="K37" s="58"/>
      <c r="L37" s="59"/>
    </row>
    <row r="38" spans="2:12" ht="15.75">
      <c r="B38" s="3" t="s">
        <v>12</v>
      </c>
      <c r="K38" s="37"/>
      <c r="L38" s="37"/>
    </row>
    <row r="39" spans="1:12" ht="12.75">
      <c r="A39" s="6">
        <v>2</v>
      </c>
      <c r="B39" s="7" t="s">
        <v>19</v>
      </c>
      <c r="C39" s="6"/>
      <c r="D39" s="6"/>
      <c r="E39" s="6"/>
      <c r="F39" s="6"/>
      <c r="G39" s="6"/>
      <c r="H39" s="6"/>
      <c r="I39" s="44">
        <v>350</v>
      </c>
      <c r="K39" s="62">
        <f>I39-L39</f>
        <v>332.241</v>
      </c>
      <c r="L39" s="60">
        <v>17.759</v>
      </c>
    </row>
    <row r="40" spans="2:12" ht="12.75">
      <c r="B40" t="s">
        <v>28</v>
      </c>
      <c r="C40" s="7"/>
      <c r="D40" s="7"/>
      <c r="E40" s="7"/>
      <c r="F40" s="7"/>
      <c r="G40" s="7"/>
      <c r="H40" s="7"/>
      <c r="I40" s="43">
        <f>I39/100*30.2</f>
        <v>105.7</v>
      </c>
      <c r="K40" s="62">
        <f aca="true" t="shared" si="1" ref="K40:K59">I40-L40</f>
        <v>100.336782</v>
      </c>
      <c r="L40" s="52">
        <f>L39/100*30.2</f>
        <v>5.363218</v>
      </c>
    </row>
    <row r="41" spans="2:12" ht="12.75">
      <c r="B41" t="s">
        <v>13</v>
      </c>
      <c r="C41" s="7"/>
      <c r="D41" s="7"/>
      <c r="E41" s="7"/>
      <c r="F41" s="7"/>
      <c r="G41" s="7"/>
      <c r="H41" s="7"/>
      <c r="I41" s="43">
        <v>1222.85</v>
      </c>
      <c r="K41" s="62">
        <f t="shared" si="1"/>
        <v>1143.406</v>
      </c>
      <c r="L41" s="57">
        <v>79.444</v>
      </c>
    </row>
    <row r="42" spans="2:12" ht="12.75">
      <c r="B42" t="s">
        <v>28</v>
      </c>
      <c r="I42" s="36">
        <f>I41/100*30.2</f>
        <v>369.30069999999995</v>
      </c>
      <c r="K42" s="62">
        <f t="shared" si="1"/>
        <v>345.3086119999999</v>
      </c>
      <c r="L42" s="52">
        <f>L41/100*30.2</f>
        <v>23.992088</v>
      </c>
    </row>
    <row r="43" spans="2:14" ht="12.75">
      <c r="B43" t="s">
        <v>23</v>
      </c>
      <c r="I43" s="4">
        <v>25</v>
      </c>
      <c r="K43" s="62">
        <f t="shared" si="1"/>
        <v>24.2</v>
      </c>
      <c r="L43" s="37">
        <v>0.8</v>
      </c>
      <c r="M43" s="36"/>
      <c r="N43" s="4"/>
    </row>
    <row r="44" spans="2:12" ht="12.75">
      <c r="B44" t="s">
        <v>36</v>
      </c>
      <c r="I44">
        <v>50</v>
      </c>
      <c r="K44" s="62">
        <f t="shared" si="1"/>
        <v>46.4</v>
      </c>
      <c r="L44" s="37">
        <v>3.6</v>
      </c>
    </row>
    <row r="45" spans="2:12" ht="12.75">
      <c r="B45" t="s">
        <v>14</v>
      </c>
      <c r="I45">
        <v>60</v>
      </c>
      <c r="K45" s="62">
        <f t="shared" si="1"/>
        <v>60</v>
      </c>
      <c r="L45" s="37"/>
    </row>
    <row r="46" spans="2:13" ht="12.75">
      <c r="B46" t="s">
        <v>37</v>
      </c>
      <c r="I46">
        <v>360</v>
      </c>
      <c r="K46" s="62">
        <f t="shared" si="1"/>
        <v>343.52</v>
      </c>
      <c r="L46" s="37">
        <f>3+1.96+11.52</f>
        <v>16.48</v>
      </c>
      <c r="M46" t="s">
        <v>78</v>
      </c>
    </row>
    <row r="47" spans="2:12" ht="12.75">
      <c r="B47" t="s">
        <v>38</v>
      </c>
      <c r="I47">
        <v>475</v>
      </c>
      <c r="K47" s="62">
        <f t="shared" si="1"/>
        <v>475</v>
      </c>
      <c r="L47" s="37"/>
    </row>
    <row r="48" spans="2:12" ht="12.75">
      <c r="B48" t="s">
        <v>67</v>
      </c>
      <c r="I48">
        <f>105+80</f>
        <v>185</v>
      </c>
      <c r="K48" s="62">
        <f t="shared" si="1"/>
        <v>185</v>
      </c>
      <c r="L48" s="37"/>
    </row>
    <row r="49" spans="2:12" ht="12.75">
      <c r="B49" t="s">
        <v>68</v>
      </c>
      <c r="I49">
        <v>200</v>
      </c>
      <c r="K49" s="62">
        <f t="shared" si="1"/>
        <v>200</v>
      </c>
      <c r="L49" s="37"/>
    </row>
    <row r="50" spans="2:12" ht="12.75">
      <c r="B50" t="s">
        <v>69</v>
      </c>
      <c r="I50">
        <v>39</v>
      </c>
      <c r="K50" s="62">
        <f t="shared" si="1"/>
        <v>39</v>
      </c>
      <c r="L50" s="52"/>
    </row>
    <row r="51" spans="2:12" ht="12.75">
      <c r="B51" t="s">
        <v>70</v>
      </c>
      <c r="I51">
        <v>151</v>
      </c>
      <c r="K51" s="62">
        <f t="shared" si="1"/>
        <v>151</v>
      </c>
      <c r="L51" s="37"/>
    </row>
    <row r="52" spans="2:13" ht="12.75">
      <c r="B52" s="22" t="s">
        <v>29</v>
      </c>
      <c r="C52" s="22"/>
      <c r="D52" s="22"/>
      <c r="E52" s="22"/>
      <c r="F52" s="22"/>
      <c r="G52" s="22"/>
      <c r="H52" s="22"/>
      <c r="I52" s="22">
        <v>100</v>
      </c>
      <c r="K52" s="62">
        <f t="shared" si="1"/>
        <v>80.62</v>
      </c>
      <c r="L52" s="37">
        <v>19.38</v>
      </c>
      <c r="M52" t="s">
        <v>80</v>
      </c>
    </row>
    <row r="53" spans="2:12" ht="12.75">
      <c r="B53" s="22" t="s">
        <v>41</v>
      </c>
      <c r="C53" s="22"/>
      <c r="D53" s="22"/>
      <c r="E53" s="22"/>
      <c r="F53" s="22"/>
      <c r="G53" s="22"/>
      <c r="H53" s="22"/>
      <c r="I53" s="22">
        <v>200</v>
      </c>
      <c r="K53" s="62">
        <f t="shared" si="1"/>
        <v>200</v>
      </c>
      <c r="L53" s="37"/>
    </row>
    <row r="54" spans="2:12" ht="12.75">
      <c r="B54" s="22" t="s">
        <v>33</v>
      </c>
      <c r="C54" s="22"/>
      <c r="D54" s="22"/>
      <c r="E54" s="22"/>
      <c r="F54" s="22"/>
      <c r="G54" s="22"/>
      <c r="H54" s="22"/>
      <c r="I54" s="22">
        <v>200</v>
      </c>
      <c r="K54" s="62">
        <f t="shared" si="1"/>
        <v>140</v>
      </c>
      <c r="L54" s="37">
        <v>60</v>
      </c>
    </row>
    <row r="55" spans="2:12" ht="12.75">
      <c r="B55" t="s">
        <v>30</v>
      </c>
      <c r="I55">
        <v>173</v>
      </c>
      <c r="K55" s="62">
        <f t="shared" si="1"/>
        <v>173</v>
      </c>
      <c r="L55" s="37"/>
    </row>
    <row r="56" spans="2:12" ht="12.75">
      <c r="B56" t="s">
        <v>24</v>
      </c>
      <c r="I56">
        <v>50</v>
      </c>
      <c r="K56" s="62">
        <f t="shared" si="1"/>
        <v>47.55</v>
      </c>
      <c r="L56" s="37">
        <v>2.45</v>
      </c>
    </row>
    <row r="57" spans="2:12" ht="12.75">
      <c r="B57" s="22" t="s">
        <v>71</v>
      </c>
      <c r="I57" s="22">
        <v>20</v>
      </c>
      <c r="K57" s="62">
        <f t="shared" si="1"/>
        <v>20</v>
      </c>
      <c r="L57" s="37"/>
    </row>
    <row r="58" spans="2:12" ht="12.75">
      <c r="B58" s="22" t="s">
        <v>62</v>
      </c>
      <c r="C58" s="22"/>
      <c r="D58" s="22"/>
      <c r="E58" s="22"/>
      <c r="F58" s="22"/>
      <c r="G58" s="22"/>
      <c r="H58" s="22"/>
      <c r="I58" s="22">
        <v>232</v>
      </c>
      <c r="K58" s="62">
        <f t="shared" si="1"/>
        <v>232</v>
      </c>
      <c r="L58" s="37"/>
    </row>
    <row r="59" spans="2:13" ht="12.75">
      <c r="B59" t="s">
        <v>15</v>
      </c>
      <c r="I59" s="36">
        <v>89.7</v>
      </c>
      <c r="K59" s="62">
        <f t="shared" si="1"/>
        <v>83.05</v>
      </c>
      <c r="L59" s="54">
        <f>6.4+0.25</f>
        <v>6.65</v>
      </c>
      <c r="M59" t="s">
        <v>79</v>
      </c>
    </row>
    <row r="60" spans="2:12" ht="15.75">
      <c r="B60" s="32" t="s">
        <v>22</v>
      </c>
      <c r="C60" s="23"/>
      <c r="D60" s="23"/>
      <c r="E60" s="23"/>
      <c r="F60" s="23"/>
      <c r="G60" s="23"/>
      <c r="H60" s="23"/>
      <c r="I60" s="33">
        <f>(399000-2457.88-5027.42-6208.31)/1000</f>
        <v>385.30639</v>
      </c>
      <c r="K60" s="37">
        <v>385.31</v>
      </c>
      <c r="L60" s="54"/>
    </row>
    <row r="61" spans="2:12" ht="15.75">
      <c r="B61" s="3" t="s">
        <v>3</v>
      </c>
      <c r="I61" s="45">
        <f>SUM(I39:I47,I52:I59)</f>
        <v>4082.5507</v>
      </c>
      <c r="K61" s="37"/>
      <c r="L61" s="56"/>
    </row>
    <row r="62" spans="2:12" ht="15.75">
      <c r="B62" s="21" t="s">
        <v>16</v>
      </c>
      <c r="C62" s="20"/>
      <c r="D62" s="20"/>
      <c r="E62" s="20"/>
      <c r="F62" s="20"/>
      <c r="G62" s="20"/>
      <c r="H62" s="20"/>
      <c r="I62" s="35">
        <f>I61+I37+I60</f>
        <v>5873.409089999999</v>
      </c>
      <c r="J62" s="22"/>
      <c r="K62" s="57">
        <f>SUM(K26:K61)</f>
        <v>6096.568394</v>
      </c>
      <c r="L62" s="53">
        <f>SUM(L26:L61)</f>
        <v>351.84430599999996</v>
      </c>
    </row>
    <row r="63" spans="3:9" ht="15.75">
      <c r="C63" s="16"/>
      <c r="D63" s="16"/>
      <c r="E63" s="16"/>
      <c r="F63" s="16"/>
      <c r="G63" s="16"/>
      <c r="H63" s="16"/>
      <c r="I63" s="17"/>
    </row>
    <row r="67" spans="4:9" ht="18">
      <c r="D67" s="4"/>
      <c r="I67" s="5"/>
    </row>
    <row r="75" ht="12.75">
      <c r="D75" s="4"/>
    </row>
  </sheetData>
  <sheetProtection/>
  <mergeCells count="2">
    <mergeCell ref="K16:K17"/>
    <mergeCell ref="L16:L17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6.125" style="0" customWidth="1"/>
    <col min="2" max="2" width="29.75390625" style="0" customWidth="1"/>
    <col min="3" max="3" width="18.125" style="0" customWidth="1"/>
    <col min="4" max="4" width="17.25390625" style="0" customWidth="1"/>
    <col min="5" max="5" width="11.25390625" style="0" customWidth="1"/>
    <col min="6" max="6" width="12.375" style="0" customWidth="1"/>
    <col min="7" max="7" width="13.25390625" style="0" customWidth="1"/>
  </cols>
  <sheetData>
    <row r="2" ht="13.5" thickBot="1"/>
    <row r="3" spans="1:7" ht="13.5" thickBot="1">
      <c r="A3" s="39"/>
      <c r="B3" s="40" t="s">
        <v>42</v>
      </c>
      <c r="C3" s="40" t="s">
        <v>56</v>
      </c>
      <c r="D3" s="40" t="s">
        <v>57</v>
      </c>
      <c r="E3" s="40" t="s">
        <v>58</v>
      </c>
      <c r="F3" s="40" t="s">
        <v>59</v>
      </c>
      <c r="G3" s="41" t="s">
        <v>50</v>
      </c>
    </row>
    <row r="4" spans="1:7" ht="12.75">
      <c r="A4" s="37">
        <v>1</v>
      </c>
      <c r="B4" s="37" t="s">
        <v>43</v>
      </c>
      <c r="C4" s="37">
        <v>25000</v>
      </c>
      <c r="D4" s="37">
        <v>25000</v>
      </c>
      <c r="E4" s="37">
        <f>D4*12</f>
        <v>300000</v>
      </c>
      <c r="F4" s="37">
        <v>25000</v>
      </c>
      <c r="G4" s="37">
        <f aca="true" t="shared" si="0" ref="G4:G10">SUM(E4:F4)</f>
        <v>325000</v>
      </c>
    </row>
    <row r="5" spans="1:7" ht="12.75">
      <c r="A5" s="37">
        <v>2</v>
      </c>
      <c r="B5" s="37" t="s">
        <v>44</v>
      </c>
      <c r="C5" s="38">
        <v>11000</v>
      </c>
      <c r="D5" s="38">
        <v>13000</v>
      </c>
      <c r="E5" s="37">
        <f>11000*6+13000*6</f>
        <v>144000</v>
      </c>
      <c r="F5" s="37">
        <v>11000</v>
      </c>
      <c r="G5" s="37">
        <f t="shared" si="0"/>
        <v>155000</v>
      </c>
    </row>
    <row r="6" spans="1:7" ht="12.75">
      <c r="A6" s="37">
        <v>3</v>
      </c>
      <c r="B6" s="37" t="s">
        <v>45</v>
      </c>
      <c r="C6" s="37">
        <v>22000</v>
      </c>
      <c r="D6" s="37">
        <v>22000</v>
      </c>
      <c r="E6" s="37">
        <f>22000*12</f>
        <v>264000</v>
      </c>
      <c r="F6" s="37">
        <v>22000</v>
      </c>
      <c r="G6" s="37">
        <f t="shared" si="0"/>
        <v>286000</v>
      </c>
    </row>
    <row r="7" spans="1:7" ht="12.75">
      <c r="A7" s="37">
        <v>4</v>
      </c>
      <c r="B7" s="37" t="s">
        <v>46</v>
      </c>
      <c r="C7" s="37">
        <v>4000</v>
      </c>
      <c r="D7" s="37">
        <v>4000</v>
      </c>
      <c r="E7" s="37">
        <f>4000*12</f>
        <v>48000</v>
      </c>
      <c r="F7" s="37">
        <v>4000</v>
      </c>
      <c r="G7" s="37">
        <f t="shared" si="0"/>
        <v>52000</v>
      </c>
    </row>
    <row r="8" spans="1:7" ht="12.75">
      <c r="A8" s="37">
        <v>5</v>
      </c>
      <c r="B8" s="37" t="s">
        <v>47</v>
      </c>
      <c r="C8" s="38">
        <v>14000</v>
      </c>
      <c r="D8" s="38">
        <v>16000</v>
      </c>
      <c r="E8" s="37">
        <f>14000*6+16000*6</f>
        <v>180000</v>
      </c>
      <c r="F8" s="37">
        <v>15000</v>
      </c>
      <c r="G8" s="37">
        <f t="shared" si="0"/>
        <v>195000</v>
      </c>
    </row>
    <row r="9" spans="1:7" ht="12.75">
      <c r="A9" s="37">
        <v>6</v>
      </c>
      <c r="B9" s="37" t="s">
        <v>49</v>
      </c>
      <c r="C9" s="37">
        <v>15000</v>
      </c>
      <c r="D9" s="37">
        <v>15000</v>
      </c>
      <c r="E9" s="37">
        <f>15000*12</f>
        <v>180000</v>
      </c>
      <c r="F9" s="37">
        <v>15000</v>
      </c>
      <c r="G9" s="37">
        <f t="shared" si="0"/>
        <v>195000</v>
      </c>
    </row>
    <row r="10" spans="1:7" ht="13.5" thickBot="1">
      <c r="A10" s="37">
        <v>7</v>
      </c>
      <c r="B10" s="37" t="s">
        <v>51</v>
      </c>
      <c r="C10" s="38">
        <v>18000</v>
      </c>
      <c r="D10" s="38">
        <v>21000</v>
      </c>
      <c r="E10" s="37">
        <f>18000*6+21000*6</f>
        <v>234000</v>
      </c>
      <c r="F10" s="37">
        <v>19000</v>
      </c>
      <c r="G10" s="37">
        <f t="shared" si="0"/>
        <v>253000</v>
      </c>
    </row>
    <row r="11" spans="1:7" ht="13.5" thickBot="1">
      <c r="A11" s="39"/>
      <c r="B11" s="40" t="s">
        <v>61</v>
      </c>
      <c r="C11" s="40"/>
      <c r="D11" s="40"/>
      <c r="E11" s="40">
        <f>SUM(E4:E10)</f>
        <v>1350000</v>
      </c>
      <c r="F11" s="40">
        <f>SUM(F4:F10)</f>
        <v>111000</v>
      </c>
      <c r="G11" s="41">
        <f>SUM(G4:G10)</f>
        <v>1461000</v>
      </c>
    </row>
    <row r="12" spans="1:5" ht="12.75">
      <c r="A12" s="37"/>
      <c r="B12" s="37" t="s">
        <v>52</v>
      </c>
      <c r="C12" s="37"/>
      <c r="D12" s="37"/>
      <c r="E12" s="37"/>
    </row>
    <row r="13" spans="1:5" ht="12.75">
      <c r="A13" s="37">
        <v>1</v>
      </c>
      <c r="B13" s="37" t="s">
        <v>53</v>
      </c>
      <c r="C13" s="37">
        <v>7000</v>
      </c>
      <c r="D13" s="37">
        <v>9000</v>
      </c>
      <c r="E13" s="37">
        <f>C13*6+D13*6</f>
        <v>96000</v>
      </c>
    </row>
    <row r="14" spans="1:5" ht="12.75">
      <c r="A14" s="37">
        <v>2</v>
      </c>
      <c r="B14" s="37" t="s">
        <v>48</v>
      </c>
      <c r="C14" s="37">
        <v>11000</v>
      </c>
      <c r="D14" s="37">
        <v>11000</v>
      </c>
      <c r="E14" s="37">
        <f>D14*12</f>
        <v>132000</v>
      </c>
    </row>
    <row r="15" spans="1:5" ht="12.75">
      <c r="A15" s="37">
        <v>3</v>
      </c>
      <c r="B15" s="37" t="s">
        <v>54</v>
      </c>
      <c r="C15" s="38">
        <v>12646</v>
      </c>
      <c r="D15" s="38">
        <v>13646</v>
      </c>
      <c r="E15" s="37">
        <f>C15*6+D15*6</f>
        <v>157752</v>
      </c>
    </row>
    <row r="16" spans="1:5" ht="12.75">
      <c r="A16" s="37">
        <v>4</v>
      </c>
      <c r="B16" s="37" t="s">
        <v>60</v>
      </c>
      <c r="C16" s="37">
        <v>12000</v>
      </c>
      <c r="D16" s="37">
        <v>14000</v>
      </c>
      <c r="E16" s="37">
        <f>C16*6+D16*6</f>
        <v>156000</v>
      </c>
    </row>
    <row r="17" spans="1:5" ht="12.75">
      <c r="A17" s="37">
        <v>5</v>
      </c>
      <c r="B17" s="37" t="s">
        <v>55</v>
      </c>
      <c r="C17" s="37">
        <v>6800</v>
      </c>
      <c r="D17" s="37">
        <v>6800</v>
      </c>
      <c r="E17" s="37">
        <f>D17*12</f>
        <v>81600</v>
      </c>
    </row>
    <row r="18" spans="1:5" ht="12.75">
      <c r="A18" s="42"/>
      <c r="B18" s="42" t="s">
        <v>61</v>
      </c>
      <c r="C18" s="42"/>
      <c r="D18" s="42"/>
      <c r="E18" s="42">
        <f>SUM(E13:E17)</f>
        <v>623352</v>
      </c>
    </row>
    <row r="22" ht="12.75">
      <c r="G22">
        <f>G7+G8+G9+G10+E14+E15+E16+E17</f>
        <v>1222352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4">
      <selection activeCell="M24" sqref="M24"/>
    </sheetView>
  </sheetViews>
  <sheetFormatPr defaultColWidth="9.00390625" defaultRowHeight="12.75"/>
  <cols>
    <col min="7" max="7" width="4.00390625" style="0" customWidth="1"/>
    <col min="8" max="8" width="9.375" style="0" customWidth="1"/>
    <col min="10" max="10" width="13.375" style="0" customWidth="1"/>
    <col min="11" max="11" width="14.875" style="0" customWidth="1"/>
  </cols>
  <sheetData>
    <row r="1" ht="12.75">
      <c r="E1" t="s">
        <v>63</v>
      </c>
    </row>
    <row r="2" ht="12.75">
      <c r="E2" t="s">
        <v>64</v>
      </c>
    </row>
    <row r="3" ht="12.75">
      <c r="E3" t="s">
        <v>65</v>
      </c>
    </row>
    <row r="4" ht="12.75">
      <c r="E4" t="s">
        <v>66</v>
      </c>
    </row>
    <row r="7" spans="1:11" ht="18">
      <c r="A7" s="1" t="s">
        <v>40</v>
      </c>
      <c r="B7" s="1"/>
      <c r="C7" s="1"/>
      <c r="D7" s="1"/>
      <c r="E7" s="1"/>
      <c r="J7" s="37" t="s">
        <v>75</v>
      </c>
      <c r="K7" s="37" t="s">
        <v>76</v>
      </c>
    </row>
    <row r="8" spans="1:11" ht="18">
      <c r="A8" s="1"/>
      <c r="B8" s="1" t="s">
        <v>27</v>
      </c>
      <c r="C8" s="1"/>
      <c r="D8" s="1"/>
      <c r="E8" s="1"/>
      <c r="J8" s="37" t="s">
        <v>81</v>
      </c>
      <c r="K8" s="37" t="s">
        <v>82</v>
      </c>
    </row>
    <row r="9" spans="10:11" ht="12.75">
      <c r="J9" s="37"/>
      <c r="K9" s="37"/>
    </row>
    <row r="10" spans="1:11" ht="15.75">
      <c r="A10" s="3" t="s">
        <v>35</v>
      </c>
      <c r="B10" s="11"/>
      <c r="J10" s="37"/>
      <c r="K10" s="37"/>
    </row>
    <row r="11" spans="1:11" ht="15.75">
      <c r="A11" s="9" t="s">
        <v>21</v>
      </c>
      <c r="B11" s="10"/>
      <c r="H11" s="24">
        <v>199</v>
      </c>
      <c r="J11" s="47"/>
      <c r="K11" s="37"/>
    </row>
    <row r="12" spans="1:11" ht="15.75">
      <c r="A12" s="28" t="s">
        <v>22</v>
      </c>
      <c r="B12" s="29"/>
      <c r="C12" s="30"/>
      <c r="D12" s="30"/>
      <c r="E12" s="30"/>
      <c r="F12" s="31"/>
      <c r="G12" s="30"/>
      <c r="H12" s="31">
        <f>(399000-2457.88-5027.42-6208.31)/1000</f>
        <v>385.30639</v>
      </c>
      <c r="I12" s="22"/>
      <c r="J12" s="48"/>
      <c r="K12" s="37"/>
    </row>
    <row r="13" spans="1:11" ht="15.75">
      <c r="A13" t="s">
        <v>39</v>
      </c>
      <c r="H13" s="46">
        <v>1241.42</v>
      </c>
      <c r="J13" s="49"/>
      <c r="K13" s="37"/>
    </row>
    <row r="14" spans="1:11" ht="15.75">
      <c r="A14" s="12" t="s">
        <v>3</v>
      </c>
      <c r="B14" s="13"/>
      <c r="C14" s="13"/>
      <c r="D14" s="13"/>
      <c r="E14" s="13"/>
      <c r="F14" s="13"/>
      <c r="G14" s="13"/>
      <c r="H14" s="25">
        <f>SUM(H11:H13)</f>
        <v>1825.72639</v>
      </c>
      <c r="J14" s="50"/>
      <c r="K14" s="51"/>
    </row>
    <row r="15" spans="1:11" ht="15.75">
      <c r="A15" s="3" t="s">
        <v>0</v>
      </c>
      <c r="H15" s="26"/>
      <c r="J15" s="37"/>
      <c r="K15" s="37"/>
    </row>
    <row r="16" spans="1:11" ht="15.75">
      <c r="A16" t="s">
        <v>1</v>
      </c>
      <c r="H16" s="8">
        <f>28934.11*8.5*12/1000</f>
        <v>2951.27922</v>
      </c>
      <c r="I16" s="284"/>
      <c r="J16" s="283">
        <v>287.394</v>
      </c>
      <c r="K16" s="281">
        <v>316.69</v>
      </c>
    </row>
    <row r="17" spans="1:11" ht="15.75">
      <c r="A17" t="s">
        <v>2</v>
      </c>
      <c r="H17" s="8">
        <f>2230.35*17*12/1000</f>
        <v>454.99139999999994</v>
      </c>
      <c r="I17" s="284"/>
      <c r="J17" s="283"/>
      <c r="K17" s="282"/>
    </row>
    <row r="18" spans="1:11" ht="15.75">
      <c r="A18" t="s">
        <v>17</v>
      </c>
      <c r="H18" s="27">
        <f>(122439+73102+12283+7227)/1000</f>
        <v>215.051</v>
      </c>
      <c r="I18" s="10"/>
      <c r="J18" s="37">
        <f>18.94</f>
        <v>18.94</v>
      </c>
      <c r="K18" s="37">
        <v>17.97</v>
      </c>
    </row>
    <row r="19" spans="1:11" ht="15.75">
      <c r="A19" t="s">
        <v>31</v>
      </c>
      <c r="H19" s="27">
        <f>501.6-75.24</f>
        <v>426.36</v>
      </c>
      <c r="I19" s="10"/>
      <c r="J19" s="37">
        <v>43.6</v>
      </c>
      <c r="K19" s="37">
        <v>58.6</v>
      </c>
    </row>
    <row r="20" spans="1:11" ht="15.75">
      <c r="A20" s="19" t="s">
        <v>3</v>
      </c>
      <c r="B20" s="19"/>
      <c r="C20" s="19"/>
      <c r="D20" s="19"/>
      <c r="E20" s="19"/>
      <c r="F20" s="19"/>
      <c r="G20" s="19"/>
      <c r="H20" s="35">
        <f>SUM(H16:H19)</f>
        <v>4047.68162</v>
      </c>
      <c r="I20" s="16"/>
      <c r="J20" s="53"/>
      <c r="K20" s="54"/>
    </row>
    <row r="21" spans="1:11" ht="20.25">
      <c r="A21" s="14" t="s">
        <v>32</v>
      </c>
      <c r="B21" s="14"/>
      <c r="C21" s="14"/>
      <c r="D21" s="14"/>
      <c r="E21" s="14"/>
      <c r="F21" s="15"/>
      <c r="G21" s="15"/>
      <c r="H21" s="34">
        <f>H20+H14</f>
        <v>5873.40801</v>
      </c>
      <c r="I21" s="63"/>
      <c r="J21" s="55">
        <f>SUM(J16:J20)</f>
        <v>349.934</v>
      </c>
      <c r="K21" s="64">
        <f>SUM(K16:K20)</f>
        <v>393.26</v>
      </c>
    </row>
    <row r="22" spans="1:11" ht="15.75">
      <c r="A22" s="3"/>
      <c r="J22" s="37"/>
      <c r="K22" s="37"/>
    </row>
    <row r="23" spans="1:11" ht="16.5" thickBot="1">
      <c r="A23" s="3"/>
      <c r="H23" s="3"/>
      <c r="J23" s="37"/>
      <c r="K23" s="37"/>
    </row>
    <row r="24" spans="1:11" ht="16.5" thickBot="1">
      <c r="A24" s="3" t="s">
        <v>26</v>
      </c>
      <c r="H24" s="18"/>
      <c r="J24" s="39" t="s">
        <v>72</v>
      </c>
      <c r="K24" s="61" t="s">
        <v>83</v>
      </c>
    </row>
    <row r="25" spans="1:11" ht="15.75">
      <c r="A25" s="3" t="s">
        <v>4</v>
      </c>
      <c r="B25" s="6"/>
      <c r="C25" s="6"/>
      <c r="D25" s="6"/>
      <c r="E25" s="6"/>
      <c r="F25" s="6"/>
      <c r="J25" s="37"/>
      <c r="K25" s="37"/>
    </row>
    <row r="26" spans="1:11" ht="12.75">
      <c r="A26" t="s">
        <v>5</v>
      </c>
      <c r="H26" s="43">
        <v>876</v>
      </c>
      <c r="J26" s="57">
        <f>811-K26</f>
        <v>746</v>
      </c>
      <c r="K26" s="37">
        <v>65</v>
      </c>
    </row>
    <row r="27" spans="1:11" ht="12.75">
      <c r="A27" t="s">
        <v>28</v>
      </c>
      <c r="H27" s="43">
        <f>H26/100*30.2</f>
        <v>264.55199999999996</v>
      </c>
      <c r="J27" s="57">
        <f>244.922-K27</f>
        <v>225.292</v>
      </c>
      <c r="K27" s="37">
        <f>K26/100*30.2</f>
        <v>19.63</v>
      </c>
    </row>
    <row r="28" spans="1:11" ht="12.75">
      <c r="A28" t="s">
        <v>6</v>
      </c>
      <c r="H28">
        <v>100</v>
      </c>
      <c r="J28" s="57">
        <v>100</v>
      </c>
      <c r="K28" s="37"/>
    </row>
    <row r="29" spans="1:11" ht="12.75">
      <c r="A29" t="s">
        <v>7</v>
      </c>
      <c r="H29" s="22">
        <v>30</v>
      </c>
      <c r="J29" s="57">
        <f>27.972-K29</f>
        <v>25.632</v>
      </c>
      <c r="K29" s="37">
        <v>2.34</v>
      </c>
    </row>
    <row r="30" spans="1:11" ht="12.75">
      <c r="A30" t="s">
        <v>8</v>
      </c>
      <c r="H30">
        <v>15</v>
      </c>
      <c r="J30" s="57">
        <f>15-K30</f>
        <v>14.66</v>
      </c>
      <c r="K30" s="37">
        <v>0.34</v>
      </c>
    </row>
    <row r="31" spans="1:11" ht="12.75">
      <c r="A31" t="s">
        <v>20</v>
      </c>
      <c r="H31" s="22">
        <v>20</v>
      </c>
      <c r="J31" s="57">
        <f>15.5-K31</f>
        <v>13.7</v>
      </c>
      <c r="K31" s="37">
        <v>1.8</v>
      </c>
    </row>
    <row r="32" spans="1:11" ht="12.75">
      <c r="A32" t="s">
        <v>9</v>
      </c>
      <c r="H32">
        <v>20</v>
      </c>
      <c r="J32" s="57">
        <f>18.182-K32</f>
        <v>16.677</v>
      </c>
      <c r="K32" s="37">
        <v>1.505</v>
      </c>
    </row>
    <row r="33" spans="1:11" ht="12.75">
      <c r="A33" t="s">
        <v>10</v>
      </c>
      <c r="H33">
        <v>15</v>
      </c>
      <c r="J33" s="57">
        <f>14.7-K33</f>
        <v>9.579999999999998</v>
      </c>
      <c r="K33" s="37">
        <v>5.12</v>
      </c>
    </row>
    <row r="34" spans="1:11" ht="12.75">
      <c r="A34" t="s">
        <v>18</v>
      </c>
      <c r="H34">
        <v>10</v>
      </c>
      <c r="J34" s="57">
        <v>10</v>
      </c>
      <c r="K34" s="37"/>
    </row>
    <row r="35" spans="1:11" ht="12.75">
      <c r="A35" t="s">
        <v>25</v>
      </c>
      <c r="H35">
        <v>25</v>
      </c>
      <c r="J35" s="57">
        <f>22.75-K35</f>
        <v>22.45</v>
      </c>
      <c r="K35" s="37">
        <v>0.3</v>
      </c>
    </row>
    <row r="36" spans="1:11" ht="12.75">
      <c r="A36" t="s">
        <v>11</v>
      </c>
      <c r="H36">
        <v>30</v>
      </c>
      <c r="J36" s="57">
        <f>27.5-K36</f>
        <v>25</v>
      </c>
      <c r="K36" s="37">
        <v>2.5</v>
      </c>
    </row>
    <row r="37" spans="1:11" ht="15.75">
      <c r="A37" s="3" t="s">
        <v>3</v>
      </c>
      <c r="H37" s="18">
        <f>SUM(H26:H36)</f>
        <v>1405.552</v>
      </c>
      <c r="J37" s="58"/>
      <c r="K37" s="59"/>
    </row>
    <row r="38" spans="1:11" ht="15.75">
      <c r="A38" s="3" t="s">
        <v>12</v>
      </c>
      <c r="J38" s="37"/>
      <c r="K38" s="37"/>
    </row>
    <row r="39" spans="1:11" ht="12.75">
      <c r="A39" s="7" t="s">
        <v>19</v>
      </c>
      <c r="B39" s="6"/>
      <c r="C39" s="6"/>
      <c r="D39" s="6"/>
      <c r="E39" s="6"/>
      <c r="F39" s="6"/>
      <c r="G39" s="6"/>
      <c r="H39" s="44">
        <v>350</v>
      </c>
      <c r="J39" s="62">
        <v>332.241</v>
      </c>
      <c r="K39" s="60"/>
    </row>
    <row r="40" spans="1:11" ht="12.75">
      <c r="A40" t="s">
        <v>28</v>
      </c>
      <c r="B40" s="7"/>
      <c r="C40" s="7"/>
      <c r="D40" s="7"/>
      <c r="E40" s="7"/>
      <c r="F40" s="7"/>
      <c r="G40" s="7"/>
      <c r="H40" s="43">
        <f>H39/100*30.2</f>
        <v>105.7</v>
      </c>
      <c r="J40" s="62">
        <v>100.337</v>
      </c>
      <c r="K40" s="52">
        <f>K39/100*30.2</f>
        <v>0</v>
      </c>
    </row>
    <row r="41" spans="1:11" ht="12.75">
      <c r="A41" t="s">
        <v>13</v>
      </c>
      <c r="B41" s="7"/>
      <c r="C41" s="7"/>
      <c r="D41" s="7"/>
      <c r="E41" s="7"/>
      <c r="F41" s="7"/>
      <c r="G41" s="7"/>
      <c r="H41" s="43">
        <v>1222.85</v>
      </c>
      <c r="J41" s="62">
        <f>1143.406-K41</f>
        <v>1063.962</v>
      </c>
      <c r="K41" s="57">
        <v>79.444</v>
      </c>
    </row>
    <row r="42" spans="1:11" ht="12.75">
      <c r="A42" t="s">
        <v>28</v>
      </c>
      <c r="H42" s="36">
        <f>H41/100*30.2</f>
        <v>369.30069999999995</v>
      </c>
      <c r="J42" s="62">
        <f>345.309-K42</f>
        <v>321.316912</v>
      </c>
      <c r="K42" s="52">
        <f>K41/100*30.2</f>
        <v>23.992088</v>
      </c>
    </row>
    <row r="43" spans="1:11" ht="12.75">
      <c r="A43" t="s">
        <v>23</v>
      </c>
      <c r="H43" s="4">
        <v>25</v>
      </c>
      <c r="J43" s="62">
        <f>22.196-K43</f>
        <v>21.434</v>
      </c>
      <c r="K43" s="37">
        <v>0.762</v>
      </c>
    </row>
    <row r="44" spans="1:11" ht="12.75">
      <c r="A44" t="s">
        <v>36</v>
      </c>
      <c r="H44">
        <v>50</v>
      </c>
      <c r="J44" s="62">
        <f>46.4-K44</f>
        <v>42.8</v>
      </c>
      <c r="K44" s="37">
        <v>3.6</v>
      </c>
    </row>
    <row r="45" spans="1:11" ht="12.75">
      <c r="A45" t="s">
        <v>14</v>
      </c>
      <c r="H45">
        <v>60</v>
      </c>
      <c r="J45" s="62">
        <v>60</v>
      </c>
      <c r="K45" s="37"/>
    </row>
    <row r="46" spans="1:12" ht="12.75">
      <c r="A46" t="s">
        <v>37</v>
      </c>
      <c r="H46">
        <v>360</v>
      </c>
      <c r="J46" s="62">
        <f>343.52-K46</f>
        <v>339.52</v>
      </c>
      <c r="K46" s="37">
        <v>4</v>
      </c>
      <c r="L46" t="s">
        <v>84</v>
      </c>
    </row>
    <row r="47" spans="1:11" ht="12.75">
      <c r="A47" t="s">
        <v>38</v>
      </c>
      <c r="H47">
        <v>475</v>
      </c>
      <c r="J47" s="62">
        <v>475</v>
      </c>
      <c r="K47" s="37"/>
    </row>
    <row r="48" spans="1:11" ht="12.75">
      <c r="A48" t="s">
        <v>67</v>
      </c>
      <c r="H48">
        <f>105+80</f>
        <v>185</v>
      </c>
      <c r="J48" s="62">
        <v>185</v>
      </c>
      <c r="K48" s="37"/>
    </row>
    <row r="49" spans="1:11" ht="12.75">
      <c r="A49" t="s">
        <v>68</v>
      </c>
      <c r="H49">
        <v>200</v>
      </c>
      <c r="J49" s="62">
        <v>200</v>
      </c>
      <c r="K49" s="37"/>
    </row>
    <row r="50" spans="1:11" ht="12.75">
      <c r="A50" t="s">
        <v>69</v>
      </c>
      <c r="H50">
        <v>39</v>
      </c>
      <c r="J50" s="62">
        <v>39</v>
      </c>
      <c r="K50" s="52"/>
    </row>
    <row r="51" spans="1:11" ht="12.75">
      <c r="A51" t="s">
        <v>70</v>
      </c>
      <c r="H51">
        <v>151</v>
      </c>
      <c r="J51" s="62">
        <v>151</v>
      </c>
      <c r="K51" s="37"/>
    </row>
    <row r="52" spans="1:11" ht="12.75">
      <c r="A52" s="22" t="s">
        <v>29</v>
      </c>
      <c r="B52" s="22"/>
      <c r="C52" s="22"/>
      <c r="D52" s="22"/>
      <c r="E52" s="22"/>
      <c r="F52" s="22"/>
      <c r="G52" s="22"/>
      <c r="H52" s="22">
        <v>100</v>
      </c>
      <c r="J52" s="62">
        <v>80.62</v>
      </c>
      <c r="K52" s="37"/>
    </row>
    <row r="53" spans="1:11" ht="12.75">
      <c r="A53" s="22" t="s">
        <v>41</v>
      </c>
      <c r="B53" s="22"/>
      <c r="C53" s="22"/>
      <c r="D53" s="22"/>
      <c r="E53" s="22"/>
      <c r="F53" s="22"/>
      <c r="G53" s="22"/>
      <c r="H53" s="22">
        <v>200</v>
      </c>
      <c r="J53" s="62">
        <v>200</v>
      </c>
      <c r="K53" s="37"/>
    </row>
    <row r="54" spans="1:11" ht="12.75">
      <c r="A54" s="22" t="s">
        <v>33</v>
      </c>
      <c r="B54" s="22"/>
      <c r="C54" s="22"/>
      <c r="D54" s="22"/>
      <c r="E54" s="22"/>
      <c r="F54" s="22"/>
      <c r="G54" s="22"/>
      <c r="H54" s="22">
        <v>200</v>
      </c>
      <c r="J54" s="62">
        <f>140-K54</f>
        <v>75</v>
      </c>
      <c r="K54" s="37">
        <v>65</v>
      </c>
    </row>
    <row r="55" spans="1:11" ht="12.75">
      <c r="A55" t="s">
        <v>30</v>
      </c>
      <c r="H55">
        <v>173</v>
      </c>
      <c r="J55" s="62">
        <v>173</v>
      </c>
      <c r="K55" s="37"/>
    </row>
    <row r="56" spans="1:11" ht="12.75">
      <c r="A56" t="s">
        <v>24</v>
      </c>
      <c r="H56">
        <v>50</v>
      </c>
      <c r="J56" s="62">
        <f>47.55-K56</f>
        <v>44.647999999999996</v>
      </c>
      <c r="K56" s="37">
        <v>2.902</v>
      </c>
    </row>
    <row r="57" spans="1:11" ht="12.75">
      <c r="A57" s="22" t="s">
        <v>71</v>
      </c>
      <c r="H57" s="22">
        <v>20</v>
      </c>
      <c r="J57" s="62">
        <v>20</v>
      </c>
      <c r="K57" s="37"/>
    </row>
    <row r="58" spans="1:11" ht="12.75">
      <c r="A58" s="22" t="s">
        <v>62</v>
      </c>
      <c r="B58" s="22"/>
      <c r="C58" s="22"/>
      <c r="D58" s="22"/>
      <c r="E58" s="22"/>
      <c r="F58" s="22"/>
      <c r="G58" s="22"/>
      <c r="H58" s="22">
        <v>232</v>
      </c>
      <c r="J58" s="62">
        <v>232</v>
      </c>
      <c r="K58" s="37"/>
    </row>
    <row r="59" spans="1:11" ht="12.75">
      <c r="A59" t="s">
        <v>15</v>
      </c>
      <c r="H59" s="36">
        <v>89.7</v>
      </c>
      <c r="J59" s="62">
        <v>83.05</v>
      </c>
      <c r="K59" s="54"/>
    </row>
    <row r="60" spans="1:11" ht="15.75">
      <c r="A60" s="32" t="s">
        <v>22</v>
      </c>
      <c r="B60" s="23"/>
      <c r="C60" s="23"/>
      <c r="D60" s="23"/>
      <c r="E60" s="23"/>
      <c r="F60" s="23"/>
      <c r="G60" s="23"/>
      <c r="H60" s="33">
        <f>(399000-2457.88-5027.42-6208.31)/1000</f>
        <v>385.30639</v>
      </c>
      <c r="J60" s="37">
        <v>385.31</v>
      </c>
      <c r="K60" s="54"/>
    </row>
    <row r="61" spans="1:11" ht="15.75">
      <c r="A61" s="3" t="s">
        <v>3</v>
      </c>
      <c r="H61" s="45">
        <f>SUM(H39:H47,H52:H59)</f>
        <v>4082.5507</v>
      </c>
      <c r="J61" s="37"/>
      <c r="K61" s="56"/>
    </row>
    <row r="62" spans="1:11" ht="15.75">
      <c r="A62" s="21" t="s">
        <v>16</v>
      </c>
      <c r="B62" s="20"/>
      <c r="C62" s="20"/>
      <c r="D62" s="20"/>
      <c r="E62" s="20"/>
      <c r="F62" s="20"/>
      <c r="G62" s="20"/>
      <c r="H62" s="35">
        <f>H61+H37+H60</f>
        <v>5873.409089999999</v>
      </c>
      <c r="I62" s="22"/>
      <c r="J62" s="57">
        <f>SUM(J26:J61)</f>
        <v>5834.229912000001</v>
      </c>
      <c r="K62" s="53">
        <f>SUM(K26:K61)</f>
        <v>278.23508799999996</v>
      </c>
    </row>
  </sheetData>
  <sheetProtection/>
  <mergeCells count="3">
    <mergeCell ref="J16:J17"/>
    <mergeCell ref="K16:K17"/>
    <mergeCell ref="I16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="64" zoomScaleNormal="64" zoomScalePageLayoutView="0" workbookViewId="0" topLeftCell="C33">
      <selection activeCell="W71" sqref="W71"/>
    </sheetView>
  </sheetViews>
  <sheetFormatPr defaultColWidth="9.00390625" defaultRowHeight="12.75" outlineLevelCol="1"/>
  <cols>
    <col min="1" max="1" width="9.375" style="0" customWidth="1"/>
    <col min="7" max="7" width="16.375" style="0" customWidth="1"/>
    <col min="8" max="8" width="6.625" style="0" customWidth="1"/>
    <col min="9" max="9" width="28.625" style="0" customWidth="1"/>
    <col min="10" max="10" width="12.625" style="0" customWidth="1"/>
    <col min="11" max="11" width="13.00390625" style="0" customWidth="1"/>
    <col min="12" max="12" width="12.125" style="0" customWidth="1" outlineLevel="1"/>
    <col min="13" max="13" width="12.375" style="0" customWidth="1" outlineLevel="1"/>
    <col min="14" max="14" width="12.875" style="0" customWidth="1" outlineLevel="1"/>
    <col min="15" max="15" width="15.125" style="0" customWidth="1" outlineLevel="1" collapsed="1"/>
    <col min="16" max="16" width="13.375" style="0" customWidth="1" outlineLevel="1"/>
    <col min="17" max="17" width="13.75390625" style="0" customWidth="1" outlineLevel="1"/>
    <col min="18" max="18" width="12.75390625" style="0" customWidth="1" outlineLevel="1" collapsed="1"/>
    <col min="19" max="19" width="12.25390625" style="0" customWidth="1" outlineLevel="1"/>
    <col min="20" max="20" width="12.75390625" style="0" customWidth="1" outlineLevel="1"/>
    <col min="21" max="21" width="13.625" style="0" customWidth="1"/>
    <col min="22" max="24" width="13.00390625" style="0" customWidth="1"/>
    <col min="25" max="25" width="15.875" style="0" customWidth="1"/>
  </cols>
  <sheetData>
    <row r="1" ht="12.75">
      <c r="B1" s="69" t="s">
        <v>103</v>
      </c>
    </row>
    <row r="2" ht="12.75">
      <c r="B2" s="69"/>
    </row>
    <row r="3" spans="2:9" ht="18">
      <c r="B3" s="1"/>
      <c r="C3" s="1"/>
      <c r="D3" s="1"/>
      <c r="E3" s="1"/>
      <c r="F3" s="1"/>
      <c r="G3" s="1"/>
      <c r="H3" s="1" t="s">
        <v>63</v>
      </c>
      <c r="I3" s="1"/>
    </row>
    <row r="4" spans="2:9" ht="18">
      <c r="B4" s="1"/>
      <c r="C4" s="1"/>
      <c r="D4" s="1"/>
      <c r="E4" s="1"/>
      <c r="F4" s="1"/>
      <c r="G4" s="1"/>
      <c r="H4" s="1" t="s">
        <v>64</v>
      </c>
      <c r="I4" s="1"/>
    </row>
    <row r="5" spans="2:9" ht="18">
      <c r="B5" s="1"/>
      <c r="C5" s="1"/>
      <c r="D5" s="1"/>
      <c r="E5" s="1"/>
      <c r="F5" s="1"/>
      <c r="G5" s="1"/>
      <c r="H5" s="1" t="s">
        <v>102</v>
      </c>
      <c r="I5" s="1"/>
    </row>
    <row r="6" spans="2:9" ht="18">
      <c r="B6" s="1"/>
      <c r="C6" s="1"/>
      <c r="D6" s="1"/>
      <c r="E6" s="1"/>
      <c r="F6" s="1"/>
      <c r="G6" s="1"/>
      <c r="H6" s="1" t="s">
        <v>104</v>
      </c>
      <c r="I6" s="1"/>
    </row>
    <row r="7" spans="2:9" ht="18">
      <c r="B7" s="1"/>
      <c r="C7" s="1"/>
      <c r="D7" s="1"/>
      <c r="E7" s="1"/>
      <c r="F7" s="1"/>
      <c r="G7" s="1"/>
      <c r="H7" s="1"/>
      <c r="I7" s="1"/>
    </row>
    <row r="8" spans="2:9" ht="0.75" customHeight="1">
      <c r="B8" s="1"/>
      <c r="C8" s="1"/>
      <c r="D8" s="1"/>
      <c r="E8" s="1"/>
      <c r="F8" s="1"/>
      <c r="G8" s="1"/>
      <c r="H8" s="1"/>
      <c r="I8" s="1"/>
    </row>
    <row r="9" spans="2:11" ht="18">
      <c r="B9" s="1" t="s">
        <v>40</v>
      </c>
      <c r="C9" s="1"/>
      <c r="D9" s="1"/>
      <c r="E9" s="1"/>
      <c r="F9" s="1"/>
      <c r="G9" s="1"/>
      <c r="H9" s="1"/>
      <c r="I9" s="1"/>
      <c r="J9" s="10"/>
      <c r="K9" s="10"/>
    </row>
    <row r="10" spans="2:11" ht="18">
      <c r="B10" s="1"/>
      <c r="C10" s="1" t="s">
        <v>105</v>
      </c>
      <c r="D10" s="1"/>
      <c r="E10" s="1"/>
      <c r="F10" s="1"/>
      <c r="G10" s="1"/>
      <c r="H10" s="1"/>
      <c r="I10" s="1"/>
      <c r="J10" s="10"/>
      <c r="K10" s="10"/>
    </row>
    <row r="11" spans="2:11" ht="18.75">
      <c r="B11" s="70" t="s">
        <v>35</v>
      </c>
      <c r="C11" s="71"/>
      <c r="D11" s="1"/>
      <c r="E11" s="1"/>
      <c r="F11" s="1"/>
      <c r="G11" s="1"/>
      <c r="H11" s="1"/>
      <c r="I11" s="88"/>
      <c r="J11" s="66"/>
      <c r="K11" s="10"/>
    </row>
    <row r="12" spans="2:25" ht="19.5" thickBot="1">
      <c r="B12" s="73"/>
      <c r="C12" s="74"/>
      <c r="D12" s="1"/>
      <c r="E12" s="1"/>
      <c r="F12" s="1"/>
      <c r="G12" s="1"/>
      <c r="H12" s="1"/>
      <c r="I12" s="72"/>
      <c r="J12" s="67"/>
      <c r="K12" s="10"/>
      <c r="Y12" t="s">
        <v>148</v>
      </c>
    </row>
    <row r="13" spans="2:24" ht="19.5" thickBot="1">
      <c r="B13" s="75" t="s">
        <v>22</v>
      </c>
      <c r="C13" s="76"/>
      <c r="D13" s="72"/>
      <c r="E13" s="72"/>
      <c r="F13" s="72"/>
      <c r="G13" s="77"/>
      <c r="H13" s="72"/>
      <c r="I13" s="78">
        <v>17.9</v>
      </c>
      <c r="J13" s="111" t="s">
        <v>72</v>
      </c>
      <c r="K13" s="102" t="s">
        <v>116</v>
      </c>
      <c r="L13" s="106" t="s">
        <v>117</v>
      </c>
      <c r="M13" s="100" t="s">
        <v>118</v>
      </c>
      <c r="N13" s="100" t="s">
        <v>119</v>
      </c>
      <c r="O13" s="100" t="s">
        <v>120</v>
      </c>
      <c r="P13" s="100" t="s">
        <v>121</v>
      </c>
      <c r="Q13" s="100" t="s">
        <v>122</v>
      </c>
      <c r="R13" s="108" t="s">
        <v>123</v>
      </c>
      <c r="S13" s="108" t="s">
        <v>124</v>
      </c>
      <c r="T13" s="108" t="s">
        <v>125</v>
      </c>
      <c r="U13" s="108" t="s">
        <v>142</v>
      </c>
      <c r="V13" s="108" t="s">
        <v>143</v>
      </c>
      <c r="W13" s="109" t="s">
        <v>144</v>
      </c>
      <c r="X13" s="110" t="s">
        <v>145</v>
      </c>
    </row>
    <row r="14" spans="2:24" ht="18.75">
      <c r="B14" s="1" t="s">
        <v>106</v>
      </c>
      <c r="C14" s="1"/>
      <c r="D14" s="1"/>
      <c r="E14" s="1"/>
      <c r="F14" s="1"/>
      <c r="G14" s="1"/>
      <c r="H14" s="1"/>
      <c r="I14" s="79">
        <v>1606.7</v>
      </c>
      <c r="J14" s="112"/>
      <c r="K14" s="99"/>
      <c r="L14" s="107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98"/>
      <c r="X14" s="99"/>
    </row>
    <row r="15" spans="2:24" ht="18.75">
      <c r="B15" s="91" t="s">
        <v>3</v>
      </c>
      <c r="C15" s="89"/>
      <c r="D15" s="89"/>
      <c r="E15" s="89"/>
      <c r="F15" s="89"/>
      <c r="G15" s="89"/>
      <c r="H15" s="89"/>
      <c r="I15" s="92">
        <f>SUM(I12:I14)</f>
        <v>1624.6000000000001</v>
      </c>
      <c r="J15" s="113"/>
      <c r="K15" s="119"/>
      <c r="L15" s="104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94"/>
      <c r="X15" s="95"/>
    </row>
    <row r="16" spans="2:24" ht="18">
      <c r="B16" s="70" t="s">
        <v>0</v>
      </c>
      <c r="C16" s="1"/>
      <c r="D16" s="1"/>
      <c r="E16" s="1"/>
      <c r="F16" s="1"/>
      <c r="G16" s="1"/>
      <c r="H16" s="1"/>
      <c r="I16" s="72"/>
      <c r="J16" s="114"/>
      <c r="K16" s="95"/>
      <c r="L16" s="104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94"/>
      <c r="X16" s="95"/>
    </row>
    <row r="17" spans="2:24" ht="18">
      <c r="B17" s="1" t="s">
        <v>1</v>
      </c>
      <c r="C17" s="1"/>
      <c r="D17" s="1"/>
      <c r="E17" s="1"/>
      <c r="F17" s="1"/>
      <c r="G17" s="1"/>
      <c r="H17" s="1"/>
      <c r="I17" s="80">
        <f>2286.2+2226.85</f>
        <v>4513.049999999999</v>
      </c>
      <c r="J17" s="115"/>
      <c r="K17" s="287"/>
      <c r="L17" s="104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94"/>
      <c r="X17" s="95"/>
    </row>
    <row r="18" spans="2:24" ht="18">
      <c r="B18" s="1" t="s">
        <v>2</v>
      </c>
      <c r="C18" s="1"/>
      <c r="D18" s="1"/>
      <c r="E18" s="1"/>
      <c r="F18" s="1"/>
      <c r="G18" s="1"/>
      <c r="H18" s="1"/>
      <c r="I18" s="80">
        <f>373.65+368.15</f>
        <v>741.8</v>
      </c>
      <c r="J18" s="115"/>
      <c r="K18" s="287"/>
      <c r="L18" s="104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94"/>
      <c r="X18" s="95"/>
    </row>
    <row r="19" spans="2:24" ht="18">
      <c r="B19" s="1" t="s">
        <v>17</v>
      </c>
      <c r="C19" s="1"/>
      <c r="D19" s="1"/>
      <c r="E19" s="1"/>
      <c r="F19" s="1"/>
      <c r="G19" s="1"/>
      <c r="H19" s="1"/>
      <c r="I19" s="81">
        <v>300</v>
      </c>
      <c r="J19" s="115"/>
      <c r="K19" s="95"/>
      <c r="L19" s="104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94"/>
      <c r="X19" s="95"/>
    </row>
    <row r="20" spans="2:24" ht="18">
      <c r="B20" s="1" t="s">
        <v>31</v>
      </c>
      <c r="C20" s="1"/>
      <c r="D20" s="1"/>
      <c r="E20" s="1"/>
      <c r="F20" s="1"/>
      <c r="G20" s="1"/>
      <c r="H20" s="1"/>
      <c r="I20" s="81">
        <v>1440</v>
      </c>
      <c r="J20" s="115"/>
      <c r="K20" s="95"/>
      <c r="L20" s="104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94"/>
      <c r="X20" s="95"/>
    </row>
    <row r="21" spans="2:24" ht="18">
      <c r="B21" s="89" t="s">
        <v>3</v>
      </c>
      <c r="C21" s="89"/>
      <c r="D21" s="89"/>
      <c r="E21" s="89"/>
      <c r="F21" s="89"/>
      <c r="G21" s="89"/>
      <c r="H21" s="89"/>
      <c r="I21" s="90">
        <f>SUM(I17:I20)</f>
        <v>6994.849999999999</v>
      </c>
      <c r="J21" s="116"/>
      <c r="K21" s="120"/>
      <c r="L21" s="104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94"/>
      <c r="X21" s="95"/>
    </row>
    <row r="22" spans="2:24" ht="18">
      <c r="B22" s="82" t="s">
        <v>32</v>
      </c>
      <c r="C22" s="82"/>
      <c r="D22" s="82"/>
      <c r="E22" s="82"/>
      <c r="F22" s="82"/>
      <c r="G22" s="83"/>
      <c r="H22" s="83"/>
      <c r="I22" s="68">
        <f>I21+I15</f>
        <v>8619.449999999999</v>
      </c>
      <c r="J22" s="117"/>
      <c r="K22" s="180">
        <v>8661735</v>
      </c>
      <c r="L22" s="104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94"/>
      <c r="X22" s="95"/>
    </row>
    <row r="23" spans="2:24" ht="18">
      <c r="B23" s="70"/>
      <c r="C23" s="1"/>
      <c r="D23" s="1"/>
      <c r="E23" s="1"/>
      <c r="F23" s="1"/>
      <c r="G23" s="1"/>
      <c r="H23" s="1"/>
      <c r="I23" s="72"/>
      <c r="J23" s="114"/>
      <c r="K23" s="95"/>
      <c r="L23" s="104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94"/>
      <c r="X23" s="95"/>
    </row>
    <row r="24" spans="2:24" ht="18">
      <c r="B24" s="70" t="s">
        <v>26</v>
      </c>
      <c r="C24" s="1"/>
      <c r="D24" s="1"/>
      <c r="E24" s="1"/>
      <c r="F24" s="1"/>
      <c r="G24" s="1"/>
      <c r="H24" s="1"/>
      <c r="I24" s="1"/>
      <c r="J24" s="118"/>
      <c r="K24" s="95"/>
      <c r="L24" s="104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94"/>
      <c r="X24" s="95"/>
    </row>
    <row r="25" spans="2:25" ht="18">
      <c r="B25" s="288" t="s">
        <v>85</v>
      </c>
      <c r="C25" s="288"/>
      <c r="D25" s="288"/>
      <c r="E25" s="288"/>
      <c r="F25" s="288"/>
      <c r="G25" s="288"/>
      <c r="H25" s="288"/>
      <c r="I25" s="85">
        <v>720</v>
      </c>
      <c r="J25" s="115">
        <f>I25-(K25/1000)+Y25/1000</f>
        <v>2.122159999999724</v>
      </c>
      <c r="K25" s="95">
        <f>X25</f>
        <v>760822.2500000002</v>
      </c>
      <c r="L25" s="104">
        <v>62582.49</v>
      </c>
      <c r="M25" s="37">
        <v>56526.02</v>
      </c>
      <c r="N25" s="37">
        <v>62582.49</v>
      </c>
      <c r="O25" s="37">
        <v>60563.46</v>
      </c>
      <c r="P25" s="37">
        <v>62582.49</v>
      </c>
      <c r="Q25" s="37">
        <v>60563.46</v>
      </c>
      <c r="R25" s="37">
        <v>66620.07</v>
      </c>
      <c r="S25" s="37">
        <v>66620.07</v>
      </c>
      <c r="T25" s="37">
        <v>64470.78</v>
      </c>
      <c r="U25" s="37">
        <v>66620.07</v>
      </c>
      <c r="V25" s="37">
        <v>64470.78</v>
      </c>
      <c r="W25" s="94">
        <v>66620.07</v>
      </c>
      <c r="X25" s="95">
        <f>SUM(L25:W25)</f>
        <v>760822.2500000002</v>
      </c>
      <c r="Y25" s="66">
        <v>42944.41</v>
      </c>
    </row>
    <row r="26" spans="2:24" ht="18">
      <c r="B26" s="288" t="s">
        <v>86</v>
      </c>
      <c r="C26" s="288"/>
      <c r="D26" s="288"/>
      <c r="E26" s="288"/>
      <c r="F26" s="288"/>
      <c r="G26" s="288"/>
      <c r="H26" s="288"/>
      <c r="I26" s="85">
        <v>377</v>
      </c>
      <c r="J26" s="121">
        <f>I26-(K26/1000)</f>
        <v>8.839999999999975</v>
      </c>
      <c r="K26" s="95">
        <f aca="true" t="shared" si="0" ref="K26:K71">X26</f>
        <v>368160</v>
      </c>
      <c r="L26" s="104">
        <v>30680</v>
      </c>
      <c r="M26" s="37">
        <v>30680</v>
      </c>
      <c r="N26" s="37">
        <v>30680</v>
      </c>
      <c r="O26" s="37">
        <v>30680</v>
      </c>
      <c r="P26" s="37">
        <v>30680</v>
      </c>
      <c r="Q26" s="37">
        <v>30680</v>
      </c>
      <c r="R26" s="37">
        <v>30680</v>
      </c>
      <c r="S26" s="37">
        <v>30680</v>
      </c>
      <c r="T26" s="37">
        <v>30680</v>
      </c>
      <c r="U26" s="37">
        <v>30680</v>
      </c>
      <c r="V26" s="37">
        <v>30680</v>
      </c>
      <c r="W26" s="94">
        <v>30680</v>
      </c>
      <c r="X26" s="95">
        <f>SUM(L26:W26)</f>
        <v>368160</v>
      </c>
    </row>
    <row r="27" spans="2:24" ht="18.75" thickBot="1">
      <c r="B27" s="288" t="s">
        <v>89</v>
      </c>
      <c r="C27" s="288"/>
      <c r="D27" s="288"/>
      <c r="E27" s="288"/>
      <c r="F27" s="288"/>
      <c r="G27" s="288"/>
      <c r="H27" s="288"/>
      <c r="I27" s="85">
        <v>35</v>
      </c>
      <c r="J27" s="122">
        <f aca="true" t="shared" si="1" ref="J27:J73">I27-(K27/1000)</f>
        <v>2.39499</v>
      </c>
      <c r="K27" s="97">
        <f t="shared" si="0"/>
        <v>32605.01</v>
      </c>
      <c r="L27" s="105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96"/>
      <c r="X27" s="97">
        <v>32605.01</v>
      </c>
    </row>
    <row r="28" spans="2:24" ht="18.75" thickBot="1">
      <c r="B28" s="285" t="s">
        <v>3</v>
      </c>
      <c r="C28" s="286"/>
      <c r="D28" s="286"/>
      <c r="E28" s="286"/>
      <c r="F28" s="286"/>
      <c r="G28" s="286"/>
      <c r="H28" s="286"/>
      <c r="I28" s="141">
        <f>SUM(I25:I27)</f>
        <v>1132</v>
      </c>
      <c r="J28" s="124">
        <f>J25+J26+J27</f>
        <v>13.357149999999699</v>
      </c>
      <c r="K28" s="128">
        <f>K25+K26+K27</f>
        <v>1161587.2600000002</v>
      </c>
      <c r="L28" s="106">
        <f aca="true" t="shared" si="2" ref="L28:U28">SUM(L25:L27)</f>
        <v>93262.48999999999</v>
      </c>
      <c r="M28" s="100">
        <f t="shared" si="2"/>
        <v>87206.01999999999</v>
      </c>
      <c r="N28" s="100">
        <f t="shared" si="2"/>
        <v>93262.48999999999</v>
      </c>
      <c r="O28" s="100">
        <f t="shared" si="2"/>
        <v>91243.45999999999</v>
      </c>
      <c r="P28" s="100">
        <f t="shared" si="2"/>
        <v>93262.48999999999</v>
      </c>
      <c r="Q28" s="100">
        <f t="shared" si="2"/>
        <v>91243.45999999999</v>
      </c>
      <c r="R28" s="100">
        <f t="shared" si="2"/>
        <v>97300.07</v>
      </c>
      <c r="S28" s="100">
        <f t="shared" si="2"/>
        <v>97300.07</v>
      </c>
      <c r="T28" s="100">
        <f t="shared" si="2"/>
        <v>95150.78</v>
      </c>
      <c r="U28" s="100">
        <f t="shared" si="2"/>
        <v>97300.07</v>
      </c>
      <c r="V28" s="100">
        <f>SUM(V25:V27)</f>
        <v>95150.78</v>
      </c>
      <c r="W28" s="101">
        <f>SUM(W25:W27)</f>
        <v>97300.07</v>
      </c>
      <c r="X28" s="102">
        <f>SUM(L28:W28)</f>
        <v>1128982.2500000002</v>
      </c>
    </row>
    <row r="29" spans="2:24" ht="18">
      <c r="B29" s="70" t="s">
        <v>4</v>
      </c>
      <c r="C29" s="70"/>
      <c r="D29" s="70"/>
      <c r="E29" s="70"/>
      <c r="F29" s="70"/>
      <c r="G29" s="70"/>
      <c r="H29" s="1"/>
      <c r="I29" s="1"/>
      <c r="J29" s="123">
        <f t="shared" si="1"/>
        <v>0</v>
      </c>
      <c r="K29" s="99">
        <f t="shared" si="0"/>
        <v>0</v>
      </c>
      <c r="L29" s="107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98"/>
      <c r="X29" s="99"/>
    </row>
    <row r="30" spans="1:24" ht="18">
      <c r="A30">
        <v>1</v>
      </c>
      <c r="B30" s="1" t="s">
        <v>107</v>
      </c>
      <c r="C30" s="1"/>
      <c r="D30" s="1"/>
      <c r="E30" s="1"/>
      <c r="F30" s="1"/>
      <c r="G30" s="1"/>
      <c r="H30" s="1"/>
      <c r="I30" s="178">
        <v>2125.3</v>
      </c>
      <c r="J30" s="121">
        <f t="shared" si="1"/>
        <v>313.47100000000023</v>
      </c>
      <c r="K30" s="95">
        <f t="shared" si="0"/>
        <v>1811829</v>
      </c>
      <c r="L30" s="152">
        <v>97000</v>
      </c>
      <c r="M30" s="153">
        <v>97000</v>
      </c>
      <c r="N30" s="153">
        <f>77714+28152</f>
        <v>105866</v>
      </c>
      <c r="O30" s="153">
        <f>89091</f>
        <v>89091</v>
      </c>
      <c r="P30" s="153">
        <v>97000</v>
      </c>
      <c r="Q30" s="153">
        <v>96236</v>
      </c>
      <c r="R30" s="153">
        <v>217841</v>
      </c>
      <c r="S30" s="153">
        <v>221208</v>
      </c>
      <c r="T30" s="153">
        <v>219287</v>
      </c>
      <c r="U30" s="153">
        <v>182864</v>
      </c>
      <c r="V30" s="153">
        <v>208936</v>
      </c>
      <c r="W30" s="154">
        <v>179500</v>
      </c>
      <c r="X30" s="95">
        <f>SUM(L30:W30)</f>
        <v>1811829</v>
      </c>
    </row>
    <row r="31" spans="1:24" ht="18">
      <c r="A31">
        <v>2</v>
      </c>
      <c r="B31" s="1" t="s">
        <v>28</v>
      </c>
      <c r="C31" s="1"/>
      <c r="D31" s="1"/>
      <c r="E31" s="1"/>
      <c r="F31" s="1"/>
      <c r="G31" s="1"/>
      <c r="H31" s="1"/>
      <c r="I31" s="178">
        <f>I30/100*30.2</f>
        <v>641.8406</v>
      </c>
      <c r="J31" s="121">
        <f t="shared" si="1"/>
        <v>94.66824199999996</v>
      </c>
      <c r="K31" s="95">
        <f t="shared" si="0"/>
        <v>547172.358</v>
      </c>
      <c r="L31" s="152">
        <f aca="true" t="shared" si="3" ref="L31:R31">L30/100*30.2</f>
        <v>29294</v>
      </c>
      <c r="M31" s="153">
        <f t="shared" si="3"/>
        <v>29294</v>
      </c>
      <c r="N31" s="155">
        <f t="shared" si="3"/>
        <v>31971.532000000003</v>
      </c>
      <c r="O31" s="155">
        <f t="shared" si="3"/>
        <v>26905.482</v>
      </c>
      <c r="P31" s="153">
        <f t="shared" si="3"/>
        <v>29294</v>
      </c>
      <c r="Q31" s="155">
        <f t="shared" si="3"/>
        <v>29063.272</v>
      </c>
      <c r="R31" s="155">
        <f t="shared" si="3"/>
        <v>65787.98199999999</v>
      </c>
      <c r="S31" s="153">
        <f>S30/100*30.2</f>
        <v>66804.81599999999</v>
      </c>
      <c r="T31" s="153">
        <f>T30/100*30.2</f>
        <v>66224.674</v>
      </c>
      <c r="U31" s="155">
        <f>U30/100*30.2</f>
        <v>55224.928</v>
      </c>
      <c r="V31" s="155">
        <f>V30/100*30.2</f>
        <v>63098.672000000006</v>
      </c>
      <c r="W31" s="154">
        <f>W30/100*30.2</f>
        <v>54209</v>
      </c>
      <c r="X31" s="95">
        <f>SUM(L31:W31)</f>
        <v>547172.358</v>
      </c>
    </row>
    <row r="32" spans="1:24" ht="18">
      <c r="A32">
        <v>3</v>
      </c>
      <c r="B32" s="1" t="s">
        <v>6</v>
      </c>
      <c r="C32" s="1"/>
      <c r="D32" s="1"/>
      <c r="E32" s="1"/>
      <c r="F32" s="1"/>
      <c r="G32" s="1"/>
      <c r="H32" s="1"/>
      <c r="I32" s="178">
        <v>30</v>
      </c>
      <c r="J32" s="121">
        <f t="shared" si="1"/>
        <v>26.91</v>
      </c>
      <c r="K32" s="95">
        <f t="shared" si="0"/>
        <v>3090</v>
      </c>
      <c r="L32" s="156">
        <v>1500</v>
      </c>
      <c r="M32" s="157"/>
      <c r="N32" s="157"/>
      <c r="O32" s="158">
        <v>670</v>
      </c>
      <c r="P32" s="157"/>
      <c r="Q32" s="157"/>
      <c r="R32" s="158">
        <v>250</v>
      </c>
      <c r="S32" s="157"/>
      <c r="T32" s="157"/>
      <c r="U32" s="158">
        <v>670</v>
      </c>
      <c r="V32" s="157"/>
      <c r="W32" s="159"/>
      <c r="X32" s="95">
        <f aca="true" t="shared" si="4" ref="X32:X37">SUM(L32:W32)</f>
        <v>3090</v>
      </c>
    </row>
    <row r="33" spans="1:24" ht="18">
      <c r="A33">
        <v>4</v>
      </c>
      <c r="B33" s="1" t="s">
        <v>7</v>
      </c>
      <c r="C33" s="1"/>
      <c r="D33" s="1"/>
      <c r="E33" s="1"/>
      <c r="F33" s="1"/>
      <c r="G33" s="1"/>
      <c r="H33" s="1"/>
      <c r="I33" s="178">
        <v>100</v>
      </c>
      <c r="J33" s="121">
        <f t="shared" si="1"/>
        <v>15.590790000000013</v>
      </c>
      <c r="K33" s="95">
        <f t="shared" si="0"/>
        <v>84409.20999999999</v>
      </c>
      <c r="L33" s="156">
        <f>608.44+2338.43</f>
        <v>2946.87</v>
      </c>
      <c r="M33" s="158">
        <v>5693.47</v>
      </c>
      <c r="N33" s="158">
        <v>8326.59</v>
      </c>
      <c r="O33" s="158">
        <v>6313.22</v>
      </c>
      <c r="P33" s="158">
        <v>6647.96</v>
      </c>
      <c r="Q33" s="158">
        <v>3174.68</v>
      </c>
      <c r="R33" s="158">
        <v>10803.04</v>
      </c>
      <c r="S33" s="158">
        <v>8819.03</v>
      </c>
      <c r="T33" s="158">
        <v>19084.35</v>
      </c>
      <c r="U33" s="158">
        <v>4200</v>
      </c>
      <c r="V33" s="157">
        <v>4200</v>
      </c>
      <c r="W33" s="159">
        <v>4200</v>
      </c>
      <c r="X33" s="95">
        <f t="shared" si="4"/>
        <v>84409.20999999999</v>
      </c>
    </row>
    <row r="34" spans="1:24" ht="18">
      <c r="A34">
        <v>5</v>
      </c>
      <c r="B34" s="1" t="s">
        <v>8</v>
      </c>
      <c r="C34" s="1"/>
      <c r="D34" s="1"/>
      <c r="E34" s="1"/>
      <c r="F34" s="1"/>
      <c r="G34" s="1"/>
      <c r="H34" s="1"/>
      <c r="I34" s="178">
        <v>17</v>
      </c>
      <c r="J34" s="121">
        <f t="shared" si="1"/>
        <v>1.0083699999999993</v>
      </c>
      <c r="K34" s="95">
        <f t="shared" si="0"/>
        <v>15991.630000000001</v>
      </c>
      <c r="L34" s="156">
        <f>783.5+5038.1</f>
        <v>5821.6</v>
      </c>
      <c r="M34" s="157"/>
      <c r="N34" s="158">
        <v>900</v>
      </c>
      <c r="O34" s="158">
        <v>757.5</v>
      </c>
      <c r="P34" s="157"/>
      <c r="Q34" s="158">
        <v>1387</v>
      </c>
      <c r="R34" s="158">
        <v>3439.53</v>
      </c>
      <c r="S34" s="158">
        <v>135</v>
      </c>
      <c r="T34" s="158">
        <v>1486</v>
      </c>
      <c r="U34" s="157"/>
      <c r="V34" s="157">
        <v>1070</v>
      </c>
      <c r="W34" s="159">
        <v>995</v>
      </c>
      <c r="X34" s="95">
        <f t="shared" si="4"/>
        <v>15991.630000000001</v>
      </c>
    </row>
    <row r="35" spans="1:24" ht="18">
      <c r="A35">
        <v>6</v>
      </c>
      <c r="B35" s="1" t="s">
        <v>20</v>
      </c>
      <c r="C35" s="1"/>
      <c r="D35" s="1"/>
      <c r="E35" s="1"/>
      <c r="F35" s="1"/>
      <c r="G35" s="1"/>
      <c r="H35" s="1"/>
      <c r="I35" s="178">
        <v>33</v>
      </c>
      <c r="J35" s="121">
        <f t="shared" si="1"/>
        <v>0.4380000000000024</v>
      </c>
      <c r="K35" s="95">
        <f t="shared" si="0"/>
        <v>32562</v>
      </c>
      <c r="L35" s="160"/>
      <c r="M35" s="158">
        <v>13712</v>
      </c>
      <c r="N35" s="157"/>
      <c r="O35" s="157"/>
      <c r="P35" s="158">
        <f>1600+5200</f>
        <v>6800</v>
      </c>
      <c r="Q35" s="157"/>
      <c r="R35" s="158">
        <v>550</v>
      </c>
      <c r="S35" s="157"/>
      <c r="T35" s="158"/>
      <c r="U35" s="157"/>
      <c r="V35" s="157">
        <v>11500</v>
      </c>
      <c r="W35" s="159"/>
      <c r="X35" s="95">
        <f t="shared" si="4"/>
        <v>32562</v>
      </c>
    </row>
    <row r="36" spans="1:24" ht="18">
      <c r="A36">
        <v>7</v>
      </c>
      <c r="B36" s="1" t="s">
        <v>9</v>
      </c>
      <c r="C36" s="1"/>
      <c r="D36" s="1"/>
      <c r="E36" s="1"/>
      <c r="F36" s="1"/>
      <c r="G36" s="1"/>
      <c r="H36" s="1"/>
      <c r="I36" s="178">
        <v>24</v>
      </c>
      <c r="J36" s="121">
        <f t="shared" si="1"/>
        <v>0.17532999999999532</v>
      </c>
      <c r="K36" s="95">
        <f t="shared" si="0"/>
        <v>23824.670000000006</v>
      </c>
      <c r="L36" s="156">
        <v>1703.28</v>
      </c>
      <c r="M36" s="158">
        <v>1852.73</v>
      </c>
      <c r="N36" s="158">
        <v>2049.44</v>
      </c>
      <c r="O36" s="158">
        <v>2235.52</v>
      </c>
      <c r="P36" s="158">
        <v>1613.08</v>
      </c>
      <c r="Q36" s="158">
        <v>1794.82</v>
      </c>
      <c r="R36" s="158">
        <v>1598.75</v>
      </c>
      <c r="S36" s="158">
        <v>2842.11</v>
      </c>
      <c r="T36" s="158">
        <v>1879.71</v>
      </c>
      <c r="U36" s="158">
        <v>1921.27</v>
      </c>
      <c r="V36" s="158">
        <v>2193.88</v>
      </c>
      <c r="W36" s="161">
        <v>2140.08</v>
      </c>
      <c r="X36" s="95">
        <f t="shared" si="4"/>
        <v>23824.670000000006</v>
      </c>
    </row>
    <row r="37" spans="1:24" ht="18">
      <c r="A37">
        <v>8</v>
      </c>
      <c r="B37" s="1" t="s">
        <v>10</v>
      </c>
      <c r="C37" s="1"/>
      <c r="D37" s="1"/>
      <c r="E37" s="1"/>
      <c r="F37" s="1"/>
      <c r="G37" s="1"/>
      <c r="H37" s="1"/>
      <c r="I37" s="178">
        <v>45</v>
      </c>
      <c r="J37" s="121">
        <f t="shared" si="1"/>
        <v>5.009999999999998</v>
      </c>
      <c r="K37" s="95">
        <f t="shared" si="0"/>
        <v>39990</v>
      </c>
      <c r="L37" s="160"/>
      <c r="M37" s="158">
        <f>1380+2140</f>
        <v>3520</v>
      </c>
      <c r="N37" s="157"/>
      <c r="O37" s="158">
        <v>900</v>
      </c>
      <c r="P37" s="158">
        <v>31580</v>
      </c>
      <c r="Q37" s="158">
        <v>600</v>
      </c>
      <c r="R37" s="158">
        <f>600+1890</f>
        <v>2490</v>
      </c>
      <c r="S37" s="157"/>
      <c r="T37" s="158">
        <v>600</v>
      </c>
      <c r="U37" s="157"/>
      <c r="V37" s="157"/>
      <c r="W37" s="159">
        <v>300</v>
      </c>
      <c r="X37" s="95">
        <f t="shared" si="4"/>
        <v>39990</v>
      </c>
    </row>
    <row r="38" spans="1:24" ht="18">
      <c r="A38">
        <v>9</v>
      </c>
      <c r="B38" s="1" t="s">
        <v>18</v>
      </c>
      <c r="C38" s="1"/>
      <c r="D38" s="1"/>
      <c r="E38" s="1"/>
      <c r="F38" s="1"/>
      <c r="G38" s="1"/>
      <c r="H38" s="1"/>
      <c r="I38" s="178">
        <v>5</v>
      </c>
      <c r="J38" s="121">
        <f t="shared" si="1"/>
        <v>5</v>
      </c>
      <c r="K38" s="95">
        <f t="shared" si="0"/>
        <v>0</v>
      </c>
      <c r="L38" s="160"/>
      <c r="M38" s="157"/>
      <c r="N38" s="157"/>
      <c r="O38" s="157"/>
      <c r="P38" s="157"/>
      <c r="Q38" s="157"/>
      <c r="R38" s="157"/>
      <c r="S38" s="157"/>
      <c r="T38" s="158"/>
      <c r="U38" s="157"/>
      <c r="V38" s="157"/>
      <c r="W38" s="159"/>
      <c r="X38" s="95"/>
    </row>
    <row r="39" spans="1:24" ht="18">
      <c r="A39">
        <v>10</v>
      </c>
      <c r="B39" s="1" t="s">
        <v>25</v>
      </c>
      <c r="C39" s="1"/>
      <c r="D39" s="1"/>
      <c r="E39" s="1"/>
      <c r="F39" s="1"/>
      <c r="G39" s="1"/>
      <c r="H39" s="1"/>
      <c r="I39" s="178">
        <v>15</v>
      </c>
      <c r="J39" s="121">
        <f t="shared" si="1"/>
        <v>-0.02999999999999936</v>
      </c>
      <c r="K39" s="95">
        <f t="shared" si="0"/>
        <v>15030</v>
      </c>
      <c r="L39" s="156">
        <f>330+1450</f>
        <v>1780</v>
      </c>
      <c r="M39" s="158">
        <v>1450</v>
      </c>
      <c r="N39" s="157"/>
      <c r="O39" s="158">
        <v>1800</v>
      </c>
      <c r="P39" s="157"/>
      <c r="Q39" s="157"/>
      <c r="R39" s="157"/>
      <c r="S39" s="158">
        <v>1500</v>
      </c>
      <c r="T39" s="158"/>
      <c r="U39" s="158">
        <v>1300</v>
      </c>
      <c r="V39" s="157"/>
      <c r="W39" s="159">
        <v>7200</v>
      </c>
      <c r="X39" s="95">
        <f>SUM(L39:W39)</f>
        <v>15030</v>
      </c>
    </row>
    <row r="40" spans="1:24" ht="18.75" thickBot="1">
      <c r="A40">
        <v>11</v>
      </c>
      <c r="B40" s="1" t="s">
        <v>11</v>
      </c>
      <c r="C40" s="1"/>
      <c r="D40" s="1"/>
      <c r="E40" s="1"/>
      <c r="F40" s="1"/>
      <c r="G40" s="1"/>
      <c r="H40" s="1"/>
      <c r="I40" s="178">
        <v>20</v>
      </c>
      <c r="J40" s="122">
        <f t="shared" si="1"/>
        <v>0.5</v>
      </c>
      <c r="K40" s="97">
        <f t="shared" si="0"/>
        <v>19500</v>
      </c>
      <c r="L40" s="162">
        <v>1000</v>
      </c>
      <c r="M40" s="163">
        <v>1000</v>
      </c>
      <c r="N40" s="163">
        <v>1000</v>
      </c>
      <c r="O40" s="163">
        <v>1000</v>
      </c>
      <c r="P40" s="163">
        <v>1000</v>
      </c>
      <c r="Q40" s="163">
        <v>1000</v>
      </c>
      <c r="R40" s="163">
        <v>2500</v>
      </c>
      <c r="S40" s="163">
        <v>2500</v>
      </c>
      <c r="T40" s="163">
        <v>2500</v>
      </c>
      <c r="U40" s="163">
        <v>1000</v>
      </c>
      <c r="V40" s="164">
        <v>2500</v>
      </c>
      <c r="W40" s="165">
        <v>2500</v>
      </c>
      <c r="X40" s="97">
        <f>SUM(L40:W40)</f>
        <v>19500</v>
      </c>
    </row>
    <row r="41" spans="2:24" ht="18.75" thickBot="1">
      <c r="B41" s="129" t="s">
        <v>3</v>
      </c>
      <c r="C41" s="130"/>
      <c r="D41" s="130"/>
      <c r="E41" s="130"/>
      <c r="F41" s="130"/>
      <c r="G41" s="130"/>
      <c r="H41" s="130"/>
      <c r="I41" s="140">
        <f>SUM(I30:I40)</f>
        <v>3056.1406</v>
      </c>
      <c r="J41" s="124">
        <f t="shared" si="1"/>
        <v>462.7417320000004</v>
      </c>
      <c r="K41" s="128">
        <f t="shared" si="0"/>
        <v>2593398.868</v>
      </c>
      <c r="L41" s="166">
        <f aca="true" t="shared" si="5" ref="L41:T41">SUM(L32:L40)</f>
        <v>14751.750000000002</v>
      </c>
      <c r="M41" s="108">
        <f t="shared" si="5"/>
        <v>27228.2</v>
      </c>
      <c r="N41" s="108">
        <f t="shared" si="5"/>
        <v>12276.03</v>
      </c>
      <c r="O41" s="108">
        <f t="shared" si="5"/>
        <v>13676.24</v>
      </c>
      <c r="P41" s="108">
        <f t="shared" si="5"/>
        <v>47641.04</v>
      </c>
      <c r="Q41" s="108">
        <f t="shared" si="5"/>
        <v>7956.5</v>
      </c>
      <c r="R41" s="108">
        <f t="shared" si="5"/>
        <v>21631.32</v>
      </c>
      <c r="S41" s="108">
        <f t="shared" si="5"/>
        <v>15796.140000000001</v>
      </c>
      <c r="T41" s="108">
        <f t="shared" si="5"/>
        <v>25550.059999999998</v>
      </c>
      <c r="U41" s="167">
        <f>SUM(U30:U40)</f>
        <v>247180.198</v>
      </c>
      <c r="V41" s="108">
        <f>SUM(V30:V40)</f>
        <v>293498.552</v>
      </c>
      <c r="W41" s="109">
        <f>SUM(W30:W40)</f>
        <v>251044.08</v>
      </c>
      <c r="X41" s="102">
        <f>SUM(X30:X40)</f>
        <v>2593398.868</v>
      </c>
    </row>
    <row r="42" spans="2:24" ht="18">
      <c r="B42" s="70" t="s">
        <v>12</v>
      </c>
      <c r="C42" s="1"/>
      <c r="D42" s="1"/>
      <c r="E42" s="1"/>
      <c r="F42" s="1"/>
      <c r="G42" s="1"/>
      <c r="H42" s="1"/>
      <c r="I42" s="1"/>
      <c r="J42" s="123">
        <f t="shared" si="1"/>
        <v>0</v>
      </c>
      <c r="K42" s="99">
        <f t="shared" si="0"/>
        <v>0</v>
      </c>
      <c r="L42" s="168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70"/>
      <c r="X42" s="99"/>
    </row>
    <row r="43" spans="1:24" ht="18">
      <c r="A43">
        <v>12</v>
      </c>
      <c r="B43" s="1" t="s">
        <v>91</v>
      </c>
      <c r="C43" s="1"/>
      <c r="D43" s="1"/>
      <c r="E43" s="1"/>
      <c r="F43" s="1"/>
      <c r="G43" s="1"/>
      <c r="H43" s="1"/>
      <c r="I43" s="78">
        <f>746.26+140+75</f>
        <v>961.26</v>
      </c>
      <c r="J43" s="121">
        <f t="shared" si="1"/>
        <v>0.08793000000002849</v>
      </c>
      <c r="K43" s="95">
        <f t="shared" si="0"/>
        <v>961172.07</v>
      </c>
      <c r="L43" s="156">
        <f>62000+620*30.2</f>
        <v>80724</v>
      </c>
      <c r="M43" s="158">
        <f>62000+620*30.2</f>
        <v>80724</v>
      </c>
      <c r="N43" s="171">
        <f>81286+812.86*30.2</f>
        <v>105834.372</v>
      </c>
      <c r="O43" s="158">
        <f>99403+994.03*30.2</f>
        <v>129422.706</v>
      </c>
      <c r="P43" s="158">
        <f>100896+1008.96*30.2</f>
        <v>131366.592</v>
      </c>
      <c r="Q43" s="158">
        <f>94000+940*30.2</f>
        <v>122388</v>
      </c>
      <c r="R43" s="157"/>
      <c r="S43" s="171">
        <f>123529+123529/100*30.2</f>
        <v>160834.758</v>
      </c>
      <c r="T43" s="157"/>
      <c r="U43" s="158">
        <f>77034+77034/100*22</f>
        <v>93981.48</v>
      </c>
      <c r="V43" s="171">
        <f>42931+42931/100*30.2</f>
        <v>55896.162</v>
      </c>
      <c r="W43" s="159"/>
      <c r="X43" s="95">
        <f>SUM(L43:W43)</f>
        <v>961172.07</v>
      </c>
    </row>
    <row r="44" spans="1:24" ht="18">
      <c r="A44">
        <v>13</v>
      </c>
      <c r="B44" s="1" t="s">
        <v>23</v>
      </c>
      <c r="C44" s="1"/>
      <c r="D44" s="1"/>
      <c r="E44" s="1"/>
      <c r="F44" s="1"/>
      <c r="G44" s="1"/>
      <c r="H44" s="1"/>
      <c r="I44" s="70">
        <v>30</v>
      </c>
      <c r="J44" s="121">
        <f t="shared" si="1"/>
        <v>16.16563</v>
      </c>
      <c r="K44" s="95">
        <f t="shared" si="0"/>
        <v>13834.369999999999</v>
      </c>
      <c r="L44" s="156">
        <v>98.5</v>
      </c>
      <c r="M44" s="157"/>
      <c r="N44" s="158">
        <v>312.93</v>
      </c>
      <c r="O44" s="157"/>
      <c r="P44" s="157"/>
      <c r="Q44" s="158">
        <v>76.22</v>
      </c>
      <c r="R44" s="158">
        <f>1464.2+3587</f>
        <v>5051.2</v>
      </c>
      <c r="S44" s="158">
        <f>641.3+3971</f>
        <v>4612.3</v>
      </c>
      <c r="T44" s="158">
        <v>2927</v>
      </c>
      <c r="U44" s="158">
        <v>379.72</v>
      </c>
      <c r="V44" s="157">
        <v>103.6</v>
      </c>
      <c r="W44" s="159">
        <v>272.9</v>
      </c>
      <c r="X44" s="95">
        <f>SUM(L44:W44)</f>
        <v>13834.369999999999</v>
      </c>
    </row>
    <row r="45" spans="1:24" ht="18">
      <c r="A45">
        <v>14</v>
      </c>
      <c r="B45" s="1" t="s">
        <v>36</v>
      </c>
      <c r="C45" s="1"/>
      <c r="D45" s="1"/>
      <c r="E45" s="1"/>
      <c r="F45" s="1"/>
      <c r="G45" s="1"/>
      <c r="H45" s="1"/>
      <c r="I45" s="70">
        <v>50</v>
      </c>
      <c r="J45" s="121">
        <f t="shared" si="1"/>
        <v>6.799999999999997</v>
      </c>
      <c r="K45" s="95">
        <f t="shared" si="0"/>
        <v>43200</v>
      </c>
      <c r="L45" s="156">
        <v>3600</v>
      </c>
      <c r="M45" s="158">
        <v>3600</v>
      </c>
      <c r="N45" s="158">
        <v>3600</v>
      </c>
      <c r="O45" s="158">
        <v>3600</v>
      </c>
      <c r="P45" s="158">
        <v>3600</v>
      </c>
      <c r="Q45" s="158">
        <v>3600</v>
      </c>
      <c r="R45" s="158">
        <v>3600</v>
      </c>
      <c r="S45" s="158">
        <v>3600</v>
      </c>
      <c r="T45" s="158">
        <v>3600</v>
      </c>
      <c r="U45" s="158">
        <v>3600</v>
      </c>
      <c r="V45" s="157">
        <v>3600</v>
      </c>
      <c r="W45" s="159">
        <v>3600</v>
      </c>
      <c r="X45" s="95">
        <f>SUM(L45:W45)</f>
        <v>43200</v>
      </c>
    </row>
    <row r="46" spans="1:24" ht="18.75" thickBot="1">
      <c r="A46">
        <v>15</v>
      </c>
      <c r="B46" s="1" t="s">
        <v>14</v>
      </c>
      <c r="C46" s="1"/>
      <c r="D46" s="1"/>
      <c r="E46" s="1"/>
      <c r="F46" s="1"/>
      <c r="G46" s="1"/>
      <c r="H46" s="1"/>
      <c r="I46" s="70">
        <v>60</v>
      </c>
      <c r="J46" s="122">
        <f t="shared" si="1"/>
        <v>12.058769999999996</v>
      </c>
      <c r="K46" s="97">
        <f t="shared" si="0"/>
        <v>47941.23</v>
      </c>
      <c r="L46" s="172"/>
      <c r="M46" s="164"/>
      <c r="N46" s="164"/>
      <c r="O46" s="164"/>
      <c r="P46" s="164"/>
      <c r="Q46" s="164"/>
      <c r="R46" s="164"/>
      <c r="S46" s="164"/>
      <c r="T46" s="163">
        <v>47941.23</v>
      </c>
      <c r="U46" s="163"/>
      <c r="V46" s="164"/>
      <c r="W46" s="165"/>
      <c r="X46" s="97">
        <f>SUM(L46:W46)</f>
        <v>47941.23</v>
      </c>
    </row>
    <row r="47" spans="1:24" ht="18.75" thickBot="1">
      <c r="A47">
        <v>16</v>
      </c>
      <c r="B47" s="1" t="s">
        <v>38</v>
      </c>
      <c r="C47" s="1"/>
      <c r="D47" s="1"/>
      <c r="E47" s="1"/>
      <c r="F47" s="1"/>
      <c r="G47" s="1"/>
      <c r="H47" s="1"/>
      <c r="I47" s="70">
        <f>I48+I49+I50+I51+I52+I53+I54+I55+I56+I57+I58+I59+I60+I61</f>
        <v>2180.4</v>
      </c>
      <c r="J47" s="124">
        <f t="shared" si="1"/>
        <v>216.98316999999997</v>
      </c>
      <c r="K47" s="151">
        <f>K48+K49+K50+K51+K52+K53+K54+K55+K56+K57+K58+K59+K60+K61</f>
        <v>1963416.83</v>
      </c>
      <c r="L47" s="166">
        <f aca="true" t="shared" si="6" ref="L47:V47">L48+L49+L50+L51+L52+L53+L54+L55+L56+L57+L58</f>
        <v>7795</v>
      </c>
      <c r="M47" s="108">
        <f t="shared" si="6"/>
        <v>201130</v>
      </c>
      <c r="N47" s="108">
        <f t="shared" si="6"/>
        <v>168130.5</v>
      </c>
      <c r="O47" s="108">
        <f t="shared" si="6"/>
        <v>212666.33000000002</v>
      </c>
      <c r="P47" s="108">
        <f t="shared" si="6"/>
        <v>91622.77</v>
      </c>
      <c r="Q47" s="108">
        <f t="shared" si="6"/>
        <v>83787.37</v>
      </c>
      <c r="R47" s="108">
        <f>R48+R49+R50+R51+R52+R53+R54+R55+R56+R57+R58+R59</f>
        <v>437640.36</v>
      </c>
      <c r="S47" s="108">
        <f>S48+S49+S50+S51+S52+S53+S54+S55+S56+S57+S58+S59</f>
        <v>38762</v>
      </c>
      <c r="T47" s="108">
        <f>T48+T49+T50+T51+T52+T53+T54+T55+T56+T57+T58+T59</f>
        <v>167983.5</v>
      </c>
      <c r="U47" s="173">
        <f t="shared" si="6"/>
        <v>159658</v>
      </c>
      <c r="V47" s="108">
        <f t="shared" si="6"/>
        <v>43291</v>
      </c>
      <c r="W47" s="109">
        <f>W48+W49+W50+W51+W52+W53+W54+W55+W56+W57+W58+W59+W60+W61</f>
        <v>350900</v>
      </c>
      <c r="X47" s="102">
        <f>L47+M47+N47+O47+P47+Q47+R47+S47+T47+U47+V47+W47</f>
        <v>1963366.83</v>
      </c>
    </row>
    <row r="48" spans="1:24" ht="18">
      <c r="A48" s="93" t="s">
        <v>108</v>
      </c>
      <c r="B48" s="1" t="s">
        <v>126</v>
      </c>
      <c r="C48" s="1"/>
      <c r="D48" s="1"/>
      <c r="E48" s="1"/>
      <c r="F48" s="1"/>
      <c r="G48" s="1"/>
      <c r="H48" s="1"/>
      <c r="I48" s="84">
        <v>54.4</v>
      </c>
      <c r="J48" s="143">
        <f t="shared" si="1"/>
        <v>0.04299999999999926</v>
      </c>
      <c r="K48" s="103">
        <f t="shared" si="0"/>
        <v>54357</v>
      </c>
      <c r="L48" s="174"/>
      <c r="M48" s="175"/>
      <c r="N48" s="175"/>
      <c r="O48" s="175"/>
      <c r="P48" s="176">
        <v>54357</v>
      </c>
      <c r="Q48" s="175"/>
      <c r="R48" s="175"/>
      <c r="S48" s="175"/>
      <c r="T48" s="175"/>
      <c r="U48" s="175"/>
      <c r="V48" s="175"/>
      <c r="W48" s="177"/>
      <c r="X48" s="103">
        <f aca="true" t="shared" si="7" ref="X48:X56">SUM(L48:W48)</f>
        <v>54357</v>
      </c>
    </row>
    <row r="49" spans="1:24" ht="18">
      <c r="A49" s="93" t="s">
        <v>109</v>
      </c>
      <c r="B49" s="1" t="s">
        <v>127</v>
      </c>
      <c r="C49" s="1"/>
      <c r="D49" s="1"/>
      <c r="E49" s="1"/>
      <c r="F49" s="1"/>
      <c r="G49" s="1"/>
      <c r="H49" s="1"/>
      <c r="I49" s="84">
        <v>222</v>
      </c>
      <c r="J49" s="121">
        <f t="shared" si="1"/>
        <v>4.4199999999999875</v>
      </c>
      <c r="K49" s="95">
        <f t="shared" si="0"/>
        <v>217580</v>
      </c>
      <c r="L49" s="160"/>
      <c r="M49" s="157"/>
      <c r="N49" s="157"/>
      <c r="O49" s="158">
        <v>191180</v>
      </c>
      <c r="P49" s="158">
        <v>26400</v>
      </c>
      <c r="Q49" s="157"/>
      <c r="R49" s="157"/>
      <c r="S49" s="157"/>
      <c r="T49" s="157"/>
      <c r="U49" s="157"/>
      <c r="V49" s="157"/>
      <c r="W49" s="159"/>
      <c r="X49" s="95">
        <f t="shared" si="7"/>
        <v>217580</v>
      </c>
    </row>
    <row r="50" spans="1:24" ht="18">
      <c r="A50" s="93" t="s">
        <v>110</v>
      </c>
      <c r="B50" s="1" t="s">
        <v>131</v>
      </c>
      <c r="C50" s="1"/>
      <c r="D50" s="1"/>
      <c r="E50" s="1"/>
      <c r="F50" s="1"/>
      <c r="G50" s="1"/>
      <c r="H50" s="1"/>
      <c r="I50" s="84">
        <v>170</v>
      </c>
      <c r="J50" s="121">
        <f t="shared" si="1"/>
        <v>14.639999999999986</v>
      </c>
      <c r="K50" s="95">
        <f t="shared" si="0"/>
        <v>155360</v>
      </c>
      <c r="L50" s="160"/>
      <c r="M50" s="157"/>
      <c r="N50" s="157"/>
      <c r="O50" s="157"/>
      <c r="P50" s="157"/>
      <c r="Q50" s="157"/>
      <c r="R50" s="158">
        <v>155360</v>
      </c>
      <c r="S50" s="157"/>
      <c r="T50" s="157"/>
      <c r="U50" s="157"/>
      <c r="V50" s="157"/>
      <c r="W50" s="159"/>
      <c r="X50" s="95">
        <f t="shared" si="7"/>
        <v>155360</v>
      </c>
    </row>
    <row r="51" spans="1:24" ht="18">
      <c r="A51" s="93" t="s">
        <v>111</v>
      </c>
      <c r="B51" s="1" t="s">
        <v>138</v>
      </c>
      <c r="C51" s="1"/>
      <c r="D51" s="1"/>
      <c r="E51" s="1"/>
      <c r="F51" s="1"/>
      <c r="G51" s="1"/>
      <c r="H51" s="1"/>
      <c r="I51" s="84">
        <v>80</v>
      </c>
      <c r="J51" s="121">
        <f t="shared" si="1"/>
        <v>9.225499999999997</v>
      </c>
      <c r="K51" s="95">
        <f t="shared" si="0"/>
        <v>70774.5</v>
      </c>
      <c r="L51" s="160"/>
      <c r="M51" s="157"/>
      <c r="N51" s="157"/>
      <c r="O51" s="157"/>
      <c r="P51" s="157"/>
      <c r="Q51" s="157"/>
      <c r="R51" s="157"/>
      <c r="S51" s="157"/>
      <c r="T51" s="158">
        <v>5774.5</v>
      </c>
      <c r="U51" s="157"/>
      <c r="V51" s="157"/>
      <c r="W51" s="159">
        <v>65000</v>
      </c>
      <c r="X51" s="95">
        <f t="shared" si="7"/>
        <v>70774.5</v>
      </c>
    </row>
    <row r="52" spans="1:24" ht="18">
      <c r="A52" s="93" t="s">
        <v>112</v>
      </c>
      <c r="B52" s="1" t="s">
        <v>128</v>
      </c>
      <c r="C52" s="1"/>
      <c r="D52" s="1"/>
      <c r="E52" s="1"/>
      <c r="F52" s="1"/>
      <c r="G52" s="1"/>
      <c r="H52" s="1"/>
      <c r="I52" s="84">
        <f>124+96</f>
        <v>220</v>
      </c>
      <c r="J52" s="121">
        <f t="shared" si="1"/>
        <v>1.3199999999999932</v>
      </c>
      <c r="K52" s="95">
        <f t="shared" si="0"/>
        <v>218680</v>
      </c>
      <c r="L52" s="160"/>
      <c r="M52" s="158">
        <v>95080</v>
      </c>
      <c r="N52" s="158">
        <v>123600</v>
      </c>
      <c r="O52" s="157"/>
      <c r="P52" s="157"/>
      <c r="Q52" s="157"/>
      <c r="R52" s="157"/>
      <c r="S52" s="157"/>
      <c r="T52" s="157"/>
      <c r="U52" s="157"/>
      <c r="V52" s="157"/>
      <c r="W52" s="159"/>
      <c r="X52" s="95">
        <f t="shared" si="7"/>
        <v>218680</v>
      </c>
    </row>
    <row r="53" spans="1:24" ht="18">
      <c r="A53" s="93" t="s">
        <v>113</v>
      </c>
      <c r="B53" s="1" t="s">
        <v>129</v>
      </c>
      <c r="C53" s="1"/>
      <c r="D53" s="1"/>
      <c r="E53" s="1"/>
      <c r="F53" s="1"/>
      <c r="G53" s="1"/>
      <c r="H53" s="1"/>
      <c r="I53" s="84">
        <v>209</v>
      </c>
      <c r="J53" s="121">
        <f t="shared" si="1"/>
        <v>1.6399999999999864</v>
      </c>
      <c r="K53" s="95">
        <f t="shared" si="0"/>
        <v>207360</v>
      </c>
      <c r="L53" s="160"/>
      <c r="M53" s="157"/>
      <c r="N53" s="158">
        <v>20360</v>
      </c>
      <c r="O53" s="157"/>
      <c r="P53" s="157"/>
      <c r="Q53" s="157"/>
      <c r="R53" s="158">
        <v>187000</v>
      </c>
      <c r="S53" s="157"/>
      <c r="T53" s="158"/>
      <c r="U53" s="157"/>
      <c r="V53" s="157"/>
      <c r="W53" s="159"/>
      <c r="X53" s="95">
        <f t="shared" si="7"/>
        <v>207360</v>
      </c>
    </row>
    <row r="54" spans="1:24" ht="18">
      <c r="A54" s="93" t="s">
        <v>114</v>
      </c>
      <c r="B54" s="86" t="s">
        <v>130</v>
      </c>
      <c r="C54" s="86"/>
      <c r="D54" s="86"/>
      <c r="E54" s="86"/>
      <c r="F54" s="86"/>
      <c r="G54" s="86"/>
      <c r="H54" s="86"/>
      <c r="I54" s="84">
        <v>255</v>
      </c>
      <c r="J54" s="121">
        <f t="shared" si="1"/>
        <v>79.44999999999999</v>
      </c>
      <c r="K54" s="95">
        <f t="shared" si="0"/>
        <v>175550</v>
      </c>
      <c r="L54" s="160"/>
      <c r="M54" s="157"/>
      <c r="N54" s="157"/>
      <c r="O54" s="157"/>
      <c r="P54" s="157"/>
      <c r="Q54" s="157"/>
      <c r="R54" s="158">
        <v>75000</v>
      </c>
      <c r="S54" s="157"/>
      <c r="T54" s="158">
        <v>75000</v>
      </c>
      <c r="U54" s="158">
        <f>13550+12000</f>
        <v>25550</v>
      </c>
      <c r="V54" s="157"/>
      <c r="W54" s="159"/>
      <c r="X54" s="95">
        <f t="shared" si="7"/>
        <v>175550</v>
      </c>
    </row>
    <row r="55" spans="1:24" ht="18">
      <c r="A55" s="93" t="s">
        <v>115</v>
      </c>
      <c r="B55" s="1" t="s">
        <v>92</v>
      </c>
      <c r="C55" s="1"/>
      <c r="D55" s="1"/>
      <c r="E55" s="1"/>
      <c r="F55" s="1"/>
      <c r="G55" s="1"/>
      <c r="H55" s="1"/>
      <c r="I55" s="84">
        <v>435</v>
      </c>
      <c r="J55" s="121">
        <f t="shared" si="1"/>
        <v>9.095669999999984</v>
      </c>
      <c r="K55" s="95">
        <f t="shared" si="0"/>
        <v>425904.33</v>
      </c>
      <c r="L55" s="156">
        <f>7235+560</f>
        <v>7795</v>
      </c>
      <c r="M55" s="158">
        <f>510+2300+240+10000+3000</f>
        <v>16050</v>
      </c>
      <c r="N55" s="158">
        <f>7290+350+3662.5+5868+7000</f>
        <v>24170.5</v>
      </c>
      <c r="O55" s="158">
        <f>2286.33+200+2500+15000+1500</f>
        <v>21486.33</v>
      </c>
      <c r="P55" s="158">
        <f>7965.77+2900</f>
        <v>10865.77</v>
      </c>
      <c r="Q55" s="158">
        <f>43087.37+500+30000+10200</f>
        <v>83787.37</v>
      </c>
      <c r="R55" s="158">
        <f>8280+7540+1530.36</f>
        <v>17350.36</v>
      </c>
      <c r="S55" s="158">
        <f>290+7810+17841+6100</f>
        <v>32041</v>
      </c>
      <c r="T55" s="158">
        <v>7509</v>
      </c>
      <c r="U55" s="158">
        <f>75000+1918</f>
        <v>76918</v>
      </c>
      <c r="V55" s="157">
        <f>12400+3286+250+27355</f>
        <v>43291</v>
      </c>
      <c r="W55" s="159">
        <f>240+24000+19000+12000+5409+360+23631</f>
        <v>84640</v>
      </c>
      <c r="X55" s="95">
        <f t="shared" si="7"/>
        <v>425904.33</v>
      </c>
    </row>
    <row r="56" spans="1:24" ht="18">
      <c r="A56" s="93" t="s">
        <v>132</v>
      </c>
      <c r="B56" s="1" t="s">
        <v>133</v>
      </c>
      <c r="C56" s="1"/>
      <c r="D56" s="1"/>
      <c r="E56" s="1"/>
      <c r="F56" s="1"/>
      <c r="G56" s="1"/>
      <c r="H56" s="1"/>
      <c r="I56" s="84">
        <v>90</v>
      </c>
      <c r="J56" s="121">
        <f t="shared" si="1"/>
        <v>0</v>
      </c>
      <c r="K56" s="95">
        <f t="shared" si="0"/>
        <v>90000</v>
      </c>
      <c r="L56" s="160"/>
      <c r="M56" s="158">
        <v>90000</v>
      </c>
      <c r="N56" s="157"/>
      <c r="O56" s="157"/>
      <c r="P56" s="157"/>
      <c r="Q56" s="157"/>
      <c r="R56" s="157"/>
      <c r="S56" s="157"/>
      <c r="T56" s="158"/>
      <c r="U56" s="158"/>
      <c r="V56" s="157"/>
      <c r="W56" s="159"/>
      <c r="X56" s="95">
        <f t="shared" si="7"/>
        <v>90000</v>
      </c>
    </row>
    <row r="57" spans="1:24" ht="18">
      <c r="A57" s="93" t="s">
        <v>134</v>
      </c>
      <c r="B57" s="1" t="s">
        <v>135</v>
      </c>
      <c r="C57" s="1"/>
      <c r="D57" s="1"/>
      <c r="E57" s="1"/>
      <c r="F57" s="1"/>
      <c r="G57" s="1"/>
      <c r="H57" s="1"/>
      <c r="I57" s="84">
        <v>50</v>
      </c>
      <c r="J57" s="121">
        <f t="shared" si="1"/>
        <v>50</v>
      </c>
      <c r="K57" s="95">
        <f t="shared" si="0"/>
        <v>0</v>
      </c>
      <c r="L57" s="160"/>
      <c r="M57" s="157"/>
      <c r="N57" s="157"/>
      <c r="O57" s="157"/>
      <c r="P57" s="157"/>
      <c r="Q57" s="157"/>
      <c r="R57" s="157"/>
      <c r="S57" s="157"/>
      <c r="T57" s="158"/>
      <c r="U57" s="158"/>
      <c r="V57" s="157"/>
      <c r="W57" s="159"/>
      <c r="X57" s="95"/>
    </row>
    <row r="58" spans="1:24" ht="18">
      <c r="A58" s="93" t="s">
        <v>136</v>
      </c>
      <c r="B58" s="1" t="s">
        <v>137</v>
      </c>
      <c r="C58" s="1"/>
      <c r="D58" s="1"/>
      <c r="E58" s="1"/>
      <c r="F58" s="1"/>
      <c r="G58" s="1"/>
      <c r="H58" s="1"/>
      <c r="I58" s="84">
        <v>130</v>
      </c>
      <c r="J58" s="121">
        <f t="shared" si="1"/>
        <v>6.480000000000004</v>
      </c>
      <c r="K58" s="95">
        <f t="shared" si="0"/>
        <v>123520</v>
      </c>
      <c r="L58" s="126"/>
      <c r="M58" s="37"/>
      <c r="N58" s="37"/>
      <c r="O58" s="37"/>
      <c r="P58" s="37"/>
      <c r="Q58" s="37"/>
      <c r="R58" s="37"/>
      <c r="S58" s="37"/>
      <c r="T58" s="42">
        <v>14000</v>
      </c>
      <c r="U58" s="42">
        <f>24000+33190</f>
        <v>57190</v>
      </c>
      <c r="V58" s="37"/>
      <c r="W58" s="94">
        <f>22780+29550</f>
        <v>52330</v>
      </c>
      <c r="X58" s="95">
        <f>SUM(L58:W58)</f>
        <v>123520</v>
      </c>
    </row>
    <row r="59" spans="1:24" ht="18">
      <c r="A59" s="93" t="s">
        <v>146</v>
      </c>
      <c r="B59" s="1" t="s">
        <v>147</v>
      </c>
      <c r="C59" s="1"/>
      <c r="D59" s="1"/>
      <c r="E59" s="1"/>
      <c r="F59" s="1"/>
      <c r="G59" s="1" t="s">
        <v>149</v>
      </c>
      <c r="H59" s="1"/>
      <c r="I59" s="84">
        <v>100</v>
      </c>
      <c r="J59" s="121">
        <f t="shared" si="1"/>
        <v>6.869</v>
      </c>
      <c r="K59" s="95">
        <f>X59</f>
        <v>93131</v>
      </c>
      <c r="L59" s="126"/>
      <c r="M59" s="37"/>
      <c r="N59" s="37"/>
      <c r="O59" s="37"/>
      <c r="P59" s="37"/>
      <c r="Q59" s="37"/>
      <c r="R59" s="42">
        <v>2930</v>
      </c>
      <c r="S59" s="42">
        <v>6721</v>
      </c>
      <c r="T59" s="42">
        <v>65700</v>
      </c>
      <c r="U59" s="37"/>
      <c r="V59" s="37"/>
      <c r="W59" s="142">
        <v>17780</v>
      </c>
      <c r="X59" s="95">
        <f>SUM(L59:W59)</f>
        <v>93131</v>
      </c>
    </row>
    <row r="60" spans="1:24" ht="18">
      <c r="A60" s="93" t="s">
        <v>150</v>
      </c>
      <c r="B60" s="1" t="s">
        <v>151</v>
      </c>
      <c r="C60" s="1"/>
      <c r="D60" s="1"/>
      <c r="E60" s="1"/>
      <c r="F60" s="1"/>
      <c r="G60" s="1"/>
      <c r="H60" s="1"/>
      <c r="I60" s="84">
        <v>100</v>
      </c>
      <c r="J60" s="121">
        <f t="shared" si="1"/>
        <v>33.3</v>
      </c>
      <c r="K60" s="95">
        <f>X60</f>
        <v>66700</v>
      </c>
      <c r="L60" s="104"/>
      <c r="M60" s="37"/>
      <c r="N60" s="37"/>
      <c r="O60" s="37"/>
      <c r="P60" s="37"/>
      <c r="Q60" s="37"/>
      <c r="R60" s="42"/>
      <c r="S60" s="42"/>
      <c r="T60" s="42"/>
      <c r="U60" s="37"/>
      <c r="V60" s="37"/>
      <c r="W60" s="94">
        <v>66700</v>
      </c>
      <c r="X60" s="95">
        <f>W60</f>
        <v>66700</v>
      </c>
    </row>
    <row r="61" spans="1:24" ht="18.75" thickBot="1">
      <c r="A61" s="93" t="s">
        <v>152</v>
      </c>
      <c r="B61" s="1" t="s">
        <v>153</v>
      </c>
      <c r="C61" s="1"/>
      <c r="D61" s="1"/>
      <c r="E61" s="1"/>
      <c r="F61" s="1"/>
      <c r="G61" s="1"/>
      <c r="H61" s="1"/>
      <c r="I61" s="84">
        <v>65</v>
      </c>
      <c r="J61" s="144">
        <v>0.5</v>
      </c>
      <c r="K61" s="150">
        <v>64500</v>
      </c>
      <c r="L61" s="146"/>
      <c r="M61" s="147"/>
      <c r="N61" s="147"/>
      <c r="O61" s="147"/>
      <c r="P61" s="147"/>
      <c r="Q61" s="147"/>
      <c r="R61" s="148"/>
      <c r="S61" s="148"/>
      <c r="T61" s="148"/>
      <c r="U61" s="147"/>
      <c r="V61" s="147"/>
      <c r="W61" s="149">
        <v>64450</v>
      </c>
      <c r="X61" s="145">
        <f>SUM(W61)</f>
        <v>64450</v>
      </c>
    </row>
    <row r="62" spans="1:24" ht="18">
      <c r="A62">
        <v>17</v>
      </c>
      <c r="B62" s="86" t="s">
        <v>41</v>
      </c>
      <c r="C62" s="86"/>
      <c r="D62" s="86"/>
      <c r="E62" s="86"/>
      <c r="F62" s="86"/>
      <c r="G62" s="86"/>
      <c r="H62" s="86"/>
      <c r="I62" s="70">
        <v>50</v>
      </c>
      <c r="J62" s="123">
        <f t="shared" si="1"/>
        <v>26.625</v>
      </c>
      <c r="K62" s="99">
        <f t="shared" si="0"/>
        <v>23375</v>
      </c>
      <c r="L62" s="107"/>
      <c r="M62" s="60"/>
      <c r="N62" s="60"/>
      <c r="O62" s="60"/>
      <c r="P62" s="60"/>
      <c r="Q62" s="60"/>
      <c r="R62" s="60"/>
      <c r="S62" s="127">
        <v>23375</v>
      </c>
      <c r="T62" s="60"/>
      <c r="U62" s="60"/>
      <c r="V62" s="60"/>
      <c r="W62" s="98"/>
      <c r="X62" s="99">
        <f>SUM(S62:W62)</f>
        <v>23375</v>
      </c>
    </row>
    <row r="63" spans="1:24" ht="18">
      <c r="A63">
        <v>18</v>
      </c>
      <c r="B63" s="86" t="s">
        <v>87</v>
      </c>
      <c r="C63" s="86"/>
      <c r="D63" s="86"/>
      <c r="E63" s="86"/>
      <c r="F63" s="86"/>
      <c r="G63" s="86"/>
      <c r="H63" s="86"/>
      <c r="I63" s="70">
        <v>40</v>
      </c>
      <c r="J63" s="121">
        <f t="shared" si="1"/>
        <v>0</v>
      </c>
      <c r="K63" s="95">
        <f t="shared" si="0"/>
        <v>40000</v>
      </c>
      <c r="L63" s="104"/>
      <c r="M63" s="37"/>
      <c r="N63" s="37"/>
      <c r="O63" s="37"/>
      <c r="P63" s="42">
        <v>40000</v>
      </c>
      <c r="Q63" s="37"/>
      <c r="R63" s="37"/>
      <c r="S63" s="37"/>
      <c r="T63" s="37"/>
      <c r="U63" s="37"/>
      <c r="V63" s="37"/>
      <c r="W63" s="94"/>
      <c r="X63" s="95">
        <f>SUM(L63:W63)</f>
        <v>40000</v>
      </c>
    </row>
    <row r="64" spans="1:24" ht="18">
      <c r="A64">
        <v>19</v>
      </c>
      <c r="B64" s="86" t="s">
        <v>140</v>
      </c>
      <c r="C64" s="86"/>
      <c r="D64" s="86"/>
      <c r="E64" s="86"/>
      <c r="F64" s="86"/>
      <c r="G64" s="86"/>
      <c r="H64" s="86"/>
      <c r="I64" s="70">
        <v>70</v>
      </c>
      <c r="J64" s="121">
        <f t="shared" si="1"/>
        <v>70</v>
      </c>
      <c r="K64" s="95">
        <f t="shared" si="0"/>
        <v>0</v>
      </c>
      <c r="L64" s="104"/>
      <c r="M64" s="37"/>
      <c r="N64" s="37"/>
      <c r="O64" s="37"/>
      <c r="P64" s="37"/>
      <c r="Q64" s="37"/>
      <c r="R64" s="37"/>
      <c r="S64" s="37"/>
      <c r="T64" s="42"/>
      <c r="U64" s="37"/>
      <c r="V64" s="37"/>
      <c r="W64" s="94"/>
      <c r="X64" s="95"/>
    </row>
    <row r="65" spans="1:24" ht="18">
      <c r="A65">
        <v>20</v>
      </c>
      <c r="B65" s="1" t="s">
        <v>30</v>
      </c>
      <c r="C65" s="1"/>
      <c r="D65" s="1"/>
      <c r="E65" s="1"/>
      <c r="F65" s="1"/>
      <c r="G65" s="1"/>
      <c r="H65" s="1"/>
      <c r="I65" s="70">
        <v>210</v>
      </c>
      <c r="J65" s="121">
        <f t="shared" si="1"/>
        <v>24.560159999999996</v>
      </c>
      <c r="K65" s="95">
        <f t="shared" si="0"/>
        <v>185439.84</v>
      </c>
      <c r="L65" s="104"/>
      <c r="M65" s="37"/>
      <c r="N65" s="37"/>
      <c r="O65" s="42">
        <f>31471.98+41229.76+101.6</f>
        <v>72803.34000000001</v>
      </c>
      <c r="P65" s="42">
        <f>28680</f>
        <v>28680</v>
      </c>
      <c r="Q65" s="42">
        <v>16824.87</v>
      </c>
      <c r="R65" s="37"/>
      <c r="S65" s="37"/>
      <c r="T65" s="42">
        <v>16960</v>
      </c>
      <c r="U65" s="42">
        <f>14908.8+3816+28851.5+200</f>
        <v>47776.3</v>
      </c>
      <c r="V65" s="37">
        <f>1692+667.43</f>
        <v>2359.43</v>
      </c>
      <c r="W65" s="94">
        <v>35.9</v>
      </c>
      <c r="X65" s="95">
        <f>SUM(L65:W65)</f>
        <v>185439.84</v>
      </c>
    </row>
    <row r="66" spans="1:24" ht="18">
      <c r="A66">
        <v>21</v>
      </c>
      <c r="B66" s="86" t="s">
        <v>139</v>
      </c>
      <c r="C66" s="1"/>
      <c r="D66" s="1"/>
      <c r="E66" s="1"/>
      <c r="F66" s="1"/>
      <c r="G66" s="1"/>
      <c r="H66" s="1"/>
      <c r="I66" s="70">
        <v>30</v>
      </c>
      <c r="J66" s="121">
        <f t="shared" si="1"/>
        <v>6.9419</v>
      </c>
      <c r="K66" s="95">
        <f t="shared" si="0"/>
        <v>23058.1</v>
      </c>
      <c r="L66" s="104"/>
      <c r="M66" s="37"/>
      <c r="N66" s="37"/>
      <c r="O66" s="37"/>
      <c r="P66" s="37"/>
      <c r="Q66" s="37"/>
      <c r="R66" s="37"/>
      <c r="S66" s="42">
        <v>7300</v>
      </c>
      <c r="T66" s="42"/>
      <c r="U66" s="37"/>
      <c r="V66" s="37">
        <v>9000</v>
      </c>
      <c r="W66" s="94">
        <f>6758.1</f>
        <v>6758.1</v>
      </c>
      <c r="X66" s="95">
        <f>SUM(L66:W66)</f>
        <v>23058.1</v>
      </c>
    </row>
    <row r="67" spans="1:24" ht="18">
      <c r="A67">
        <v>22</v>
      </c>
      <c r="B67" s="86" t="s">
        <v>141</v>
      </c>
      <c r="C67" s="1"/>
      <c r="D67" s="1"/>
      <c r="E67" s="1"/>
      <c r="F67" s="1"/>
      <c r="G67" s="1"/>
      <c r="H67" s="1"/>
      <c r="I67" s="70">
        <v>250</v>
      </c>
      <c r="J67" s="121">
        <f t="shared" si="1"/>
        <v>4.91640000000001</v>
      </c>
      <c r="K67" s="95">
        <f t="shared" si="0"/>
        <v>245083.59999999998</v>
      </c>
      <c r="L67" s="104"/>
      <c r="M67" s="37"/>
      <c r="N67" s="37"/>
      <c r="O67" s="37"/>
      <c r="P67" s="42">
        <v>138785.8</v>
      </c>
      <c r="Q67" s="37"/>
      <c r="R67" s="37"/>
      <c r="S67" s="37"/>
      <c r="T67" s="42">
        <v>106297.8</v>
      </c>
      <c r="U67" s="37"/>
      <c r="V67" s="37"/>
      <c r="W67" s="94"/>
      <c r="X67" s="95">
        <f>SUM(L67:W67)</f>
        <v>245083.59999999998</v>
      </c>
    </row>
    <row r="68" spans="1:24" ht="18">
      <c r="A68">
        <v>23</v>
      </c>
      <c r="B68" s="86" t="s">
        <v>88</v>
      </c>
      <c r="C68" s="1"/>
      <c r="D68" s="1"/>
      <c r="E68" s="1"/>
      <c r="F68" s="1"/>
      <c r="G68" s="1"/>
      <c r="H68" s="1"/>
      <c r="I68" s="70">
        <v>180</v>
      </c>
      <c r="J68" s="121">
        <f t="shared" si="1"/>
        <v>29.5</v>
      </c>
      <c r="K68" s="95">
        <f t="shared" si="0"/>
        <v>150500</v>
      </c>
      <c r="L68" s="156">
        <v>4500</v>
      </c>
      <c r="M68" s="42">
        <v>3000</v>
      </c>
      <c r="N68" s="42">
        <v>3000</v>
      </c>
      <c r="O68" s="37"/>
      <c r="P68" s="37"/>
      <c r="Q68" s="42">
        <v>3000</v>
      </c>
      <c r="R68" s="42">
        <f>1500+1500+60000+55000</f>
        <v>118000</v>
      </c>
      <c r="S68" s="37"/>
      <c r="T68" s="42">
        <v>9000</v>
      </c>
      <c r="U68" s="37"/>
      <c r="V68" s="37">
        <v>1500</v>
      </c>
      <c r="W68" s="94">
        <f>1500+7000</f>
        <v>8500</v>
      </c>
      <c r="X68" s="95">
        <f>SUM(L68:W68)</f>
        <v>150500</v>
      </c>
    </row>
    <row r="69" spans="1:24" ht="18">
      <c r="A69">
        <v>24</v>
      </c>
      <c r="B69" s="1" t="s">
        <v>24</v>
      </c>
      <c r="C69" s="1"/>
      <c r="D69" s="1"/>
      <c r="E69" s="1"/>
      <c r="F69" s="1"/>
      <c r="G69" s="1"/>
      <c r="H69" s="1"/>
      <c r="I69" s="70">
        <v>60</v>
      </c>
      <c r="J69" s="121">
        <f t="shared" si="1"/>
        <v>19.371470000000002</v>
      </c>
      <c r="K69" s="95">
        <f t="shared" si="0"/>
        <v>40628.53</v>
      </c>
      <c r="L69" s="156">
        <v>2550.69</v>
      </c>
      <c r="M69" s="42">
        <v>6560.9</v>
      </c>
      <c r="N69" s="42">
        <v>2136.68</v>
      </c>
      <c r="O69" s="42">
        <v>4503.08</v>
      </c>
      <c r="P69" s="42">
        <v>5490.4</v>
      </c>
      <c r="Q69" s="42">
        <v>1535.95</v>
      </c>
      <c r="R69" s="42">
        <v>6688.37</v>
      </c>
      <c r="S69" s="42">
        <v>888.75</v>
      </c>
      <c r="T69" s="42">
        <v>1006.6</v>
      </c>
      <c r="U69" s="37">
        <v>918.71</v>
      </c>
      <c r="V69" s="37">
        <v>1455</v>
      </c>
      <c r="W69" s="94">
        <f>6697.4+196</f>
        <v>6893.4</v>
      </c>
      <c r="X69" s="95">
        <f>SUM(L69:W69)</f>
        <v>40628.53</v>
      </c>
    </row>
    <row r="70" spans="1:24" ht="18">
      <c r="A70">
        <v>25</v>
      </c>
      <c r="B70" s="86" t="s">
        <v>90</v>
      </c>
      <c r="C70" s="1"/>
      <c r="D70" s="1"/>
      <c r="E70" s="1"/>
      <c r="F70" s="1"/>
      <c r="G70" s="1"/>
      <c r="H70" s="1"/>
      <c r="I70" s="70">
        <f>112.15-50</f>
        <v>62.150000000000006</v>
      </c>
      <c r="J70" s="121">
        <f t="shared" si="1"/>
        <v>62.150000000000006</v>
      </c>
      <c r="K70" s="95">
        <f t="shared" si="0"/>
        <v>0</v>
      </c>
      <c r="L70" s="104"/>
      <c r="M70" s="37"/>
      <c r="N70" s="37"/>
      <c r="O70" s="37"/>
      <c r="P70" s="37"/>
      <c r="Q70" s="37"/>
      <c r="R70" s="37"/>
      <c r="S70" s="42"/>
      <c r="T70" s="42"/>
      <c r="U70" s="37"/>
      <c r="V70" s="37"/>
      <c r="W70" s="94"/>
      <c r="X70" s="95"/>
    </row>
    <row r="71" spans="1:24" ht="18.75" thickBot="1">
      <c r="A71">
        <v>26</v>
      </c>
      <c r="B71" s="1" t="s">
        <v>15</v>
      </c>
      <c r="C71" s="1"/>
      <c r="D71" s="1"/>
      <c r="E71" s="1"/>
      <c r="F71" s="1"/>
      <c r="G71" s="1"/>
      <c r="H71" s="1"/>
      <c r="I71" s="70">
        <f>150+67.5-20</f>
        <v>197.5</v>
      </c>
      <c r="J71" s="122">
        <f t="shared" si="1"/>
        <v>107.58367</v>
      </c>
      <c r="K71" s="97">
        <f t="shared" si="0"/>
        <v>89916.33</v>
      </c>
      <c r="L71" s="105"/>
      <c r="M71" s="59"/>
      <c r="N71" s="59"/>
      <c r="O71" s="59"/>
      <c r="P71" s="59"/>
      <c r="Q71" s="59"/>
      <c r="R71" s="125">
        <v>3120</v>
      </c>
      <c r="S71" s="125">
        <v>130</v>
      </c>
      <c r="T71" s="125">
        <v>220</v>
      </c>
      <c r="U71" s="59"/>
      <c r="V71" s="59">
        <f>220+5006.33</f>
        <v>5226.33</v>
      </c>
      <c r="W71" s="96">
        <f>220+37000+39000+5000</f>
        <v>81220</v>
      </c>
      <c r="X71" s="97">
        <f>SUM(L71:W71)</f>
        <v>89916.33</v>
      </c>
    </row>
    <row r="72" spans="2:25" ht="18.75" thickBot="1">
      <c r="B72" s="129" t="s">
        <v>3</v>
      </c>
      <c r="C72" s="130"/>
      <c r="D72" s="130"/>
      <c r="E72" s="130"/>
      <c r="F72" s="130"/>
      <c r="G72" s="130"/>
      <c r="H72" s="130"/>
      <c r="I72" s="131">
        <f>I43+I44+I45+I46+I47+I62+I63+I64+I65+I66+I67+I68+I69+I70+I71</f>
        <v>4431.3099999999995</v>
      </c>
      <c r="J72" s="124">
        <f t="shared" si="1"/>
        <v>603.7440999999994</v>
      </c>
      <c r="K72" s="102">
        <f>K42+K43+K44+K45+K46+K47+K62+K63+K64+K65+K66+K67+K68+K69+K70+K71</f>
        <v>3827565.9</v>
      </c>
      <c r="L72" s="106">
        <f aca="true" t="shared" si="8" ref="L72:X72">L42+L43+L44+L45+L46+L47+L62+L63+L64+L65+L66+L67+L68+L69+L70+L71</f>
        <v>99268.19</v>
      </c>
      <c r="M72" s="39">
        <f t="shared" si="8"/>
        <v>295014.9</v>
      </c>
      <c r="N72" s="39">
        <f t="shared" si="8"/>
        <v>283014.482</v>
      </c>
      <c r="O72" s="39">
        <f t="shared" si="8"/>
        <v>422995.45600000006</v>
      </c>
      <c r="P72" s="39">
        <f t="shared" si="8"/>
        <v>439545.56200000003</v>
      </c>
      <c r="Q72" s="39">
        <f t="shared" si="8"/>
        <v>231212.41</v>
      </c>
      <c r="R72" s="39">
        <f t="shared" si="8"/>
        <v>574099.93</v>
      </c>
      <c r="S72" s="39">
        <f t="shared" si="8"/>
        <v>239502.808</v>
      </c>
      <c r="T72" s="39">
        <f t="shared" si="8"/>
        <v>355936.13</v>
      </c>
      <c r="U72" s="39">
        <f t="shared" si="8"/>
        <v>306314.21</v>
      </c>
      <c r="V72" s="39">
        <f t="shared" si="8"/>
        <v>122431.52199999998</v>
      </c>
      <c r="W72" s="39">
        <f t="shared" si="8"/>
        <v>458180.30000000005</v>
      </c>
      <c r="X72" s="39">
        <f t="shared" si="8"/>
        <v>3827515.9</v>
      </c>
      <c r="Y72" t="s">
        <v>154</v>
      </c>
    </row>
    <row r="73" spans="2:24" ht="18.75" thickBot="1">
      <c r="B73" s="87"/>
      <c r="C73" s="72"/>
      <c r="D73" s="72"/>
      <c r="E73" s="72"/>
      <c r="F73" s="72"/>
      <c r="G73" s="72"/>
      <c r="H73" s="72"/>
      <c r="I73" s="77"/>
      <c r="J73" s="132">
        <f t="shared" si="1"/>
        <v>0</v>
      </c>
      <c r="K73" s="133"/>
      <c r="L73" s="134"/>
      <c r="M73" s="135"/>
      <c r="N73" s="135"/>
      <c r="O73" s="135">
        <f>56529.49+36323.42</f>
        <v>92852.91</v>
      </c>
      <c r="P73" s="135"/>
      <c r="Q73" s="135"/>
      <c r="R73" s="135"/>
      <c r="S73" s="135">
        <v>8702.41</v>
      </c>
      <c r="T73" s="135"/>
      <c r="U73" s="135"/>
      <c r="V73" s="135"/>
      <c r="W73" s="136"/>
      <c r="X73" s="133">
        <f>SUM(L73:W73)</f>
        <v>101555.32</v>
      </c>
    </row>
    <row r="74" spans="2:24" ht="18.75" thickBot="1">
      <c r="B74" s="137" t="s">
        <v>16</v>
      </c>
      <c r="C74" s="138"/>
      <c r="D74" s="138"/>
      <c r="E74" s="138"/>
      <c r="F74" s="138"/>
      <c r="G74" s="138"/>
      <c r="H74" s="138"/>
      <c r="I74" s="139">
        <f>I72+I41+I28</f>
        <v>8619.4506</v>
      </c>
      <c r="J74" s="124">
        <f>I74-(K74/1000)</f>
        <v>1036.898572000001</v>
      </c>
      <c r="K74" s="102">
        <f>K72+K41+K28</f>
        <v>7582552.027999999</v>
      </c>
      <c r="L74" s="106">
        <f aca="true" t="shared" si="9" ref="L74:W74">L72+L41+L28</f>
        <v>207282.43</v>
      </c>
      <c r="M74" s="106">
        <f t="shared" si="9"/>
        <v>409449.12</v>
      </c>
      <c r="N74" s="106">
        <f t="shared" si="9"/>
        <v>388553.00200000004</v>
      </c>
      <c r="O74" s="106">
        <f t="shared" si="9"/>
        <v>527915.1560000001</v>
      </c>
      <c r="P74" s="106">
        <f t="shared" si="9"/>
        <v>580449.092</v>
      </c>
      <c r="Q74" s="106">
        <f t="shared" si="9"/>
        <v>330412.37</v>
      </c>
      <c r="R74" s="106">
        <f t="shared" si="9"/>
        <v>693031.3200000001</v>
      </c>
      <c r="S74" s="106">
        <f t="shared" si="9"/>
        <v>352599.01800000004</v>
      </c>
      <c r="T74" s="106">
        <f t="shared" si="9"/>
        <v>476636.97</v>
      </c>
      <c r="U74" s="106">
        <f t="shared" si="9"/>
        <v>650794.4780000001</v>
      </c>
      <c r="V74" s="106">
        <f t="shared" si="9"/>
        <v>511080.85400000005</v>
      </c>
      <c r="W74" s="106">
        <f t="shared" si="9"/>
        <v>806524.45</v>
      </c>
      <c r="X74" s="102">
        <f>SUM(L74:W74)</f>
        <v>5934728.260000001</v>
      </c>
    </row>
    <row r="75" spans="2:11" ht="18">
      <c r="B75" s="1"/>
      <c r="C75" s="1"/>
      <c r="D75" s="1"/>
      <c r="E75" s="1"/>
      <c r="F75" s="1"/>
      <c r="G75" s="1"/>
      <c r="H75" s="1"/>
      <c r="I75" s="1"/>
      <c r="J75" s="179"/>
      <c r="K75" s="10"/>
    </row>
    <row r="76" spans="2:10" ht="12.75">
      <c r="B76" s="6" t="s">
        <v>93</v>
      </c>
      <c r="C76" s="6"/>
      <c r="D76" s="6"/>
      <c r="E76" s="6"/>
      <c r="F76" s="6"/>
      <c r="G76" s="6"/>
      <c r="H76" t="s">
        <v>94</v>
      </c>
      <c r="I76" s="65"/>
      <c r="J76" s="65"/>
    </row>
    <row r="77" spans="8:9" ht="12.75">
      <c r="H77" t="s">
        <v>99</v>
      </c>
      <c r="I77" s="36"/>
    </row>
    <row r="78" spans="6:12" ht="12.75">
      <c r="F78" s="6"/>
      <c r="G78" s="6" t="s">
        <v>95</v>
      </c>
      <c r="H78" s="6"/>
      <c r="I78" s="6" t="s">
        <v>96</v>
      </c>
      <c r="L78" s="4"/>
    </row>
    <row r="80" spans="2:9" ht="12.75">
      <c r="B80" s="6" t="s">
        <v>97</v>
      </c>
      <c r="H80" t="s">
        <v>98</v>
      </c>
      <c r="I80" s="65"/>
    </row>
    <row r="81" spans="2:9" ht="12.75">
      <c r="B81" s="6"/>
      <c r="H81" t="s">
        <v>100</v>
      </c>
      <c r="I81" s="36"/>
    </row>
    <row r="82" spans="7:9" ht="12.75">
      <c r="G82" s="6" t="s">
        <v>95</v>
      </c>
      <c r="H82" s="6"/>
      <c r="I82" s="6" t="s">
        <v>101</v>
      </c>
    </row>
    <row r="83" spans="6:9" ht="12.75">
      <c r="F83" s="6"/>
      <c r="G83" s="6"/>
      <c r="H83" s="6"/>
      <c r="I83" s="6"/>
    </row>
  </sheetData>
  <sheetProtection/>
  <mergeCells count="5">
    <mergeCell ref="B28:H28"/>
    <mergeCell ref="K17:K18"/>
    <mergeCell ref="B25:H25"/>
    <mergeCell ref="B26:H26"/>
    <mergeCell ref="B27:H27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7">
      <selection activeCell="L25" sqref="L25"/>
    </sheetView>
  </sheetViews>
  <sheetFormatPr defaultColWidth="9.00390625" defaultRowHeight="12.75"/>
  <cols>
    <col min="8" max="8" width="18.75390625" style="0" customWidth="1"/>
    <col min="9" max="9" width="22.00390625" style="0" customWidth="1"/>
    <col min="10" max="10" width="12.00390625" style="0" customWidth="1"/>
  </cols>
  <sheetData>
    <row r="1" ht="12.75">
      <c r="A1" s="69" t="s">
        <v>103</v>
      </c>
    </row>
    <row r="2" ht="12.75">
      <c r="A2" s="69"/>
    </row>
    <row r="3" spans="1:8" ht="18">
      <c r="A3" s="1"/>
      <c r="B3" s="1"/>
      <c r="C3" s="1"/>
      <c r="D3" s="1"/>
      <c r="E3" s="1"/>
      <c r="F3" s="1"/>
      <c r="G3" s="1" t="s">
        <v>63</v>
      </c>
      <c r="H3" s="1"/>
    </row>
    <row r="4" spans="1:8" ht="18">
      <c r="A4" s="1"/>
      <c r="B4" s="1"/>
      <c r="C4" s="1"/>
      <c r="D4" s="1"/>
      <c r="E4" s="1"/>
      <c r="F4" s="1"/>
      <c r="G4" s="1" t="s">
        <v>64</v>
      </c>
      <c r="H4" s="1"/>
    </row>
    <row r="5" spans="1:8" ht="18">
      <c r="A5" s="1"/>
      <c r="B5" s="1"/>
      <c r="C5" s="1"/>
      <c r="D5" s="1"/>
      <c r="E5" s="1"/>
      <c r="F5" s="1"/>
      <c r="G5" s="1" t="s">
        <v>102</v>
      </c>
      <c r="H5" s="1"/>
    </row>
    <row r="6" spans="1:8" ht="18">
      <c r="A6" s="1"/>
      <c r="B6" s="1"/>
      <c r="C6" s="1"/>
      <c r="D6" s="1"/>
      <c r="E6" s="1"/>
      <c r="F6" s="1"/>
      <c r="G6" s="1" t="s">
        <v>157</v>
      </c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1:8" ht="18">
      <c r="A9" s="1" t="s">
        <v>40</v>
      </c>
      <c r="B9" s="1"/>
      <c r="C9" s="1"/>
      <c r="D9" s="1"/>
      <c r="E9" s="1"/>
      <c r="F9" s="1"/>
      <c r="G9" s="1"/>
      <c r="H9" s="1"/>
    </row>
    <row r="10" spans="1:8" ht="18">
      <c r="A10" s="1"/>
      <c r="B10" s="1" t="s">
        <v>105</v>
      </c>
      <c r="C10" s="1"/>
      <c r="D10" s="1"/>
      <c r="E10" s="1"/>
      <c r="F10" s="1"/>
      <c r="G10" s="1"/>
      <c r="H10" s="1"/>
    </row>
    <row r="11" spans="1:10" ht="18.75">
      <c r="A11" s="70" t="s">
        <v>35</v>
      </c>
      <c r="B11" s="71"/>
      <c r="C11" s="1"/>
      <c r="D11" s="1"/>
      <c r="E11" s="1"/>
      <c r="F11" s="1"/>
      <c r="G11" s="1"/>
      <c r="H11" s="88"/>
      <c r="I11" s="182"/>
      <c r="J11" s="182"/>
    </row>
    <row r="12" spans="1:8" ht="18.75">
      <c r="A12" s="73"/>
      <c r="B12" s="74"/>
      <c r="C12" s="1"/>
      <c r="D12" s="1"/>
      <c r="E12" s="1"/>
      <c r="F12" s="1"/>
      <c r="G12" s="1"/>
      <c r="H12" s="72"/>
    </row>
    <row r="13" spans="1:8" ht="18.75">
      <c r="A13" s="75" t="s">
        <v>22</v>
      </c>
      <c r="B13" s="76"/>
      <c r="C13" s="72"/>
      <c r="D13" s="72"/>
      <c r="E13" s="72"/>
      <c r="F13" s="77"/>
      <c r="G13" s="72"/>
      <c r="H13" s="78">
        <f>17.9*1000</f>
        <v>17900</v>
      </c>
    </row>
    <row r="14" spans="1:8" ht="18.75">
      <c r="A14" s="1" t="s">
        <v>106</v>
      </c>
      <c r="B14" s="1"/>
      <c r="C14" s="1"/>
      <c r="D14" s="1"/>
      <c r="E14" s="1"/>
      <c r="F14" s="1"/>
      <c r="G14" s="1"/>
      <c r="H14" s="79">
        <f>1606.7*1000</f>
        <v>1606700</v>
      </c>
    </row>
    <row r="15" spans="1:8" ht="18.75">
      <c r="A15" s="91" t="s">
        <v>3</v>
      </c>
      <c r="B15" s="89"/>
      <c r="C15" s="89"/>
      <c r="D15" s="89"/>
      <c r="E15" s="89"/>
      <c r="F15" s="89"/>
      <c r="G15" s="89"/>
      <c r="H15" s="92">
        <f>SUM(H12:H14)</f>
        <v>1624600</v>
      </c>
    </row>
    <row r="16" spans="1:8" ht="18">
      <c r="A16" s="70" t="s">
        <v>0</v>
      </c>
      <c r="B16" s="1"/>
      <c r="C16" s="1"/>
      <c r="D16" s="1"/>
      <c r="E16" s="1"/>
      <c r="F16" s="1"/>
      <c r="G16" s="1"/>
      <c r="H16" s="72"/>
    </row>
    <row r="17" spans="1:9" ht="18">
      <c r="A17" s="1" t="s">
        <v>1</v>
      </c>
      <c r="B17" s="1"/>
      <c r="C17" s="1"/>
      <c r="D17" s="1"/>
      <c r="E17" s="1"/>
      <c r="F17" s="1"/>
      <c r="G17" s="1"/>
      <c r="H17" s="80">
        <f>(2286.2+2226.85)*1000</f>
        <v>4513049.999999999</v>
      </c>
      <c r="I17" s="3"/>
    </row>
    <row r="18" spans="1:9" ht="18">
      <c r="A18" s="1" t="s">
        <v>2</v>
      </c>
      <c r="B18" s="1"/>
      <c r="C18" s="1"/>
      <c r="D18" s="1"/>
      <c r="E18" s="1"/>
      <c r="F18" s="1"/>
      <c r="G18" s="1"/>
      <c r="H18" s="80">
        <f>(373.65+368.15)*1000</f>
        <v>741800</v>
      </c>
      <c r="I18" s="3"/>
    </row>
    <row r="19" spans="1:9" ht="18">
      <c r="A19" s="1" t="s">
        <v>17</v>
      </c>
      <c r="B19" s="1"/>
      <c r="C19" s="1"/>
      <c r="D19" s="1"/>
      <c r="E19" s="1"/>
      <c r="F19" s="1"/>
      <c r="G19" s="1"/>
      <c r="H19" s="81">
        <v>300000</v>
      </c>
      <c r="I19" s="3"/>
    </row>
    <row r="20" spans="1:9" ht="18">
      <c r="A20" s="1" t="s">
        <v>155</v>
      </c>
      <c r="B20" s="1"/>
      <c r="C20" s="1"/>
      <c r="D20" s="1"/>
      <c r="E20" s="1"/>
      <c r="F20" s="1"/>
      <c r="G20" s="1"/>
      <c r="H20" s="81"/>
      <c r="I20" s="3"/>
    </row>
    <row r="21" spans="1:9" ht="18">
      <c r="A21" s="1" t="s">
        <v>31</v>
      </c>
      <c r="B21" s="1"/>
      <c r="C21" s="1"/>
      <c r="D21" s="1"/>
      <c r="E21" s="1"/>
      <c r="F21" s="1"/>
      <c r="G21" s="1"/>
      <c r="H21" s="81">
        <v>1440000</v>
      </c>
      <c r="I21" s="3"/>
    </row>
    <row r="22" spans="1:9" ht="18">
      <c r="A22" s="89" t="s">
        <v>3</v>
      </c>
      <c r="B22" s="89"/>
      <c r="C22" s="89"/>
      <c r="D22" s="89"/>
      <c r="E22" s="89"/>
      <c r="F22" s="89"/>
      <c r="G22" s="89"/>
      <c r="H22" s="90">
        <f>SUM(H17:H21)</f>
        <v>6994849.999999999</v>
      </c>
      <c r="I22" s="70"/>
    </row>
    <row r="23" spans="1:10" ht="18">
      <c r="A23" s="82" t="s">
        <v>32</v>
      </c>
      <c r="B23" s="82"/>
      <c r="C23" s="82"/>
      <c r="D23" s="82"/>
      <c r="E23" s="82"/>
      <c r="F23" s="83"/>
      <c r="G23" s="83"/>
      <c r="H23" s="68">
        <f>H22+H15</f>
        <v>8619450</v>
      </c>
      <c r="I23" s="70"/>
      <c r="J23" s="36"/>
    </row>
    <row r="24" spans="1:8" ht="18">
      <c r="A24" s="70"/>
      <c r="B24" s="1"/>
      <c r="C24" s="1"/>
      <c r="D24" s="1"/>
      <c r="E24" s="1"/>
      <c r="F24" s="1"/>
      <c r="G24" s="1"/>
      <c r="H24" s="72"/>
    </row>
    <row r="25" spans="1:8" ht="18">
      <c r="A25" s="70" t="s">
        <v>26</v>
      </c>
      <c r="B25" s="1"/>
      <c r="C25" s="1"/>
      <c r="D25" s="1"/>
      <c r="E25" s="1"/>
      <c r="F25" s="1"/>
      <c r="G25" s="1"/>
      <c r="H25" s="1"/>
    </row>
    <row r="26" spans="1:10" ht="18">
      <c r="A26" s="288" t="s">
        <v>85</v>
      </c>
      <c r="B26" s="288"/>
      <c r="C26" s="288"/>
      <c r="D26" s="288"/>
      <c r="E26" s="288"/>
      <c r="F26" s="288"/>
      <c r="G26" s="288"/>
      <c r="H26" s="85">
        <f>720*1000</f>
        <v>720000</v>
      </c>
      <c r="J26" s="65"/>
    </row>
    <row r="27" spans="1:10" ht="18">
      <c r="A27" s="288" t="s">
        <v>86</v>
      </c>
      <c r="B27" s="288"/>
      <c r="C27" s="288"/>
      <c r="D27" s="288"/>
      <c r="E27" s="288"/>
      <c r="F27" s="288"/>
      <c r="G27" s="288"/>
      <c r="H27" s="85">
        <v>377000</v>
      </c>
      <c r="J27" s="65"/>
    </row>
    <row r="28" spans="1:10" ht="18.75" thickBot="1">
      <c r="A28" s="288" t="s">
        <v>89</v>
      </c>
      <c r="B28" s="288"/>
      <c r="C28" s="288"/>
      <c r="D28" s="288"/>
      <c r="E28" s="288"/>
      <c r="F28" s="288"/>
      <c r="G28" s="288"/>
      <c r="H28" s="85">
        <v>35000</v>
      </c>
      <c r="J28" s="65"/>
    </row>
    <row r="29" spans="1:10" ht="18.75" thickBot="1">
      <c r="A29" s="285" t="s">
        <v>3</v>
      </c>
      <c r="B29" s="286"/>
      <c r="C29" s="286"/>
      <c r="D29" s="286"/>
      <c r="E29" s="286"/>
      <c r="F29" s="286"/>
      <c r="G29" s="286"/>
      <c r="H29" s="141">
        <f>SUM(H26:H28)</f>
        <v>1132000</v>
      </c>
      <c r="I29" s="6"/>
      <c r="J29" s="181"/>
    </row>
    <row r="30" spans="1:10" ht="18">
      <c r="A30" s="70" t="s">
        <v>4</v>
      </c>
      <c r="B30" s="70"/>
      <c r="C30" s="70"/>
      <c r="D30" s="70"/>
      <c r="E30" s="70"/>
      <c r="F30" s="70"/>
      <c r="G30" s="1"/>
      <c r="H30" s="1"/>
      <c r="J30" s="65"/>
    </row>
    <row r="31" spans="1:10" ht="18">
      <c r="A31" s="1" t="s">
        <v>107</v>
      </c>
      <c r="B31" s="1"/>
      <c r="C31" s="1"/>
      <c r="D31" s="1"/>
      <c r="E31" s="1"/>
      <c r="F31" s="1"/>
      <c r="G31" s="1"/>
      <c r="H31" s="178">
        <f>2125.3*1000</f>
        <v>2125300</v>
      </c>
      <c r="J31" s="65"/>
    </row>
    <row r="32" spans="1:10" ht="18">
      <c r="A32" s="1" t="s">
        <v>28</v>
      </c>
      <c r="B32" s="1"/>
      <c r="C32" s="1"/>
      <c r="D32" s="1"/>
      <c r="E32" s="1"/>
      <c r="F32" s="1"/>
      <c r="G32" s="1"/>
      <c r="H32" s="178">
        <f>H31/100*30.2</f>
        <v>641840.6</v>
      </c>
      <c r="J32" s="65"/>
    </row>
    <row r="33" spans="1:10" ht="18">
      <c r="A33" s="1" t="s">
        <v>6</v>
      </c>
      <c r="B33" s="1"/>
      <c r="C33" s="1"/>
      <c r="D33" s="1"/>
      <c r="E33" s="1"/>
      <c r="F33" s="1"/>
      <c r="G33" s="1"/>
      <c r="H33" s="178">
        <v>30000</v>
      </c>
      <c r="J33" s="65"/>
    </row>
    <row r="34" spans="1:10" ht="18">
      <c r="A34" s="1" t="s">
        <v>7</v>
      </c>
      <c r="B34" s="1"/>
      <c r="C34" s="1"/>
      <c r="D34" s="1"/>
      <c r="E34" s="1"/>
      <c r="F34" s="1"/>
      <c r="G34" s="1"/>
      <c r="H34" s="178">
        <v>100000</v>
      </c>
      <c r="J34" s="65"/>
    </row>
    <row r="35" spans="1:10" ht="18">
      <c r="A35" s="1" t="s">
        <v>8</v>
      </c>
      <c r="B35" s="1"/>
      <c r="C35" s="1"/>
      <c r="D35" s="1"/>
      <c r="E35" s="1"/>
      <c r="F35" s="1"/>
      <c r="G35" s="1"/>
      <c r="H35" s="178">
        <v>17000</v>
      </c>
      <c r="J35" s="65"/>
    </row>
    <row r="36" spans="1:10" ht="18">
      <c r="A36" s="1" t="s">
        <v>20</v>
      </c>
      <c r="B36" s="1"/>
      <c r="C36" s="1"/>
      <c r="D36" s="1"/>
      <c r="E36" s="1"/>
      <c r="F36" s="1"/>
      <c r="G36" s="1"/>
      <c r="H36" s="178">
        <v>33000</v>
      </c>
      <c r="J36" s="65"/>
    </row>
    <row r="37" spans="1:10" ht="18">
      <c r="A37" s="1" t="s">
        <v>9</v>
      </c>
      <c r="B37" s="1"/>
      <c r="C37" s="1"/>
      <c r="D37" s="1"/>
      <c r="E37" s="1"/>
      <c r="F37" s="1"/>
      <c r="G37" s="1"/>
      <c r="H37" s="178">
        <v>24000</v>
      </c>
      <c r="J37" s="65"/>
    </row>
    <row r="38" spans="1:10" ht="18">
      <c r="A38" s="1" t="s">
        <v>10</v>
      </c>
      <c r="B38" s="1"/>
      <c r="C38" s="1"/>
      <c r="D38" s="1"/>
      <c r="E38" s="1"/>
      <c r="F38" s="1"/>
      <c r="G38" s="1"/>
      <c r="H38" s="178">
        <v>45000</v>
      </c>
      <c r="J38" s="65"/>
    </row>
    <row r="39" spans="1:10" ht="18">
      <c r="A39" s="1" t="s">
        <v>18</v>
      </c>
      <c r="B39" s="1"/>
      <c r="C39" s="1"/>
      <c r="D39" s="1"/>
      <c r="E39" s="1"/>
      <c r="F39" s="1"/>
      <c r="G39" s="1"/>
      <c r="H39" s="178">
        <v>5000</v>
      </c>
      <c r="J39" s="65"/>
    </row>
    <row r="40" spans="1:10" ht="18">
      <c r="A40" s="1" t="s">
        <v>25</v>
      </c>
      <c r="B40" s="1"/>
      <c r="C40" s="1"/>
      <c r="D40" s="1"/>
      <c r="E40" s="1"/>
      <c r="F40" s="1"/>
      <c r="G40" s="1"/>
      <c r="H40" s="178">
        <v>15000</v>
      </c>
      <c r="J40" s="65"/>
    </row>
    <row r="41" spans="1:10" ht="18.75" thickBot="1">
      <c r="A41" s="1" t="s">
        <v>11</v>
      </c>
      <c r="B41" s="1"/>
      <c r="C41" s="1"/>
      <c r="D41" s="1"/>
      <c r="E41" s="1"/>
      <c r="F41" s="1"/>
      <c r="G41" s="1"/>
      <c r="H41" s="178">
        <v>20000</v>
      </c>
      <c r="J41" s="65"/>
    </row>
    <row r="42" spans="1:10" ht="18.75" thickBot="1">
      <c r="A42" s="129" t="s">
        <v>3</v>
      </c>
      <c r="B42" s="130"/>
      <c r="C42" s="130"/>
      <c r="D42" s="130"/>
      <c r="E42" s="130"/>
      <c r="F42" s="130"/>
      <c r="G42" s="130"/>
      <c r="H42" s="140">
        <f>SUM(H31:H41)</f>
        <v>3056140.6</v>
      </c>
      <c r="I42" s="6"/>
      <c r="J42" s="181"/>
    </row>
    <row r="43" spans="1:8" ht="18">
      <c r="A43" s="70" t="s">
        <v>12</v>
      </c>
      <c r="B43" s="1"/>
      <c r="C43" s="1"/>
      <c r="D43" s="1"/>
      <c r="E43" s="1"/>
      <c r="F43" s="1"/>
      <c r="G43" s="1"/>
      <c r="H43" s="1"/>
    </row>
    <row r="44" spans="1:10" ht="18">
      <c r="A44" s="1" t="s">
        <v>91</v>
      </c>
      <c r="B44" s="1"/>
      <c r="C44" s="1"/>
      <c r="D44" s="1"/>
      <c r="E44" s="1"/>
      <c r="F44" s="1"/>
      <c r="G44" s="1"/>
      <c r="H44" s="78">
        <f>(746.26+140+75)*1000</f>
        <v>961260</v>
      </c>
      <c r="J44" s="65"/>
    </row>
    <row r="45" spans="1:10" ht="18">
      <c r="A45" s="1" t="s">
        <v>23</v>
      </c>
      <c r="B45" s="1"/>
      <c r="C45" s="1"/>
      <c r="D45" s="1"/>
      <c r="E45" s="1"/>
      <c r="F45" s="1"/>
      <c r="G45" s="1"/>
      <c r="H45" s="70">
        <v>30000</v>
      </c>
      <c r="J45" s="65"/>
    </row>
    <row r="46" spans="1:10" ht="18">
      <c r="A46" s="1" t="s">
        <v>36</v>
      </c>
      <c r="B46" s="1"/>
      <c r="C46" s="1"/>
      <c r="D46" s="1"/>
      <c r="E46" s="1"/>
      <c r="F46" s="1"/>
      <c r="G46" s="1"/>
      <c r="H46" s="70">
        <v>50000</v>
      </c>
      <c r="J46" s="65"/>
    </row>
    <row r="47" spans="1:10" ht="18">
      <c r="A47" s="1" t="s">
        <v>14</v>
      </c>
      <c r="B47" s="1"/>
      <c r="C47" s="1"/>
      <c r="D47" s="1"/>
      <c r="E47" s="1"/>
      <c r="F47" s="1"/>
      <c r="G47" s="1"/>
      <c r="H47" s="70">
        <v>60000</v>
      </c>
      <c r="J47" s="65"/>
    </row>
    <row r="48" spans="1:10" ht="18">
      <c r="A48" s="1" t="s">
        <v>38</v>
      </c>
      <c r="B48" s="1"/>
      <c r="C48" s="1"/>
      <c r="D48" s="1"/>
      <c r="E48" s="1"/>
      <c r="F48" s="1"/>
      <c r="G48" s="1"/>
      <c r="H48" s="70">
        <f>(H49+H50+H51+H52+H53+H54+H55+H56+H57+H58+H59+H60+H61+H62)</f>
        <v>2180400</v>
      </c>
      <c r="J48" s="65"/>
    </row>
    <row r="49" spans="1:10" ht="18">
      <c r="A49" s="1" t="s">
        <v>126</v>
      </c>
      <c r="B49" s="1"/>
      <c r="C49" s="1"/>
      <c r="D49" s="1"/>
      <c r="E49" s="1"/>
      <c r="F49" s="1"/>
      <c r="G49" s="1"/>
      <c r="H49" s="84">
        <v>54400</v>
      </c>
      <c r="J49" s="65"/>
    </row>
    <row r="50" spans="1:10" ht="18">
      <c r="A50" s="1" t="s">
        <v>127</v>
      </c>
      <c r="B50" s="1"/>
      <c r="C50" s="1"/>
      <c r="D50" s="1"/>
      <c r="E50" s="1"/>
      <c r="F50" s="1"/>
      <c r="G50" s="1"/>
      <c r="H50" s="84">
        <v>222000</v>
      </c>
      <c r="J50" s="65"/>
    </row>
    <row r="51" spans="1:10" ht="18">
      <c r="A51" s="1" t="s">
        <v>131</v>
      </c>
      <c r="B51" s="1"/>
      <c r="C51" s="1"/>
      <c r="D51" s="1"/>
      <c r="E51" s="1"/>
      <c r="F51" s="1"/>
      <c r="G51" s="1"/>
      <c r="H51" s="84">
        <v>170000</v>
      </c>
      <c r="J51" s="65"/>
    </row>
    <row r="52" spans="1:10" ht="18">
      <c r="A52" s="1" t="s">
        <v>138</v>
      </c>
      <c r="B52" s="1"/>
      <c r="C52" s="1"/>
      <c r="D52" s="1"/>
      <c r="E52" s="1"/>
      <c r="F52" s="1"/>
      <c r="G52" s="1"/>
      <c r="H52" s="84">
        <v>80000</v>
      </c>
      <c r="J52" s="65"/>
    </row>
    <row r="53" spans="1:10" ht="18">
      <c r="A53" s="1" t="s">
        <v>128</v>
      </c>
      <c r="B53" s="1"/>
      <c r="C53" s="1"/>
      <c r="D53" s="1"/>
      <c r="E53" s="1"/>
      <c r="F53" s="1"/>
      <c r="G53" s="1"/>
      <c r="H53" s="84">
        <v>220000</v>
      </c>
      <c r="J53" s="65"/>
    </row>
    <row r="54" spans="1:10" ht="18">
      <c r="A54" s="1" t="s">
        <v>129</v>
      </c>
      <c r="B54" s="1"/>
      <c r="C54" s="1"/>
      <c r="D54" s="1"/>
      <c r="E54" s="1"/>
      <c r="F54" s="1"/>
      <c r="G54" s="1"/>
      <c r="H54" s="84">
        <v>209000</v>
      </c>
      <c r="J54" s="65"/>
    </row>
    <row r="55" spans="1:10" ht="18">
      <c r="A55" s="86" t="s">
        <v>130</v>
      </c>
      <c r="B55" s="86"/>
      <c r="C55" s="86"/>
      <c r="D55" s="86"/>
      <c r="E55" s="86"/>
      <c r="F55" s="86"/>
      <c r="G55" s="86"/>
      <c r="H55" s="84">
        <v>255000</v>
      </c>
      <c r="J55" s="65"/>
    </row>
    <row r="56" spans="1:10" ht="18">
      <c r="A56" s="1" t="s">
        <v>92</v>
      </c>
      <c r="B56" s="1"/>
      <c r="C56" s="1"/>
      <c r="D56" s="1"/>
      <c r="E56" s="1"/>
      <c r="F56" s="1"/>
      <c r="G56" s="1"/>
      <c r="H56" s="84">
        <v>435000</v>
      </c>
      <c r="J56" s="65"/>
    </row>
    <row r="57" spans="1:10" ht="18">
      <c r="A57" s="1" t="s">
        <v>133</v>
      </c>
      <c r="B57" s="1"/>
      <c r="C57" s="1"/>
      <c r="D57" s="1"/>
      <c r="E57" s="1"/>
      <c r="F57" s="1"/>
      <c r="G57" s="1"/>
      <c r="H57" s="84">
        <v>90000</v>
      </c>
      <c r="J57" s="65"/>
    </row>
    <row r="58" spans="1:10" ht="18">
      <c r="A58" s="1" t="s">
        <v>135</v>
      </c>
      <c r="B58" s="1"/>
      <c r="C58" s="1"/>
      <c r="D58" s="1"/>
      <c r="E58" s="1"/>
      <c r="F58" s="1"/>
      <c r="G58" s="1"/>
      <c r="H58" s="84">
        <v>50000</v>
      </c>
      <c r="J58" s="65"/>
    </row>
    <row r="59" spans="1:10" ht="18">
      <c r="A59" s="1" t="s">
        <v>137</v>
      </c>
      <c r="B59" s="1"/>
      <c r="C59" s="1"/>
      <c r="D59" s="1"/>
      <c r="E59" s="1"/>
      <c r="F59" s="1"/>
      <c r="G59" s="1"/>
      <c r="H59" s="84">
        <v>130000</v>
      </c>
      <c r="J59" s="65"/>
    </row>
    <row r="60" spans="1:10" ht="18">
      <c r="A60" s="1" t="s">
        <v>147</v>
      </c>
      <c r="B60" s="1"/>
      <c r="C60" s="1"/>
      <c r="D60" s="1"/>
      <c r="E60" s="1"/>
      <c r="F60" s="1" t="s">
        <v>149</v>
      </c>
      <c r="G60" s="1"/>
      <c r="H60" s="84">
        <v>100000</v>
      </c>
      <c r="J60" s="65"/>
    </row>
    <row r="61" spans="1:10" ht="18">
      <c r="A61" s="1" t="s">
        <v>151</v>
      </c>
      <c r="B61" s="1"/>
      <c r="C61" s="1"/>
      <c r="D61" s="1"/>
      <c r="E61" s="1"/>
      <c r="F61" s="1"/>
      <c r="G61" s="1"/>
      <c r="H61" s="84">
        <v>100000</v>
      </c>
      <c r="J61" s="65"/>
    </row>
    <row r="62" spans="1:10" ht="18">
      <c r="A62" s="1" t="s">
        <v>153</v>
      </c>
      <c r="B62" s="1"/>
      <c r="C62" s="1"/>
      <c r="D62" s="1"/>
      <c r="E62" s="1"/>
      <c r="F62" s="1"/>
      <c r="G62" s="1"/>
      <c r="H62" s="84">
        <v>65000</v>
      </c>
      <c r="J62" s="65"/>
    </row>
    <row r="63" spans="1:10" ht="18">
      <c r="A63" s="86" t="s">
        <v>41</v>
      </c>
      <c r="B63" s="86"/>
      <c r="C63" s="86"/>
      <c r="D63" s="86"/>
      <c r="E63" s="86"/>
      <c r="F63" s="86"/>
      <c r="G63" s="86"/>
      <c r="H63" s="70">
        <f>50*1000</f>
        <v>50000</v>
      </c>
      <c r="J63" s="65"/>
    </row>
    <row r="64" spans="1:10" ht="18">
      <c r="A64" s="86" t="s">
        <v>87</v>
      </c>
      <c r="B64" s="86"/>
      <c r="C64" s="86"/>
      <c r="D64" s="86"/>
      <c r="E64" s="86"/>
      <c r="F64" s="86"/>
      <c r="G64" s="86"/>
      <c r="H64" s="70">
        <v>40000</v>
      </c>
      <c r="J64" s="65"/>
    </row>
    <row r="65" spans="1:10" ht="18">
      <c r="A65" s="86" t="s">
        <v>140</v>
      </c>
      <c r="B65" s="86"/>
      <c r="C65" s="86"/>
      <c r="D65" s="86"/>
      <c r="E65" s="86"/>
      <c r="F65" s="86"/>
      <c r="G65" s="86"/>
      <c r="H65" s="70">
        <v>70000</v>
      </c>
      <c r="J65" s="65"/>
    </row>
    <row r="66" spans="1:10" ht="18">
      <c r="A66" s="1" t="s">
        <v>30</v>
      </c>
      <c r="B66" s="1"/>
      <c r="C66" s="1"/>
      <c r="D66" s="1"/>
      <c r="E66" s="1"/>
      <c r="F66" s="1"/>
      <c r="G66" s="1"/>
      <c r="H66" s="70">
        <v>210000</v>
      </c>
      <c r="J66" s="65"/>
    </row>
    <row r="67" spans="1:10" ht="18">
      <c r="A67" s="86" t="s">
        <v>139</v>
      </c>
      <c r="B67" s="1"/>
      <c r="C67" s="1"/>
      <c r="D67" s="1"/>
      <c r="E67" s="1"/>
      <c r="F67" s="1"/>
      <c r="G67" s="1"/>
      <c r="H67" s="70">
        <v>30000</v>
      </c>
      <c r="J67" s="65"/>
    </row>
    <row r="68" spans="1:10" ht="18">
      <c r="A68" s="86" t="s">
        <v>141</v>
      </c>
      <c r="B68" s="1"/>
      <c r="C68" s="1"/>
      <c r="D68" s="1"/>
      <c r="E68" s="1"/>
      <c r="F68" s="1"/>
      <c r="G68" s="1"/>
      <c r="H68" s="70">
        <v>250000</v>
      </c>
      <c r="J68" s="65"/>
    </row>
    <row r="69" spans="1:10" ht="18">
      <c r="A69" s="86" t="s">
        <v>88</v>
      </c>
      <c r="B69" s="1"/>
      <c r="C69" s="1"/>
      <c r="D69" s="1"/>
      <c r="E69" s="1"/>
      <c r="F69" s="1"/>
      <c r="G69" s="1"/>
      <c r="H69" s="70">
        <v>180000</v>
      </c>
      <c r="J69" s="65"/>
    </row>
    <row r="70" spans="1:10" ht="18">
      <c r="A70" s="1" t="s">
        <v>24</v>
      </c>
      <c r="B70" s="1"/>
      <c r="C70" s="1"/>
      <c r="D70" s="1"/>
      <c r="E70" s="1"/>
      <c r="F70" s="1"/>
      <c r="G70" s="1"/>
      <c r="H70" s="70">
        <v>60000</v>
      </c>
      <c r="J70" s="65"/>
    </row>
    <row r="71" spans="1:10" ht="18">
      <c r="A71" s="86" t="s">
        <v>90</v>
      </c>
      <c r="B71" s="1"/>
      <c r="C71" s="1"/>
      <c r="D71" s="1"/>
      <c r="E71" s="1"/>
      <c r="F71" s="1"/>
      <c r="G71" s="1"/>
      <c r="H71" s="70">
        <v>62150</v>
      </c>
      <c r="J71" s="65"/>
    </row>
    <row r="72" spans="1:10" ht="18.75" thickBot="1">
      <c r="A72" s="1" t="s">
        <v>15</v>
      </c>
      <c r="B72" s="1"/>
      <c r="C72" s="1"/>
      <c r="D72" s="1"/>
      <c r="E72" s="1"/>
      <c r="F72" s="1"/>
      <c r="G72" s="1"/>
      <c r="H72" s="70">
        <v>197500</v>
      </c>
      <c r="J72" s="65"/>
    </row>
    <row r="73" spans="1:10" ht="18.75" thickBot="1">
      <c r="A73" s="129" t="s">
        <v>3</v>
      </c>
      <c r="B73" s="130"/>
      <c r="C73" s="130"/>
      <c r="D73" s="130"/>
      <c r="E73" s="130"/>
      <c r="F73" s="130"/>
      <c r="G73" s="130"/>
      <c r="H73" s="131">
        <f>H44+H45+H46+H47+H48+H63+H64+H65+H66+H67+H68+H69+H70+H71+H72</f>
        <v>4431310</v>
      </c>
      <c r="I73" s="6"/>
      <c r="J73" s="181"/>
    </row>
    <row r="74" spans="1:8" ht="18.75" thickBot="1">
      <c r="A74" s="87"/>
      <c r="B74" s="72"/>
      <c r="C74" s="72"/>
      <c r="D74" s="72"/>
      <c r="E74" s="72"/>
      <c r="F74" s="72"/>
      <c r="G74" s="72"/>
      <c r="H74" s="77"/>
    </row>
    <row r="75" spans="1:10" ht="18.75" thickBot="1">
      <c r="A75" s="137" t="s">
        <v>16</v>
      </c>
      <c r="B75" s="138"/>
      <c r="C75" s="138"/>
      <c r="D75" s="138"/>
      <c r="E75" s="138"/>
      <c r="F75" s="138"/>
      <c r="G75" s="138"/>
      <c r="H75" s="139">
        <f>H73+H42+H29-0.6</f>
        <v>8619450</v>
      </c>
      <c r="I75" s="6"/>
      <c r="J75" s="181"/>
    </row>
    <row r="77" spans="8:9" ht="12.75">
      <c r="H77" s="6" t="s">
        <v>156</v>
      </c>
      <c r="I77" s="6"/>
    </row>
    <row r="78" spans="8:9" ht="12.75">
      <c r="H78" s="6"/>
      <c r="I78" s="6"/>
    </row>
  </sheetData>
  <sheetProtection/>
  <mergeCells count="4">
    <mergeCell ref="A26:G26"/>
    <mergeCell ref="A27:G27"/>
    <mergeCell ref="A28:G28"/>
    <mergeCell ref="A29:G29"/>
  </mergeCells>
  <printOptions/>
  <pageMargins left="0.7" right="0.7" top="0.75" bottom="0.75" header="0.3" footer="0.3"/>
  <pageSetup fitToWidth="0" fitToHeight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zoomScale="73" zoomScaleNormal="73" zoomScalePageLayoutView="0" workbookViewId="0" topLeftCell="B46">
      <selection activeCell="R85" sqref="R85"/>
    </sheetView>
  </sheetViews>
  <sheetFormatPr defaultColWidth="9.00390625" defaultRowHeight="12.75"/>
  <cols>
    <col min="1" max="1" width="7.875" style="0" customWidth="1"/>
    <col min="8" max="8" width="16.375" style="0" customWidth="1"/>
    <col min="9" max="9" width="15.00390625" style="0" customWidth="1"/>
    <col min="10" max="10" width="0.12890625" style="0" hidden="1" customWidth="1"/>
    <col min="11" max="11" width="15.875" style="0" hidden="1" customWidth="1"/>
    <col min="12" max="12" width="9.25390625" style="0" hidden="1" customWidth="1"/>
    <col min="13" max="13" width="16.875" style="0" hidden="1" customWidth="1"/>
    <col min="14" max="14" width="12.375" style="0" bestFit="1" customWidth="1"/>
  </cols>
  <sheetData>
    <row r="1" ht="15">
      <c r="A1" s="2" t="s">
        <v>201</v>
      </c>
    </row>
    <row r="2" spans="6:8" ht="15">
      <c r="F2" s="2" t="s">
        <v>198</v>
      </c>
      <c r="G2" s="2"/>
      <c r="H2" s="2"/>
    </row>
    <row r="3" spans="6:8" ht="15">
      <c r="F3" s="2" t="s">
        <v>199</v>
      </c>
      <c r="G3" s="2"/>
      <c r="H3" s="2"/>
    </row>
    <row r="4" spans="6:8" ht="15">
      <c r="F4" s="2" t="s">
        <v>200</v>
      </c>
      <c r="G4" s="2"/>
      <c r="H4" s="2"/>
    </row>
    <row r="6" spans="2:9" ht="18">
      <c r="B6" s="1"/>
      <c r="C6" s="1"/>
      <c r="D6" s="1"/>
      <c r="E6" s="1"/>
      <c r="F6" s="1"/>
      <c r="G6" s="1"/>
      <c r="H6" s="1"/>
      <c r="I6" s="1"/>
    </row>
    <row r="7" spans="2:9" ht="18">
      <c r="B7" s="1" t="s">
        <v>40</v>
      </c>
      <c r="C7" s="1"/>
      <c r="D7" s="1"/>
      <c r="E7" s="1"/>
      <c r="F7" s="1"/>
      <c r="G7" s="1"/>
      <c r="H7" s="1"/>
      <c r="I7" s="1"/>
    </row>
    <row r="8" spans="2:9" ht="18.75" thickBot="1">
      <c r="B8" s="1"/>
      <c r="C8" s="1" t="s">
        <v>158</v>
      </c>
      <c r="D8" s="1"/>
      <c r="E8" s="1"/>
      <c r="F8" s="1"/>
      <c r="G8" s="1"/>
      <c r="H8" s="1"/>
      <c r="I8" s="1"/>
    </row>
    <row r="9" spans="2:28" ht="18.75">
      <c r="B9" s="75"/>
      <c r="C9" s="76"/>
      <c r="D9" s="72"/>
      <c r="E9" s="72"/>
      <c r="F9" s="72"/>
      <c r="G9" s="77"/>
      <c r="H9" s="72"/>
      <c r="I9" s="78"/>
      <c r="N9" s="211" t="s">
        <v>145</v>
      </c>
      <c r="O9" s="212" t="s">
        <v>72</v>
      </c>
      <c r="P9" s="104" t="s">
        <v>175</v>
      </c>
      <c r="Q9" s="37" t="s">
        <v>176</v>
      </c>
      <c r="R9" s="37" t="s">
        <v>119</v>
      </c>
      <c r="S9" s="37" t="s">
        <v>120</v>
      </c>
      <c r="T9" s="37" t="s">
        <v>121</v>
      </c>
      <c r="U9" s="37" t="s">
        <v>122</v>
      </c>
      <c r="V9" s="37" t="s">
        <v>123</v>
      </c>
      <c r="W9" s="37" t="s">
        <v>124</v>
      </c>
      <c r="X9" s="37" t="s">
        <v>177</v>
      </c>
      <c r="Y9" s="37" t="s">
        <v>142</v>
      </c>
      <c r="Z9" s="37" t="s">
        <v>143</v>
      </c>
      <c r="AA9" s="94" t="s">
        <v>144</v>
      </c>
      <c r="AB9" s="103" t="s">
        <v>174</v>
      </c>
    </row>
    <row r="10" spans="2:28" ht="12.75">
      <c r="B10" s="182" t="s">
        <v>171</v>
      </c>
      <c r="C10" s="182"/>
      <c r="D10" s="182"/>
      <c r="E10" s="182"/>
      <c r="F10" s="182"/>
      <c r="G10" s="182"/>
      <c r="H10" s="182"/>
      <c r="I10" s="187">
        <v>1036.9</v>
      </c>
      <c r="N10" s="126"/>
      <c r="O10" s="142"/>
      <c r="P10" s="104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94"/>
      <c r="AB10" s="95"/>
    </row>
    <row r="11" spans="2:28" ht="12.75">
      <c r="B11" s="188" t="s">
        <v>3</v>
      </c>
      <c r="C11" s="189"/>
      <c r="D11" s="189"/>
      <c r="E11" s="189"/>
      <c r="F11" s="189"/>
      <c r="G11" s="189"/>
      <c r="H11" s="189"/>
      <c r="I11" s="190">
        <f>SUM(I9:I10)</f>
        <v>1036.9</v>
      </c>
      <c r="N11" s="126">
        <v>1238.2</v>
      </c>
      <c r="O11" s="142"/>
      <c r="P11" s="104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94"/>
      <c r="AB11" s="95"/>
    </row>
    <row r="12" spans="2:28" ht="12.75">
      <c r="B12" s="6" t="s">
        <v>0</v>
      </c>
      <c r="C12" s="182"/>
      <c r="D12" s="182"/>
      <c r="E12" s="182"/>
      <c r="F12" s="182"/>
      <c r="G12" s="182"/>
      <c r="H12" s="182"/>
      <c r="I12" s="191"/>
      <c r="N12" s="126"/>
      <c r="O12" s="142"/>
      <c r="P12" s="104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94"/>
      <c r="AB12" s="95"/>
    </row>
    <row r="13" spans="2:28" ht="12.75">
      <c r="B13" s="182" t="s">
        <v>170</v>
      </c>
      <c r="C13" s="182"/>
      <c r="D13" s="182"/>
      <c r="E13" s="182"/>
      <c r="F13" s="182"/>
      <c r="G13" s="182"/>
      <c r="H13" s="182"/>
      <c r="I13" s="186">
        <v>139.755</v>
      </c>
      <c r="K13">
        <f>I13</f>
        <v>139.755</v>
      </c>
      <c r="M13">
        <f>K13</f>
        <v>139.755</v>
      </c>
      <c r="N13" s="126">
        <v>139.755</v>
      </c>
      <c r="O13" s="142"/>
      <c r="P13" s="104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94"/>
      <c r="AB13" s="95"/>
    </row>
    <row r="14" spans="2:28" ht="12.75">
      <c r="B14" s="182" t="s">
        <v>1</v>
      </c>
      <c r="C14" s="182"/>
      <c r="D14" s="182"/>
      <c r="E14" s="182"/>
      <c r="F14" s="182"/>
      <c r="G14" s="182"/>
      <c r="H14" s="182"/>
      <c r="I14" s="183">
        <f>2286.2+2286.2/13.09*15.27</f>
        <v>4953.142245989304</v>
      </c>
      <c r="J14" s="183">
        <f>K14-I14</f>
        <v>-174.6524064171117</v>
      </c>
      <c r="K14" s="36">
        <f>2286.2+2286.2/13.09*14.27</f>
        <v>4778.489839572192</v>
      </c>
      <c r="L14" s="183">
        <f>M14-I14</f>
        <v>0</v>
      </c>
      <c r="M14" s="36">
        <f>2286.2+2286.2/13.09*15.27</f>
        <v>4953.142245989304</v>
      </c>
      <c r="N14" s="292">
        <v>5549.5</v>
      </c>
      <c r="O14" s="142"/>
      <c r="P14" s="104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94"/>
      <c r="AB14" s="95"/>
    </row>
    <row r="15" spans="2:28" ht="12.75">
      <c r="B15" s="182" t="s">
        <v>2</v>
      </c>
      <c r="C15" s="182"/>
      <c r="D15" s="182"/>
      <c r="E15" s="182"/>
      <c r="F15" s="182"/>
      <c r="G15" s="182"/>
      <c r="H15" s="182"/>
      <c r="I15" s="183">
        <f>325.1+325.1/23.09*27.27</f>
        <v>709.0530965786055</v>
      </c>
      <c r="J15" s="183">
        <f>K15-I15</f>
        <v>-42.239064530099654</v>
      </c>
      <c r="K15" s="36">
        <f>325.1+325.1/23.09*24.27</f>
        <v>666.8140320485059</v>
      </c>
      <c r="L15" s="183">
        <f>M15-I15</f>
        <v>-28.159376353399807</v>
      </c>
      <c r="M15" s="36">
        <f>325.1+325.1/23.09*25.27</f>
        <v>680.8937202252057</v>
      </c>
      <c r="N15" s="293"/>
      <c r="O15" s="142"/>
      <c r="P15" s="104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94"/>
      <c r="AB15" s="95"/>
    </row>
    <row r="16" spans="2:28" ht="12.75">
      <c r="B16" s="182" t="s">
        <v>17</v>
      </c>
      <c r="C16" s="182"/>
      <c r="D16" s="182"/>
      <c r="E16" s="182"/>
      <c r="F16" s="182"/>
      <c r="G16" s="182"/>
      <c r="H16" s="182"/>
      <c r="I16" s="183">
        <f>148.9+148.9/20*24</f>
        <v>327.58000000000004</v>
      </c>
      <c r="J16" s="183">
        <f>K16-I16</f>
        <v>-14.889999999999986</v>
      </c>
      <c r="K16" s="36">
        <f>148.9+148.9/20*22</f>
        <v>312.69000000000005</v>
      </c>
      <c r="L16" s="183">
        <f>M16-I16</f>
        <v>0</v>
      </c>
      <c r="M16" s="36">
        <f>148.9+148.9/20*24</f>
        <v>327.58000000000004</v>
      </c>
      <c r="N16" s="126">
        <v>436.311</v>
      </c>
      <c r="O16" s="142"/>
      <c r="P16" s="104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94"/>
      <c r="AB16" s="95"/>
    </row>
    <row r="17" spans="2:28" ht="12.75">
      <c r="B17" s="182" t="s">
        <v>31</v>
      </c>
      <c r="C17" s="182"/>
      <c r="D17" s="182"/>
      <c r="E17" s="182"/>
      <c r="F17" s="182"/>
      <c r="G17" s="182"/>
      <c r="H17" s="182"/>
      <c r="I17" s="192">
        <f>702.6+702.6</f>
        <v>1405.2</v>
      </c>
      <c r="J17" s="183"/>
      <c r="K17" s="36">
        <v>1405.2</v>
      </c>
      <c r="L17" s="183"/>
      <c r="M17" s="36">
        <v>1405.2</v>
      </c>
      <c r="N17" s="126">
        <v>1490.279</v>
      </c>
      <c r="O17" s="142"/>
      <c r="P17" s="104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94"/>
      <c r="AB17" s="95"/>
    </row>
    <row r="18" spans="2:28" ht="12.75">
      <c r="B18" s="189" t="s">
        <v>3</v>
      </c>
      <c r="C18" s="189"/>
      <c r="D18" s="189"/>
      <c r="E18" s="189"/>
      <c r="F18" s="189"/>
      <c r="G18" s="189"/>
      <c r="H18" s="189"/>
      <c r="I18" s="193">
        <f>SUM(I13:I17)</f>
        <v>7534.730342567909</v>
      </c>
      <c r="J18" s="183">
        <f>SUM(J14:J17)</f>
        <v>-231.78147094721135</v>
      </c>
      <c r="K18" s="36">
        <f>SUM(K13:K17)</f>
        <v>7302.948871620699</v>
      </c>
      <c r="L18" s="183">
        <f>SUM(L14:L17)</f>
        <v>-28.159376353399807</v>
      </c>
      <c r="M18" s="36">
        <f>SUM(M13:M17)</f>
        <v>7506.570966214509</v>
      </c>
      <c r="N18" s="126"/>
      <c r="O18" s="142"/>
      <c r="P18" s="104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94"/>
      <c r="AB18" s="95"/>
    </row>
    <row r="19" spans="2:28" ht="12.75">
      <c r="B19" s="194" t="s">
        <v>32</v>
      </c>
      <c r="C19" s="194"/>
      <c r="D19" s="194"/>
      <c r="E19" s="194"/>
      <c r="F19" s="194"/>
      <c r="G19" s="195"/>
      <c r="H19" s="195"/>
      <c r="I19" s="196">
        <f>I18+I11</f>
        <v>8571.630342567909</v>
      </c>
      <c r="K19" s="183">
        <f>I11+K18</f>
        <v>8339.8488716207</v>
      </c>
      <c r="L19" s="6"/>
      <c r="M19" s="183">
        <f>I11+M18</f>
        <v>8543.470966214509</v>
      </c>
      <c r="N19" s="249">
        <f>SUM(N11:N18)</f>
        <v>8854.045</v>
      </c>
      <c r="O19" s="142"/>
      <c r="P19" s="104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94"/>
      <c r="AB19" s="95"/>
    </row>
    <row r="20" spans="2:28" ht="12.75">
      <c r="B20" s="6"/>
      <c r="C20" s="182"/>
      <c r="D20" s="182"/>
      <c r="E20" s="182"/>
      <c r="F20" s="182"/>
      <c r="G20" s="182"/>
      <c r="H20" s="182"/>
      <c r="I20" s="191"/>
      <c r="N20" s="126"/>
      <c r="O20" s="142"/>
      <c r="P20" s="104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94"/>
      <c r="AB20" s="95"/>
    </row>
    <row r="21" spans="2:28" ht="12.75">
      <c r="B21" s="6" t="s">
        <v>26</v>
      </c>
      <c r="C21" s="182"/>
      <c r="D21" s="182"/>
      <c r="E21" s="182"/>
      <c r="F21" s="182"/>
      <c r="G21" s="182"/>
      <c r="H21" s="182"/>
      <c r="I21" s="182"/>
      <c r="N21" s="126"/>
      <c r="O21" s="142"/>
      <c r="P21" s="104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94"/>
      <c r="AB21" s="95"/>
    </row>
    <row r="22" spans="1:28" ht="18">
      <c r="A22" s="216">
        <v>1</v>
      </c>
      <c r="B22" s="289" t="s">
        <v>85</v>
      </c>
      <c r="C22" s="289"/>
      <c r="D22" s="289"/>
      <c r="E22" s="289"/>
      <c r="F22" s="289"/>
      <c r="G22" s="289"/>
      <c r="H22" s="289"/>
      <c r="I22" s="181">
        <f>380.4+415</f>
        <v>795.4</v>
      </c>
      <c r="K22" s="85">
        <f>380.4+415</f>
        <v>795.4</v>
      </c>
      <c r="M22" s="85">
        <f>380.4+415</f>
        <v>795.4</v>
      </c>
      <c r="N22" s="126">
        <v>819.165</v>
      </c>
      <c r="O22" s="142"/>
      <c r="P22" s="104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94"/>
      <c r="AB22" s="126">
        <v>819.165</v>
      </c>
    </row>
    <row r="23" spans="1:28" ht="18">
      <c r="A23" s="216">
        <v>2</v>
      </c>
      <c r="B23" s="289" t="s">
        <v>86</v>
      </c>
      <c r="C23" s="289"/>
      <c r="D23" s="289"/>
      <c r="E23" s="289"/>
      <c r="F23" s="289"/>
      <c r="G23" s="289"/>
      <c r="H23" s="289"/>
      <c r="I23" s="181">
        <f>184.08+202.488</f>
        <v>386.568</v>
      </c>
      <c r="K23" s="85">
        <f>184.08+202.488</f>
        <v>386.568</v>
      </c>
      <c r="M23" s="85">
        <f>184.08+202.488</f>
        <v>386.568</v>
      </c>
      <c r="N23" s="126">
        <v>368.16</v>
      </c>
      <c r="O23" s="142"/>
      <c r="P23" s="104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94"/>
      <c r="AB23" s="126">
        <v>368.16</v>
      </c>
    </row>
    <row r="24" spans="1:28" ht="18.75" thickBot="1">
      <c r="A24" s="216">
        <v>3</v>
      </c>
      <c r="B24" s="289" t="s">
        <v>89</v>
      </c>
      <c r="C24" s="289"/>
      <c r="D24" s="289"/>
      <c r="E24" s="289"/>
      <c r="F24" s="289"/>
      <c r="G24" s="289"/>
      <c r="H24" s="289"/>
      <c r="I24" s="181">
        <v>40</v>
      </c>
      <c r="K24" s="85">
        <v>40</v>
      </c>
      <c r="M24" s="85">
        <v>40</v>
      </c>
      <c r="N24" s="126">
        <v>21.284</v>
      </c>
      <c r="O24" s="142"/>
      <c r="P24" s="104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94"/>
      <c r="AB24" s="126">
        <v>21.284</v>
      </c>
    </row>
    <row r="25" spans="1:28" ht="18.75" thickBot="1">
      <c r="A25" s="216"/>
      <c r="B25" s="290" t="s">
        <v>3</v>
      </c>
      <c r="C25" s="291"/>
      <c r="D25" s="291"/>
      <c r="E25" s="291"/>
      <c r="F25" s="291"/>
      <c r="G25" s="291"/>
      <c r="H25" s="291"/>
      <c r="I25" s="197">
        <f>SUM(I22:I24)</f>
        <v>1221.9679999999998</v>
      </c>
      <c r="K25" s="141">
        <f>SUM(K22:K24)</f>
        <v>1221.9679999999998</v>
      </c>
      <c r="M25" s="209">
        <f>SUM(M22:M24)</f>
        <v>1221.9679999999998</v>
      </c>
      <c r="N25" s="249">
        <f>SUM(N22:N24)</f>
        <v>1208.6090000000002</v>
      </c>
      <c r="O25" s="142"/>
      <c r="P25" s="104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59"/>
      <c r="AB25" s="249">
        <v>1208609</v>
      </c>
    </row>
    <row r="26" spans="1:28" ht="18">
      <c r="A26" s="216"/>
      <c r="B26" s="6" t="s">
        <v>4</v>
      </c>
      <c r="C26" s="6"/>
      <c r="D26" s="6"/>
      <c r="E26" s="6"/>
      <c r="F26" s="6"/>
      <c r="G26" s="6"/>
      <c r="H26" s="182"/>
      <c r="I26" s="182"/>
      <c r="K26" s="1"/>
      <c r="M26" s="1"/>
      <c r="N26" s="126"/>
      <c r="O26" s="142"/>
      <c r="P26" s="104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159"/>
      <c r="AB26" s="264"/>
    </row>
    <row r="27" spans="1:28" ht="18">
      <c r="A27" s="216">
        <v>4</v>
      </c>
      <c r="B27" s="182" t="s">
        <v>107</v>
      </c>
      <c r="C27" s="182"/>
      <c r="D27" s="182"/>
      <c r="E27" s="182"/>
      <c r="F27" s="182"/>
      <c r="G27" s="182"/>
      <c r="H27" s="182"/>
      <c r="I27" s="198">
        <v>2216.5</v>
      </c>
      <c r="K27" s="178">
        <v>2216.5</v>
      </c>
      <c r="M27" s="178">
        <v>2216.5</v>
      </c>
      <c r="N27" s="126">
        <f aca="true" t="shared" si="0" ref="N27:N38">AB27/1000</f>
        <v>2193.363</v>
      </c>
      <c r="O27" s="217">
        <f aca="true" t="shared" si="1" ref="O27:O37">I27-N27</f>
        <v>23.13700000000017</v>
      </c>
      <c r="P27" s="250">
        <v>189173</v>
      </c>
      <c r="Q27" s="245">
        <v>179500</v>
      </c>
      <c r="R27" s="245">
        <v>160381</v>
      </c>
      <c r="S27" s="245">
        <v>169523</v>
      </c>
      <c r="T27" s="245">
        <v>167479</v>
      </c>
      <c r="U27" s="245">
        <v>160551</v>
      </c>
      <c r="V27" s="245">
        <v>169760</v>
      </c>
      <c r="W27" s="245">
        <v>191277</v>
      </c>
      <c r="X27" s="245">
        <f>243262-35000+13688</f>
        <v>221950</v>
      </c>
      <c r="Y27" s="245">
        <f>228175-34000</f>
        <v>194175</v>
      </c>
      <c r="Z27" s="245">
        <f>201643-34000</f>
        <v>167643</v>
      </c>
      <c r="AA27" s="159">
        <f>261198.69-5247.69-34000</f>
        <v>221951</v>
      </c>
      <c r="AB27" s="264">
        <f aca="true" t="shared" si="2" ref="AB27:AB37">SUM(P27:AA27)</f>
        <v>2193363</v>
      </c>
    </row>
    <row r="28" spans="1:28" ht="18">
      <c r="A28" s="216">
        <v>5</v>
      </c>
      <c r="B28" s="182" t="s">
        <v>28</v>
      </c>
      <c r="C28" s="182"/>
      <c r="D28" s="182"/>
      <c r="E28" s="182"/>
      <c r="F28" s="182"/>
      <c r="G28" s="182"/>
      <c r="H28" s="182"/>
      <c r="I28" s="198">
        <f>I27/100*30.2</f>
        <v>669.3829999999999</v>
      </c>
      <c r="K28" s="178">
        <f>K27/100*30.2</f>
        <v>669.3829999999999</v>
      </c>
      <c r="M28" s="178">
        <f>M27/100*30.2</f>
        <v>669.3829999999999</v>
      </c>
      <c r="N28" s="126">
        <f t="shared" si="0"/>
        <v>662.395626</v>
      </c>
      <c r="O28" s="217">
        <f t="shared" si="1"/>
        <v>6.987373999999932</v>
      </c>
      <c r="P28" s="250">
        <f>P27/100*30.2</f>
        <v>57130.246</v>
      </c>
      <c r="Q28" s="250">
        <f aca="true" t="shared" si="3" ref="Q28:W28">Q27/100*30.2</f>
        <v>54209</v>
      </c>
      <c r="R28" s="250">
        <f t="shared" si="3"/>
        <v>48435.062</v>
      </c>
      <c r="S28" s="250">
        <f t="shared" si="3"/>
        <v>51195.945999999996</v>
      </c>
      <c r="T28" s="250">
        <f t="shared" si="3"/>
        <v>50578.657999999996</v>
      </c>
      <c r="U28" s="250">
        <f t="shared" si="3"/>
        <v>48486.402</v>
      </c>
      <c r="V28" s="250">
        <f t="shared" si="3"/>
        <v>51267.52</v>
      </c>
      <c r="W28" s="250">
        <f t="shared" si="3"/>
        <v>57765.653999999995</v>
      </c>
      <c r="X28" s="245">
        <f>X27/100*30.2</f>
        <v>67028.9</v>
      </c>
      <c r="Y28" s="245">
        <f>Y27/100*30.2</f>
        <v>58640.85</v>
      </c>
      <c r="Z28" s="245">
        <f>Z27/100*30.2</f>
        <v>50628.186</v>
      </c>
      <c r="AA28" s="159">
        <f>AA27/100*30.2</f>
        <v>67029.202</v>
      </c>
      <c r="AB28" s="264">
        <f t="shared" si="2"/>
        <v>662395.626</v>
      </c>
    </row>
    <row r="29" spans="1:30" ht="18">
      <c r="A29" s="216">
        <v>6</v>
      </c>
      <c r="B29" s="182" t="s">
        <v>6</v>
      </c>
      <c r="C29" s="182"/>
      <c r="D29" s="182"/>
      <c r="E29" s="182"/>
      <c r="F29" s="182"/>
      <c r="G29" s="182"/>
      <c r="H29" s="182"/>
      <c r="I29" s="198">
        <f>30+182</f>
        <v>212</v>
      </c>
      <c r="K29" s="178">
        <v>30</v>
      </c>
      <c r="M29" s="178">
        <v>30</v>
      </c>
      <c r="N29" s="126">
        <f t="shared" si="0"/>
        <v>22.35416</v>
      </c>
      <c r="O29" s="217">
        <f t="shared" si="1"/>
        <v>189.64584</v>
      </c>
      <c r="P29" s="250">
        <v>670</v>
      </c>
      <c r="Q29" s="245"/>
      <c r="R29" s="245">
        <v>19331</v>
      </c>
      <c r="S29" s="245">
        <v>720</v>
      </c>
      <c r="T29" s="245"/>
      <c r="U29" s="245">
        <v>300</v>
      </c>
      <c r="V29" s="245">
        <f>720+613.16</f>
        <v>1333.1599999999999</v>
      </c>
      <c r="W29" s="245"/>
      <c r="X29" s="245"/>
      <c r="Y29" s="245"/>
      <c r="Z29" s="245"/>
      <c r="AA29" s="159"/>
      <c r="AB29" s="264">
        <f t="shared" si="2"/>
        <v>22354.16</v>
      </c>
      <c r="AD29" s="184"/>
    </row>
    <row r="30" spans="1:28" ht="18">
      <c r="A30" s="216">
        <v>7</v>
      </c>
      <c r="B30" s="182" t="s">
        <v>7</v>
      </c>
      <c r="C30" s="182"/>
      <c r="D30" s="182"/>
      <c r="E30" s="182"/>
      <c r="F30" s="182"/>
      <c r="G30" s="182"/>
      <c r="H30" s="182"/>
      <c r="I30" s="198">
        <v>100</v>
      </c>
      <c r="K30" s="178">
        <v>100</v>
      </c>
      <c r="M30" s="178">
        <v>100</v>
      </c>
      <c r="N30" s="126">
        <f t="shared" si="0"/>
        <v>62.89552000000001</v>
      </c>
      <c r="O30" s="217">
        <f t="shared" si="1"/>
        <v>37.10447999999999</v>
      </c>
      <c r="P30" s="250">
        <f>29887.53+3344.23-12600</f>
        <v>20631.760000000002</v>
      </c>
      <c r="Q30" s="245">
        <v>3153.11</v>
      </c>
      <c r="R30" s="245">
        <v>3841.61</v>
      </c>
      <c r="S30" s="245">
        <v>3976.56</v>
      </c>
      <c r="T30" s="245">
        <v>3302.53</v>
      </c>
      <c r="U30" s="245">
        <v>3464.01</v>
      </c>
      <c r="V30" s="245">
        <v>3663.44</v>
      </c>
      <c r="W30" s="245">
        <v>2958.42</v>
      </c>
      <c r="X30" s="245">
        <v>3806.65</v>
      </c>
      <c r="Y30" s="245">
        <v>3592.7</v>
      </c>
      <c r="Z30" s="245">
        <v>5210.54</v>
      </c>
      <c r="AA30" s="159">
        <v>5294.19</v>
      </c>
      <c r="AB30" s="264">
        <f t="shared" si="2"/>
        <v>62895.52000000001</v>
      </c>
    </row>
    <row r="31" spans="1:28" ht="18">
      <c r="A31" s="216">
        <v>8</v>
      </c>
      <c r="B31" s="182" t="s">
        <v>8</v>
      </c>
      <c r="C31" s="182"/>
      <c r="D31" s="182"/>
      <c r="E31" s="182"/>
      <c r="F31" s="182"/>
      <c r="G31" s="182"/>
      <c r="H31" s="182"/>
      <c r="I31" s="198">
        <v>17</v>
      </c>
      <c r="K31" s="178">
        <v>17</v>
      </c>
      <c r="M31" s="178">
        <v>17</v>
      </c>
      <c r="N31" s="126">
        <f t="shared" si="0"/>
        <v>11.52935</v>
      </c>
      <c r="O31" s="217">
        <f t="shared" si="1"/>
        <v>5.470649999999999</v>
      </c>
      <c r="P31" s="250">
        <v>3759.2</v>
      </c>
      <c r="Q31" s="245"/>
      <c r="R31" s="245"/>
      <c r="S31" s="245"/>
      <c r="T31" s="245">
        <v>2614</v>
      </c>
      <c r="U31" s="245"/>
      <c r="V31" s="245">
        <v>2466.15</v>
      </c>
      <c r="W31" s="245">
        <v>1260</v>
      </c>
      <c r="X31" s="245"/>
      <c r="Y31" s="245"/>
      <c r="Z31" s="245">
        <v>1260</v>
      </c>
      <c r="AA31" s="159">
        <v>170</v>
      </c>
      <c r="AB31" s="264">
        <f t="shared" si="2"/>
        <v>11529.35</v>
      </c>
    </row>
    <row r="32" spans="1:28" ht="18">
      <c r="A32" s="216">
        <v>9</v>
      </c>
      <c r="B32" s="182" t="s">
        <v>20</v>
      </c>
      <c r="C32" s="182"/>
      <c r="D32" s="182"/>
      <c r="E32" s="182"/>
      <c r="F32" s="182"/>
      <c r="G32" s="182"/>
      <c r="H32" s="182"/>
      <c r="I32" s="198">
        <v>25</v>
      </c>
      <c r="K32" s="178">
        <v>33</v>
      </c>
      <c r="M32" s="178">
        <v>33</v>
      </c>
      <c r="N32" s="126">
        <f t="shared" si="0"/>
        <v>3.5</v>
      </c>
      <c r="O32" s="217">
        <f t="shared" si="1"/>
        <v>21.5</v>
      </c>
      <c r="P32" s="250"/>
      <c r="Q32" s="245"/>
      <c r="R32" s="245"/>
      <c r="S32" s="245"/>
      <c r="T32" s="245"/>
      <c r="U32" s="245"/>
      <c r="V32" s="245">
        <v>3500</v>
      </c>
      <c r="W32" s="245"/>
      <c r="X32" s="245"/>
      <c r="Y32" s="245"/>
      <c r="Z32" s="245"/>
      <c r="AA32" s="159"/>
      <c r="AB32" s="264">
        <f t="shared" si="2"/>
        <v>3500</v>
      </c>
    </row>
    <row r="33" spans="1:28" ht="18">
      <c r="A33" s="216">
        <v>10</v>
      </c>
      <c r="B33" s="182" t="s">
        <v>9</v>
      </c>
      <c r="C33" s="182"/>
      <c r="D33" s="182"/>
      <c r="E33" s="182"/>
      <c r="F33" s="182"/>
      <c r="G33" s="182"/>
      <c r="H33" s="182"/>
      <c r="I33" s="198">
        <v>25</v>
      </c>
      <c r="K33" s="178">
        <v>25</v>
      </c>
      <c r="M33" s="178">
        <v>25</v>
      </c>
      <c r="N33" s="126">
        <f t="shared" si="0"/>
        <v>23.060899999999997</v>
      </c>
      <c r="O33" s="217">
        <f t="shared" si="1"/>
        <v>1.9391000000000034</v>
      </c>
      <c r="P33" s="250">
        <v>1781.39</v>
      </c>
      <c r="Q33" s="245">
        <v>1938.87</v>
      </c>
      <c r="R33" s="245">
        <v>1803.25</v>
      </c>
      <c r="S33" s="245">
        <v>1773.8</v>
      </c>
      <c r="T33" s="245">
        <v>1810.04</v>
      </c>
      <c r="U33" s="245">
        <v>1954</v>
      </c>
      <c r="V33" s="245">
        <v>2262.66</v>
      </c>
      <c r="W33" s="245">
        <v>1814.72</v>
      </c>
      <c r="X33" s="245">
        <v>1682.85</v>
      </c>
      <c r="Y33" s="245">
        <v>2027.09</v>
      </c>
      <c r="Z33" s="245">
        <v>2043.19</v>
      </c>
      <c r="AA33" s="159">
        <v>2169.04</v>
      </c>
      <c r="AB33" s="264">
        <f t="shared" si="2"/>
        <v>23060.899999999998</v>
      </c>
    </row>
    <row r="34" spans="1:28" ht="18">
      <c r="A34" s="216">
        <v>11</v>
      </c>
      <c r="B34" s="182" t="s">
        <v>10</v>
      </c>
      <c r="C34" s="182"/>
      <c r="D34" s="182"/>
      <c r="E34" s="182"/>
      <c r="F34" s="182"/>
      <c r="G34" s="182"/>
      <c r="H34" s="182"/>
      <c r="I34" s="198">
        <v>45</v>
      </c>
      <c r="K34" s="178">
        <v>45</v>
      </c>
      <c r="M34" s="178">
        <v>45</v>
      </c>
      <c r="N34" s="126">
        <f t="shared" si="0"/>
        <v>7.85</v>
      </c>
      <c r="O34" s="217">
        <f t="shared" si="1"/>
        <v>37.15</v>
      </c>
      <c r="P34" s="250">
        <v>600</v>
      </c>
      <c r="Q34" s="245"/>
      <c r="R34" s="245">
        <v>1270</v>
      </c>
      <c r="S34" s="245"/>
      <c r="T34" s="245">
        <v>700</v>
      </c>
      <c r="U34" s="245"/>
      <c r="V34" s="245"/>
      <c r="W34" s="245">
        <v>980</v>
      </c>
      <c r="X34" s="245">
        <v>1850</v>
      </c>
      <c r="Y34" s="245">
        <v>300</v>
      </c>
      <c r="Z34" s="245">
        <v>1100</v>
      </c>
      <c r="AA34" s="159">
        <v>1050</v>
      </c>
      <c r="AB34" s="264">
        <f t="shared" si="2"/>
        <v>7850</v>
      </c>
    </row>
    <row r="35" spans="1:28" ht="18">
      <c r="A35" s="216">
        <v>12</v>
      </c>
      <c r="B35" s="182" t="s">
        <v>18</v>
      </c>
      <c r="C35" s="182"/>
      <c r="D35" s="182"/>
      <c r="E35" s="182"/>
      <c r="F35" s="182"/>
      <c r="G35" s="182"/>
      <c r="H35" s="182"/>
      <c r="I35" s="198">
        <v>5</v>
      </c>
      <c r="K35" s="178">
        <v>5</v>
      </c>
      <c r="M35" s="178">
        <v>5</v>
      </c>
      <c r="N35" s="126">
        <f t="shared" si="0"/>
        <v>4</v>
      </c>
      <c r="O35" s="217">
        <f t="shared" si="1"/>
        <v>1</v>
      </c>
      <c r="P35" s="250"/>
      <c r="Q35" s="245"/>
      <c r="R35" s="245"/>
      <c r="S35" s="245"/>
      <c r="T35" s="245"/>
      <c r="U35" s="245"/>
      <c r="V35" s="245"/>
      <c r="W35" s="245"/>
      <c r="X35" s="245">
        <v>4000</v>
      </c>
      <c r="Y35" s="245"/>
      <c r="Z35" s="245"/>
      <c r="AA35" s="159"/>
      <c r="AB35" s="264">
        <f t="shared" si="2"/>
        <v>4000</v>
      </c>
    </row>
    <row r="36" spans="1:28" ht="18">
      <c r="A36" s="216">
        <v>13</v>
      </c>
      <c r="B36" s="182" t="s">
        <v>25</v>
      </c>
      <c r="C36" s="182"/>
      <c r="D36" s="182"/>
      <c r="E36" s="182"/>
      <c r="F36" s="182"/>
      <c r="G36" s="182"/>
      <c r="H36" s="182"/>
      <c r="I36" s="198">
        <v>20</v>
      </c>
      <c r="K36" s="178">
        <v>20</v>
      </c>
      <c r="M36" s="178">
        <v>20</v>
      </c>
      <c r="N36" s="126">
        <f t="shared" si="0"/>
        <v>8.9</v>
      </c>
      <c r="O36" s="217">
        <f t="shared" si="1"/>
        <v>11.1</v>
      </c>
      <c r="P36" s="250"/>
      <c r="Q36" s="245"/>
      <c r="R36" s="245">
        <v>3900</v>
      </c>
      <c r="S36" s="245"/>
      <c r="T36" s="245">
        <v>1800</v>
      </c>
      <c r="U36" s="245"/>
      <c r="V36" s="245"/>
      <c r="W36" s="245">
        <v>1600</v>
      </c>
      <c r="X36" s="245"/>
      <c r="Y36" s="245"/>
      <c r="Z36" s="245">
        <v>1400</v>
      </c>
      <c r="AA36" s="159">
        <v>200</v>
      </c>
      <c r="AB36" s="264">
        <f t="shared" si="2"/>
        <v>8900</v>
      </c>
    </row>
    <row r="37" spans="1:28" ht="18.75" thickBot="1">
      <c r="A37" s="216">
        <v>14</v>
      </c>
      <c r="B37" s="182" t="s">
        <v>11</v>
      </c>
      <c r="C37" s="182"/>
      <c r="D37" s="182"/>
      <c r="E37" s="182"/>
      <c r="F37" s="182"/>
      <c r="G37" s="182"/>
      <c r="H37" s="182"/>
      <c r="I37" s="198">
        <v>28</v>
      </c>
      <c r="K37" s="178">
        <v>20</v>
      </c>
      <c r="M37" s="178">
        <v>20</v>
      </c>
      <c r="N37" s="218">
        <f t="shared" si="0"/>
        <v>25.78</v>
      </c>
      <c r="O37" s="224">
        <f t="shared" si="1"/>
        <v>2.219999999999999</v>
      </c>
      <c r="P37" s="252">
        <f>2500+500</f>
        <v>3000</v>
      </c>
      <c r="Q37" s="246">
        <v>2500</v>
      </c>
      <c r="R37" s="246">
        <f>1000+290</f>
        <v>1290</v>
      </c>
      <c r="S37" s="246">
        <v>1000</v>
      </c>
      <c r="T37" s="246">
        <v>1000</v>
      </c>
      <c r="U37" s="246">
        <v>1000</v>
      </c>
      <c r="V37" s="246">
        <v>1000</v>
      </c>
      <c r="W37" s="246">
        <v>1000</v>
      </c>
      <c r="X37" s="246">
        <v>1000</v>
      </c>
      <c r="Y37" s="246">
        <v>1000</v>
      </c>
      <c r="Z37" s="246">
        <v>1000</v>
      </c>
      <c r="AA37" s="165">
        <f>1000+9990</f>
        <v>10990</v>
      </c>
      <c r="AB37" s="265">
        <f t="shared" si="2"/>
        <v>25780</v>
      </c>
    </row>
    <row r="38" spans="1:28" ht="18.75" thickBot="1">
      <c r="A38" s="216"/>
      <c r="B38" s="199" t="s">
        <v>3</v>
      </c>
      <c r="C38" s="200"/>
      <c r="D38" s="200"/>
      <c r="E38" s="200"/>
      <c r="F38" s="200"/>
      <c r="G38" s="200"/>
      <c r="H38" s="200"/>
      <c r="I38" s="201">
        <f>SUM(I27:I37)</f>
        <v>3362.883</v>
      </c>
      <c r="K38" s="140">
        <f>SUM(K27:K37)</f>
        <v>3180.883</v>
      </c>
      <c r="M38" s="210">
        <f>SUM(M27:M37)</f>
        <v>3180.883</v>
      </c>
      <c r="N38" s="269">
        <f t="shared" si="0"/>
        <v>3025.628556</v>
      </c>
      <c r="O38" s="225">
        <f aca="true" t="shared" si="4" ref="O38:AB38">SUM(O27:O37)</f>
        <v>337.25444400000003</v>
      </c>
      <c r="P38" s="106">
        <f t="shared" si="4"/>
        <v>276745.596</v>
      </c>
      <c r="Q38" s="100">
        <f t="shared" si="4"/>
        <v>241300.97999999998</v>
      </c>
      <c r="R38" s="100">
        <f t="shared" si="4"/>
        <v>240251.922</v>
      </c>
      <c r="S38" s="100">
        <f t="shared" si="4"/>
        <v>228189.30599999998</v>
      </c>
      <c r="T38" s="100">
        <f t="shared" si="4"/>
        <v>229284.228</v>
      </c>
      <c r="U38" s="100">
        <f t="shared" si="4"/>
        <v>215755.412</v>
      </c>
      <c r="V38" s="100">
        <f t="shared" si="4"/>
        <v>235252.93</v>
      </c>
      <c r="W38" s="100">
        <f t="shared" si="4"/>
        <v>258655.794</v>
      </c>
      <c r="X38" s="100">
        <f t="shared" si="4"/>
        <v>301318.4</v>
      </c>
      <c r="Y38" s="100">
        <f t="shared" si="4"/>
        <v>259735.64</v>
      </c>
      <c r="Z38" s="100">
        <f t="shared" si="4"/>
        <v>230284.916</v>
      </c>
      <c r="AA38" s="109">
        <f t="shared" si="4"/>
        <v>308853.432</v>
      </c>
      <c r="AB38" s="273">
        <f t="shared" si="4"/>
        <v>3025628.5560000003</v>
      </c>
    </row>
    <row r="39" spans="1:28" ht="12.75">
      <c r="A39" s="216"/>
      <c r="B39" s="6" t="s">
        <v>12</v>
      </c>
      <c r="C39" s="182"/>
      <c r="D39" s="182"/>
      <c r="E39" s="182"/>
      <c r="F39" s="182"/>
      <c r="G39" s="182"/>
      <c r="H39" s="182"/>
      <c r="I39" s="182"/>
      <c r="N39" s="270"/>
      <c r="O39" s="221"/>
      <c r="P39" s="107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170"/>
      <c r="AB39" s="267"/>
    </row>
    <row r="40" spans="1:28" ht="18">
      <c r="A40" s="216">
        <v>15</v>
      </c>
      <c r="B40" s="191" t="s">
        <v>159</v>
      </c>
      <c r="C40" s="191"/>
      <c r="D40" s="191"/>
      <c r="E40" s="191"/>
      <c r="F40" s="191"/>
      <c r="G40" s="191"/>
      <c r="H40" s="191"/>
      <c r="I40" s="202">
        <f>486+145.8-182+30+1.2</f>
        <v>480.99999999999994</v>
      </c>
      <c r="J40" s="184"/>
      <c r="K40" s="78">
        <f>486+145.8+250</f>
        <v>881.8</v>
      </c>
      <c r="L40" s="184"/>
      <c r="M40" s="78">
        <f>486+145.8+250</f>
        <v>881.8</v>
      </c>
      <c r="N40" s="271">
        <f>AB40/1000</f>
        <v>480.595542</v>
      </c>
      <c r="O40" s="217">
        <f aca="true" t="shared" si="5" ref="O40:O45">I40-N40</f>
        <v>0.40445799999992005</v>
      </c>
      <c r="P40" s="250"/>
      <c r="Q40" s="245"/>
      <c r="R40" s="245">
        <f>18000+18000/100*30.2</f>
        <v>23436</v>
      </c>
      <c r="S40" s="245">
        <f>32000+32000/100*30.2</f>
        <v>41664</v>
      </c>
      <c r="T40" s="245">
        <f>32000+32000/100*30.2</f>
        <v>41664</v>
      </c>
      <c r="U40" s="245">
        <f>32000+32000/100*30.2</f>
        <v>41664</v>
      </c>
      <c r="V40" s="245">
        <f>(32000+25385)+57385/100*30.2</f>
        <v>74715.27</v>
      </c>
      <c r="W40" s="245">
        <f>32000+32000/100*30.2</f>
        <v>41664</v>
      </c>
      <c r="X40" s="245">
        <f>(35000+28736)+63736/100*30.2</f>
        <v>82984.272</v>
      </c>
      <c r="Y40" s="245">
        <f>34000+34000/100*30.2</f>
        <v>44268</v>
      </c>
      <c r="Z40" s="245">
        <f>Y40</f>
        <v>44268</v>
      </c>
      <c r="AA40" s="159">
        <f>Z40</f>
        <v>44268</v>
      </c>
      <c r="AB40" s="264">
        <f>SUM(P40:AA40)</f>
        <v>480595.542</v>
      </c>
    </row>
    <row r="41" spans="1:28" ht="18">
      <c r="A41" s="216">
        <v>16</v>
      </c>
      <c r="B41" s="191" t="s">
        <v>23</v>
      </c>
      <c r="C41" s="191"/>
      <c r="D41" s="191"/>
      <c r="E41" s="191"/>
      <c r="F41" s="191"/>
      <c r="G41" s="191"/>
      <c r="H41" s="191"/>
      <c r="I41" s="186">
        <v>30</v>
      </c>
      <c r="J41" s="184"/>
      <c r="K41" s="87">
        <v>30</v>
      </c>
      <c r="L41" s="184"/>
      <c r="M41" s="87">
        <v>30</v>
      </c>
      <c r="N41" s="271">
        <f>AB41/1000</f>
        <v>0.9589099999999999</v>
      </c>
      <c r="O41" s="142">
        <f t="shared" si="5"/>
        <v>29.04109</v>
      </c>
      <c r="P41" s="250">
        <v>424.8</v>
      </c>
      <c r="Q41" s="245">
        <v>102</v>
      </c>
      <c r="R41" s="245"/>
      <c r="S41" s="245"/>
      <c r="T41" s="245">
        <v>52.5</v>
      </c>
      <c r="U41" s="245"/>
      <c r="V41" s="245"/>
      <c r="W41" s="245">
        <v>379.61</v>
      </c>
      <c r="X41" s="245"/>
      <c r="Y41" s="245"/>
      <c r="Z41" s="245"/>
      <c r="AA41" s="159"/>
      <c r="AB41" s="264">
        <f>SUM(P41:AA41)</f>
        <v>958.91</v>
      </c>
    </row>
    <row r="42" spans="1:28" ht="18">
      <c r="A42" s="216">
        <v>17</v>
      </c>
      <c r="B42" s="191" t="s">
        <v>36</v>
      </c>
      <c r="C42" s="191"/>
      <c r="D42" s="191"/>
      <c r="E42" s="191"/>
      <c r="F42" s="191"/>
      <c r="G42" s="191"/>
      <c r="H42" s="191"/>
      <c r="I42" s="186">
        <v>50</v>
      </c>
      <c r="J42" s="184"/>
      <c r="K42" s="87">
        <v>50</v>
      </c>
      <c r="L42" s="184"/>
      <c r="M42" s="87">
        <v>50</v>
      </c>
      <c r="N42" s="271">
        <f>AB42/1000</f>
        <v>43.2</v>
      </c>
      <c r="O42" s="142">
        <f t="shared" si="5"/>
        <v>6.799999999999997</v>
      </c>
      <c r="P42" s="250">
        <v>3600</v>
      </c>
      <c r="Q42" s="250">
        <v>3600</v>
      </c>
      <c r="R42" s="250">
        <v>3600</v>
      </c>
      <c r="S42" s="250">
        <v>3600</v>
      </c>
      <c r="T42" s="250">
        <v>3600</v>
      </c>
      <c r="U42" s="250">
        <v>3600</v>
      </c>
      <c r="V42" s="250">
        <v>3600</v>
      </c>
      <c r="W42" s="250">
        <v>3600</v>
      </c>
      <c r="X42" s="250">
        <v>3600</v>
      </c>
      <c r="Y42" s="250">
        <v>3600</v>
      </c>
      <c r="Z42" s="250">
        <v>3600</v>
      </c>
      <c r="AA42" s="160">
        <v>3600</v>
      </c>
      <c r="AB42" s="264">
        <f>SUM(P42:AA42)</f>
        <v>43200</v>
      </c>
    </row>
    <row r="43" spans="1:28" ht="18.75" thickBot="1">
      <c r="A43" s="216">
        <v>18</v>
      </c>
      <c r="B43" s="191" t="s">
        <v>14</v>
      </c>
      <c r="C43" s="191"/>
      <c r="D43" s="191"/>
      <c r="E43" s="191"/>
      <c r="F43" s="191"/>
      <c r="G43" s="191"/>
      <c r="H43" s="191"/>
      <c r="I43" s="186">
        <v>80</v>
      </c>
      <c r="J43" s="184"/>
      <c r="K43" s="87">
        <v>80</v>
      </c>
      <c r="L43" s="184"/>
      <c r="M43" s="87">
        <v>80</v>
      </c>
      <c r="N43" s="272">
        <f>AB43/1000</f>
        <v>53.71146</v>
      </c>
      <c r="O43" s="219">
        <f t="shared" si="5"/>
        <v>26.288539999999998</v>
      </c>
      <c r="P43" s="252"/>
      <c r="Q43" s="246"/>
      <c r="R43" s="246"/>
      <c r="S43" s="246"/>
      <c r="T43" s="246"/>
      <c r="U43" s="246"/>
      <c r="V43" s="246"/>
      <c r="W43" s="246"/>
      <c r="X43" s="246">
        <v>53711.46</v>
      </c>
      <c r="Y43" s="246"/>
      <c r="Z43" s="246"/>
      <c r="AA43" s="165"/>
      <c r="AB43" s="265">
        <f>SUM(P43:AA43)</f>
        <v>53711.46</v>
      </c>
    </row>
    <row r="44" spans="1:29" ht="18.75" thickBot="1">
      <c r="A44" s="226">
        <v>19</v>
      </c>
      <c r="B44" s="227" t="s">
        <v>38</v>
      </c>
      <c r="C44" s="227"/>
      <c r="D44" s="227"/>
      <c r="E44" s="227"/>
      <c r="F44" s="227"/>
      <c r="G44" s="227"/>
      <c r="H44" s="227"/>
      <c r="I44" s="228">
        <v>2052</v>
      </c>
      <c r="J44" s="229"/>
      <c r="K44" s="230">
        <f>K45+K46+K47+K48+K49+K50+K51+K52+K53+K54+K55+K59</f>
        <v>1682</v>
      </c>
      <c r="L44" s="229"/>
      <c r="M44" s="230">
        <f>M45+M46+M47+M48+M49+M50+M51+M52+M53+M54+M55+M59</f>
        <v>1762</v>
      </c>
      <c r="N44" s="269">
        <f>N45+N46+N47+N48+N49+N50+N51+N52+N53+N54+N55+N59+N56+N57+N58</f>
        <v>1754.05305</v>
      </c>
      <c r="O44" s="61">
        <f t="shared" si="5"/>
        <v>297.94695</v>
      </c>
      <c r="P44" s="254">
        <f aca="true" t="shared" si="6" ref="P44:Z44">P45+P46+P47+P48+P49+P50+P51+P52+P53+P54+P55+P59</f>
        <v>50070.15</v>
      </c>
      <c r="Q44" s="255">
        <f t="shared" si="6"/>
        <v>113900</v>
      </c>
      <c r="R44" s="255">
        <f t="shared" si="6"/>
        <v>171744</v>
      </c>
      <c r="S44" s="255">
        <f t="shared" si="6"/>
        <v>244535</v>
      </c>
      <c r="T44" s="255">
        <f t="shared" si="6"/>
        <v>406581</v>
      </c>
      <c r="U44" s="255">
        <f t="shared" si="6"/>
        <v>16920</v>
      </c>
      <c r="V44" s="255">
        <f t="shared" si="6"/>
        <v>198533</v>
      </c>
      <c r="W44" s="255">
        <f>W45+W46+W47+W48+W49+W50+W51+W52+W53+W54+W55+W59</f>
        <v>0</v>
      </c>
      <c r="X44" s="255">
        <f t="shared" si="6"/>
        <v>110302</v>
      </c>
      <c r="Y44" s="255">
        <f t="shared" si="6"/>
        <v>34265.5</v>
      </c>
      <c r="Z44" s="255">
        <f t="shared" si="6"/>
        <v>90644.4</v>
      </c>
      <c r="AA44" s="109">
        <f>AA45+AA46+AA47+AA48+AA49+AA50+AA51+AA52+AA53+AA54+AA55+AA56+AA57+AA58+AA59</f>
        <v>316558</v>
      </c>
      <c r="AB44" s="266">
        <f>P44+Q44+R44+S44+T44+U44+V44+W44+X44+Y44+Z44+AA44</f>
        <v>1754053.0499999998</v>
      </c>
      <c r="AC44" s="184"/>
    </row>
    <row r="45" spans="1:28" ht="18">
      <c r="A45" s="231" t="s">
        <v>178</v>
      </c>
      <c r="B45" s="232" t="s">
        <v>161</v>
      </c>
      <c r="C45" s="232"/>
      <c r="D45" s="232"/>
      <c r="E45" s="232"/>
      <c r="F45" s="232"/>
      <c r="G45" s="232"/>
      <c r="H45" s="232"/>
      <c r="I45" s="233">
        <v>192</v>
      </c>
      <c r="J45" s="234"/>
      <c r="K45" s="235">
        <v>192</v>
      </c>
      <c r="L45" s="234"/>
      <c r="M45" s="235">
        <v>192</v>
      </c>
      <c r="N45" s="211">
        <f>AB45/1000</f>
        <v>191.18</v>
      </c>
      <c r="O45" s="212">
        <f t="shared" si="5"/>
        <v>0.8199999999999932</v>
      </c>
      <c r="P45" s="256"/>
      <c r="Q45" s="257"/>
      <c r="R45" s="257"/>
      <c r="S45" s="257">
        <v>191180</v>
      </c>
      <c r="T45" s="257"/>
      <c r="U45" s="257"/>
      <c r="V45" s="257"/>
      <c r="W45" s="257"/>
      <c r="X45" s="257"/>
      <c r="Y45" s="257"/>
      <c r="Z45" s="257"/>
      <c r="AA45" s="177"/>
      <c r="AB45" s="268">
        <f>SUM(P45:AA45)</f>
        <v>191180</v>
      </c>
    </row>
    <row r="46" spans="1:28" ht="18">
      <c r="A46" s="236" t="s">
        <v>179</v>
      </c>
      <c r="B46" s="237" t="s">
        <v>131</v>
      </c>
      <c r="C46" s="237"/>
      <c r="D46" s="237"/>
      <c r="E46" s="237"/>
      <c r="F46" s="237"/>
      <c r="G46" s="237"/>
      <c r="H46" s="237"/>
      <c r="I46" s="238">
        <v>100</v>
      </c>
      <c r="J46" s="66"/>
      <c r="K46" s="239">
        <v>70</v>
      </c>
      <c r="L46" s="66"/>
      <c r="M46" s="239">
        <v>100</v>
      </c>
      <c r="N46" s="126"/>
      <c r="O46" s="142">
        <f>I46</f>
        <v>100</v>
      </c>
      <c r="P46" s="250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51"/>
      <c r="AB46" s="95"/>
    </row>
    <row r="47" spans="1:28" ht="18">
      <c r="A47" s="236" t="s">
        <v>180</v>
      </c>
      <c r="B47" s="237" t="s">
        <v>166</v>
      </c>
      <c r="C47" s="237"/>
      <c r="D47" s="237"/>
      <c r="E47" s="237"/>
      <c r="F47" s="237"/>
      <c r="G47" s="237"/>
      <c r="H47" s="237"/>
      <c r="I47" s="238">
        <v>73</v>
      </c>
      <c r="J47" s="66"/>
      <c r="K47" s="239">
        <v>73</v>
      </c>
      <c r="L47" s="66"/>
      <c r="M47" s="239">
        <v>73</v>
      </c>
      <c r="N47" s="126">
        <f>AB47/1000</f>
        <v>72.596</v>
      </c>
      <c r="O47" s="142">
        <f>I47-N47</f>
        <v>0.40399999999999636</v>
      </c>
      <c r="P47" s="250"/>
      <c r="Q47" s="245"/>
      <c r="R47" s="245">
        <v>72596</v>
      </c>
      <c r="S47" s="245"/>
      <c r="T47" s="245"/>
      <c r="U47" s="245"/>
      <c r="V47" s="245"/>
      <c r="W47" s="245"/>
      <c r="X47" s="245"/>
      <c r="Y47" s="245"/>
      <c r="Z47" s="245"/>
      <c r="AA47" s="251"/>
      <c r="AB47" s="95">
        <f aca="true" t="shared" si="7" ref="AB47:AB55">SUM(P47:AA47)</f>
        <v>72596</v>
      </c>
    </row>
    <row r="48" spans="1:28" ht="18">
      <c r="A48" s="236" t="s">
        <v>181</v>
      </c>
      <c r="B48" s="237" t="s">
        <v>165</v>
      </c>
      <c r="C48" s="237"/>
      <c r="D48" s="237"/>
      <c r="E48" s="237"/>
      <c r="F48" s="237"/>
      <c r="G48" s="237"/>
      <c r="H48" s="237"/>
      <c r="I48" s="238">
        <v>166</v>
      </c>
      <c r="J48" s="66"/>
      <c r="K48" s="239">
        <v>166</v>
      </c>
      <c r="L48" s="66"/>
      <c r="M48" s="239">
        <v>166</v>
      </c>
      <c r="N48" s="126">
        <f>AB48/1000</f>
        <v>165.196</v>
      </c>
      <c r="O48" s="142">
        <f>I48-N48</f>
        <v>0.804000000000002</v>
      </c>
      <c r="P48" s="250"/>
      <c r="Q48" s="245"/>
      <c r="R48" s="245"/>
      <c r="S48" s="245"/>
      <c r="T48" s="245">
        <v>165196</v>
      </c>
      <c r="U48" s="245"/>
      <c r="V48" s="245"/>
      <c r="W48" s="245"/>
      <c r="X48" s="245"/>
      <c r="Y48" s="245"/>
      <c r="Z48" s="245"/>
      <c r="AA48" s="251"/>
      <c r="AB48" s="95">
        <f t="shared" si="7"/>
        <v>165196</v>
      </c>
    </row>
    <row r="49" spans="1:28" ht="18">
      <c r="A49" s="236" t="s">
        <v>182</v>
      </c>
      <c r="B49" s="237" t="s">
        <v>204</v>
      </c>
      <c r="C49" s="237"/>
      <c r="D49" s="237"/>
      <c r="E49" s="237"/>
      <c r="F49" s="237"/>
      <c r="G49" s="237"/>
      <c r="H49" s="237"/>
      <c r="I49" s="238">
        <v>75</v>
      </c>
      <c r="J49" s="66"/>
      <c r="K49" s="239">
        <v>100</v>
      </c>
      <c r="L49" s="66"/>
      <c r="M49" s="239">
        <v>100</v>
      </c>
      <c r="N49" s="126">
        <f>AB49/1000</f>
        <v>60.788</v>
      </c>
      <c r="O49" s="142">
        <f>I49-N49</f>
        <v>14.212000000000003</v>
      </c>
      <c r="P49" s="250"/>
      <c r="Q49" s="245">
        <f>23900</f>
        <v>23900</v>
      </c>
      <c r="R49" s="245">
        <v>36888</v>
      </c>
      <c r="S49" s="245"/>
      <c r="T49" s="245"/>
      <c r="U49" s="245"/>
      <c r="V49" s="245"/>
      <c r="W49" s="245"/>
      <c r="X49" s="245"/>
      <c r="Y49" s="245"/>
      <c r="Z49" s="245"/>
      <c r="AA49" s="251"/>
      <c r="AB49" s="95">
        <f t="shared" si="7"/>
        <v>60788</v>
      </c>
    </row>
    <row r="50" spans="1:28" ht="18">
      <c r="A50" s="236" t="s">
        <v>183</v>
      </c>
      <c r="B50" s="237" t="s">
        <v>92</v>
      </c>
      <c r="C50" s="237"/>
      <c r="D50" s="237"/>
      <c r="E50" s="237"/>
      <c r="F50" s="237"/>
      <c r="G50" s="237"/>
      <c r="H50" s="237"/>
      <c r="I50" s="238">
        <v>330</v>
      </c>
      <c r="J50" s="66"/>
      <c r="K50" s="239">
        <v>550</v>
      </c>
      <c r="L50" s="66"/>
      <c r="M50" s="239">
        <v>600</v>
      </c>
      <c r="N50" s="126">
        <f>AB50/1000</f>
        <v>272.79755</v>
      </c>
      <c r="O50" s="142">
        <f>I50-N50</f>
        <v>57.20245</v>
      </c>
      <c r="P50" s="250">
        <f>5353+4292+9304.65</f>
        <v>18949.65</v>
      </c>
      <c r="Q50" s="245">
        <v>30000</v>
      </c>
      <c r="R50" s="245">
        <f>3200</f>
        <v>3200</v>
      </c>
      <c r="S50" s="245">
        <v>1720</v>
      </c>
      <c r="T50" s="245">
        <f>8320+3440+10000</f>
        <v>21760</v>
      </c>
      <c r="U50" s="245">
        <f>16920</f>
        <v>16920</v>
      </c>
      <c r="V50" s="245">
        <f>6600+36750+1000</f>
        <v>44350</v>
      </c>
      <c r="W50" s="245"/>
      <c r="X50" s="245">
        <v>50302</v>
      </c>
      <c r="Y50" s="245">
        <f>32000+2265.5</f>
        <v>34265.5</v>
      </c>
      <c r="Z50" s="245">
        <f>11781+4413.4</f>
        <v>16194.4</v>
      </c>
      <c r="AA50" s="251">
        <f>14530+14530+6076</f>
        <v>35136</v>
      </c>
      <c r="AB50" s="95">
        <f t="shared" si="7"/>
        <v>272797.55</v>
      </c>
    </row>
    <row r="51" spans="1:28" ht="18">
      <c r="A51" s="236" t="s">
        <v>184</v>
      </c>
      <c r="B51" s="237" t="s">
        <v>205</v>
      </c>
      <c r="C51" s="237"/>
      <c r="D51" s="237"/>
      <c r="E51" s="237"/>
      <c r="F51" s="237"/>
      <c r="G51" s="237"/>
      <c r="H51" s="237"/>
      <c r="I51" s="238">
        <v>100</v>
      </c>
      <c r="J51" s="66"/>
      <c r="K51" s="239">
        <v>100</v>
      </c>
      <c r="L51" s="66"/>
      <c r="M51" s="239">
        <v>100</v>
      </c>
      <c r="N51" s="126">
        <f>AB51/1000</f>
        <v>100</v>
      </c>
      <c r="O51" s="142">
        <f>I51-N51</f>
        <v>0</v>
      </c>
      <c r="P51" s="250"/>
      <c r="Q51" s="245"/>
      <c r="R51" s="245">
        <v>50000</v>
      </c>
      <c r="S51" s="245">
        <v>50000</v>
      </c>
      <c r="T51" s="245"/>
      <c r="U51" s="245"/>
      <c r="V51" s="245"/>
      <c r="W51" s="245"/>
      <c r="X51" s="245"/>
      <c r="Y51" s="245"/>
      <c r="Z51" s="245"/>
      <c r="AA51" s="251"/>
      <c r="AB51" s="95">
        <f t="shared" si="7"/>
        <v>100000</v>
      </c>
    </row>
    <row r="52" spans="1:28" ht="18">
      <c r="A52" s="236" t="s">
        <v>185</v>
      </c>
      <c r="B52" s="237" t="s">
        <v>203</v>
      </c>
      <c r="C52" s="237"/>
      <c r="D52" s="237"/>
      <c r="E52" s="237"/>
      <c r="F52" s="237"/>
      <c r="G52" s="237"/>
      <c r="H52" s="237"/>
      <c r="I52" s="238">
        <v>120</v>
      </c>
      <c r="J52" s="66"/>
      <c r="K52" s="239">
        <v>50</v>
      </c>
      <c r="L52" s="66"/>
      <c r="M52" s="239">
        <v>50</v>
      </c>
      <c r="N52" s="126">
        <v>120</v>
      </c>
      <c r="O52" s="142">
        <v>0</v>
      </c>
      <c r="P52" s="250"/>
      <c r="Q52" s="245">
        <v>60000</v>
      </c>
      <c r="R52" s="245"/>
      <c r="S52" s="245"/>
      <c r="T52" s="245"/>
      <c r="U52" s="245"/>
      <c r="V52" s="245"/>
      <c r="W52" s="245"/>
      <c r="X52" s="245"/>
      <c r="Y52" s="245"/>
      <c r="Z52" s="245">
        <v>60000</v>
      </c>
      <c r="AA52" s="251"/>
      <c r="AB52" s="95">
        <f t="shared" si="7"/>
        <v>120000</v>
      </c>
    </row>
    <row r="53" spans="1:28" ht="18">
      <c r="A53" s="236" t="s">
        <v>186</v>
      </c>
      <c r="B53" s="237" t="s">
        <v>169</v>
      </c>
      <c r="C53" s="237"/>
      <c r="D53" s="237"/>
      <c r="E53" s="237"/>
      <c r="F53" s="237"/>
      <c r="G53" s="237"/>
      <c r="H53" s="237"/>
      <c r="I53" s="238">
        <v>50</v>
      </c>
      <c r="J53" s="66"/>
      <c r="K53" s="239">
        <v>50</v>
      </c>
      <c r="L53" s="66"/>
      <c r="M53" s="239">
        <v>50</v>
      </c>
      <c r="N53" s="126">
        <f aca="true" t="shared" si="8" ref="N53:N59">AB53/1000</f>
        <v>44.77</v>
      </c>
      <c r="O53" s="142">
        <f aca="true" t="shared" si="9" ref="O53:O59">I53-N53</f>
        <v>5.229999999999997</v>
      </c>
      <c r="P53" s="250"/>
      <c r="Q53" s="245"/>
      <c r="R53" s="245">
        <f>3360+5700</f>
        <v>9060</v>
      </c>
      <c r="S53" s="245">
        <v>1635</v>
      </c>
      <c r="T53" s="245">
        <f>3815+15810</f>
        <v>19625</v>
      </c>
      <c r="U53" s="245"/>
      <c r="V53" s="245"/>
      <c r="W53" s="245"/>
      <c r="X53" s="245"/>
      <c r="Y53" s="245"/>
      <c r="Z53" s="245">
        <v>14450</v>
      </c>
      <c r="AA53" s="251"/>
      <c r="AB53" s="95">
        <f t="shared" si="7"/>
        <v>44770</v>
      </c>
    </row>
    <row r="54" spans="1:28" ht="18">
      <c r="A54" s="236" t="s">
        <v>187</v>
      </c>
      <c r="B54" s="237" t="s">
        <v>202</v>
      </c>
      <c r="C54" s="237"/>
      <c r="D54" s="237"/>
      <c r="E54" s="237"/>
      <c r="F54" s="237"/>
      <c r="G54" s="237"/>
      <c r="H54" s="237"/>
      <c r="I54" s="238">
        <f>5.5+18+36.5</f>
        <v>60</v>
      </c>
      <c r="J54" s="66"/>
      <c r="K54" s="239">
        <f>5.5+18+36.5</f>
        <v>60</v>
      </c>
      <c r="L54" s="66"/>
      <c r="M54" s="239">
        <f>5.5+18+36.5</f>
        <v>60</v>
      </c>
      <c r="N54" s="247">
        <f t="shared" si="8"/>
        <v>60</v>
      </c>
      <c r="O54" s="248">
        <f t="shared" si="9"/>
        <v>0</v>
      </c>
      <c r="P54" s="250"/>
      <c r="Q54" s="245"/>
      <c r="R54" s="245"/>
      <c r="S54" s="245"/>
      <c r="T54" s="245"/>
      <c r="U54" s="245"/>
      <c r="V54" s="245"/>
      <c r="W54" s="245"/>
      <c r="X54" s="245">
        <v>60000</v>
      </c>
      <c r="Y54" s="245"/>
      <c r="Z54" s="245"/>
      <c r="AA54" s="251"/>
      <c r="AB54" s="95">
        <f t="shared" si="7"/>
        <v>60000</v>
      </c>
    </row>
    <row r="55" spans="1:28" ht="18">
      <c r="A55" s="236" t="s">
        <v>188</v>
      </c>
      <c r="B55" s="237" t="s">
        <v>190</v>
      </c>
      <c r="C55" s="237"/>
      <c r="D55" s="237"/>
      <c r="E55" s="237"/>
      <c r="F55" s="237"/>
      <c r="G55" s="237"/>
      <c r="H55" s="237"/>
      <c r="I55" s="238">
        <v>370</v>
      </c>
      <c r="J55" s="66"/>
      <c r="K55" s="239">
        <f>200+37</f>
        <v>237</v>
      </c>
      <c r="L55" s="66"/>
      <c r="M55" s="239">
        <f>200+37</f>
        <v>237</v>
      </c>
      <c r="N55" s="126">
        <f t="shared" si="8"/>
        <v>354.183</v>
      </c>
      <c r="O55" s="142">
        <f t="shared" si="9"/>
        <v>15.817000000000007</v>
      </c>
      <c r="P55" s="250"/>
      <c r="Q55" s="245"/>
      <c r="R55" s="245"/>
      <c r="S55" s="245"/>
      <c r="T55" s="245">
        <v>200000</v>
      </c>
      <c r="U55" s="245"/>
      <c r="V55" s="245">
        <v>154183</v>
      </c>
      <c r="W55" s="245"/>
      <c r="X55" s="245"/>
      <c r="Y55" s="245"/>
      <c r="Z55" s="245"/>
      <c r="AA55" s="251"/>
      <c r="AB55" s="95">
        <f t="shared" si="7"/>
        <v>354183</v>
      </c>
    </row>
    <row r="56" spans="1:28" ht="18">
      <c r="A56" s="236" t="s">
        <v>189</v>
      </c>
      <c r="B56" s="237" t="s">
        <v>193</v>
      </c>
      <c r="C56" s="237"/>
      <c r="D56" s="237"/>
      <c r="E56" s="237"/>
      <c r="F56" s="237"/>
      <c r="G56" s="237"/>
      <c r="H56" s="237"/>
      <c r="I56" s="238">
        <v>60</v>
      </c>
      <c r="J56" s="66"/>
      <c r="K56" s="239"/>
      <c r="L56" s="66"/>
      <c r="M56" s="239"/>
      <c r="N56" s="218">
        <f t="shared" si="8"/>
        <v>50.48</v>
      </c>
      <c r="O56" s="219">
        <f t="shared" si="9"/>
        <v>9.520000000000003</v>
      </c>
      <c r="P56" s="252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53">
        <f>48810+1670</f>
        <v>50480</v>
      </c>
      <c r="AB56" s="97">
        <f>SUM(AA56)</f>
        <v>50480</v>
      </c>
    </row>
    <row r="57" spans="1:28" ht="18">
      <c r="A57" s="236" t="s">
        <v>194</v>
      </c>
      <c r="B57" s="237" t="s">
        <v>195</v>
      </c>
      <c r="C57" s="237"/>
      <c r="D57" s="237"/>
      <c r="E57" s="237"/>
      <c r="F57" s="237"/>
      <c r="G57" s="237"/>
      <c r="H57" s="237"/>
      <c r="I57" s="238">
        <v>85</v>
      </c>
      <c r="J57" s="66"/>
      <c r="K57" s="239"/>
      <c r="L57" s="66"/>
      <c r="M57" s="239"/>
      <c r="N57" s="218">
        <f t="shared" si="8"/>
        <v>80.942</v>
      </c>
      <c r="O57" s="219">
        <f t="shared" si="9"/>
        <v>4.058000000000007</v>
      </c>
      <c r="P57" s="252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53">
        <f>64500+16442</f>
        <v>80942</v>
      </c>
      <c r="AB57" s="97">
        <f>SUM(AA57)</f>
        <v>80942</v>
      </c>
    </row>
    <row r="58" spans="1:28" ht="18">
      <c r="A58" s="236" t="s">
        <v>196</v>
      </c>
      <c r="B58" s="237" t="s">
        <v>197</v>
      </c>
      <c r="C58" s="237"/>
      <c r="D58" s="237"/>
      <c r="E58" s="237"/>
      <c r="F58" s="237"/>
      <c r="G58" s="237"/>
      <c r="H58" s="237"/>
      <c r="I58" s="238">
        <v>237</v>
      </c>
      <c r="J58" s="66"/>
      <c r="K58" s="239"/>
      <c r="L58" s="66"/>
      <c r="M58" s="239"/>
      <c r="N58" s="218">
        <f t="shared" si="8"/>
        <v>150</v>
      </c>
      <c r="O58" s="219">
        <f t="shared" si="9"/>
        <v>87</v>
      </c>
      <c r="P58" s="252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53">
        <v>150000</v>
      </c>
      <c r="AB58" s="97">
        <f>SUM(P58:AA58)</f>
        <v>150000</v>
      </c>
    </row>
    <row r="59" spans="1:28" ht="18.75" thickBot="1">
      <c r="A59" s="240" t="s">
        <v>189</v>
      </c>
      <c r="B59" s="241" t="s">
        <v>167</v>
      </c>
      <c r="C59" s="241"/>
      <c r="D59" s="241"/>
      <c r="E59" s="241"/>
      <c r="F59" s="241"/>
      <c r="G59" s="241"/>
      <c r="H59" s="241"/>
      <c r="I59" s="242">
        <v>34</v>
      </c>
      <c r="J59" s="243"/>
      <c r="K59" s="244">
        <v>34</v>
      </c>
      <c r="L59" s="243"/>
      <c r="M59" s="244">
        <v>34</v>
      </c>
      <c r="N59" s="213">
        <f t="shared" si="8"/>
        <v>31.1205</v>
      </c>
      <c r="O59" s="214">
        <f t="shared" si="9"/>
        <v>2.8795</v>
      </c>
      <c r="P59" s="258">
        <f>28200+2920.5</f>
        <v>31120.5</v>
      </c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60"/>
      <c r="AB59" s="215">
        <f>SUM(P59:AA59)</f>
        <v>31120.5</v>
      </c>
    </row>
    <row r="60" spans="1:28" ht="18">
      <c r="A60" s="216">
        <v>20</v>
      </c>
      <c r="B60" s="191" t="s">
        <v>41</v>
      </c>
      <c r="C60" s="191"/>
      <c r="D60" s="191"/>
      <c r="E60" s="191"/>
      <c r="F60" s="191"/>
      <c r="G60" s="191"/>
      <c r="H60" s="191"/>
      <c r="I60" s="186">
        <v>50</v>
      </c>
      <c r="J60" s="184"/>
      <c r="K60" s="87">
        <v>100</v>
      </c>
      <c r="L60" s="184"/>
      <c r="M60" s="87">
        <v>50</v>
      </c>
      <c r="N60" s="220"/>
      <c r="O60" s="221">
        <f>I60</f>
        <v>50</v>
      </c>
      <c r="P60" s="261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3"/>
      <c r="AB60" s="99"/>
    </row>
    <row r="61" spans="1:28" ht="18">
      <c r="A61" s="216">
        <v>21</v>
      </c>
      <c r="B61" s="191" t="s">
        <v>87</v>
      </c>
      <c r="C61" s="191"/>
      <c r="D61" s="191"/>
      <c r="E61" s="191"/>
      <c r="F61" s="191"/>
      <c r="G61" s="191"/>
      <c r="H61" s="191"/>
      <c r="I61" s="186">
        <v>40</v>
      </c>
      <c r="J61" s="191"/>
      <c r="K61" s="87">
        <v>40</v>
      </c>
      <c r="L61" s="191"/>
      <c r="M61" s="87">
        <v>40</v>
      </c>
      <c r="N61" s="247">
        <f>AB61/1000</f>
        <v>40</v>
      </c>
      <c r="O61" s="248">
        <f>I61-N61</f>
        <v>0</v>
      </c>
      <c r="P61" s="250"/>
      <c r="Q61" s="245"/>
      <c r="R61" s="245"/>
      <c r="S61" s="245"/>
      <c r="T61" s="245">
        <v>40000</v>
      </c>
      <c r="U61" s="245"/>
      <c r="V61" s="245"/>
      <c r="W61" s="245"/>
      <c r="X61" s="245"/>
      <c r="Y61" s="245"/>
      <c r="Z61" s="245"/>
      <c r="AA61" s="251"/>
      <c r="AB61" s="95">
        <f>SUM(P61:AA61)</f>
        <v>40000</v>
      </c>
    </row>
    <row r="62" spans="1:28" ht="18">
      <c r="A62" s="216">
        <v>22</v>
      </c>
      <c r="B62" s="191" t="s">
        <v>168</v>
      </c>
      <c r="C62" s="191"/>
      <c r="D62" s="191"/>
      <c r="E62" s="191"/>
      <c r="F62" s="191"/>
      <c r="G62" s="191"/>
      <c r="H62" s="191"/>
      <c r="I62" s="203">
        <f>18+8.35</f>
        <v>26.35</v>
      </c>
      <c r="J62" s="191"/>
      <c r="K62" s="185">
        <f>18+8.35</f>
        <v>26.35</v>
      </c>
      <c r="L62" s="191"/>
      <c r="M62" s="185">
        <f>18+8.35</f>
        <v>26.35</v>
      </c>
      <c r="N62" s="247">
        <f>AB62/1000</f>
        <v>16.7</v>
      </c>
      <c r="O62" s="248">
        <f>I62-N62</f>
        <v>9.650000000000002</v>
      </c>
      <c r="P62" s="250"/>
      <c r="Q62" s="245">
        <v>16700</v>
      </c>
      <c r="R62" s="245"/>
      <c r="S62" s="245"/>
      <c r="T62" s="245"/>
      <c r="U62" s="245"/>
      <c r="V62" s="245"/>
      <c r="W62" s="245"/>
      <c r="X62" s="245"/>
      <c r="Y62" s="245"/>
      <c r="Z62" s="245"/>
      <c r="AA62" s="251"/>
      <c r="AB62" s="95">
        <f>SUM(P62:AA62)</f>
        <v>16700</v>
      </c>
    </row>
    <row r="63" spans="1:28" ht="18">
      <c r="A63" s="216">
        <v>23</v>
      </c>
      <c r="B63" s="191" t="s">
        <v>140</v>
      </c>
      <c r="C63" s="191"/>
      <c r="D63" s="191"/>
      <c r="E63" s="191"/>
      <c r="F63" s="191"/>
      <c r="G63" s="191"/>
      <c r="H63" s="191"/>
      <c r="I63" s="186">
        <v>65</v>
      </c>
      <c r="J63" s="191"/>
      <c r="K63" s="87">
        <v>100</v>
      </c>
      <c r="L63" s="191"/>
      <c r="M63" s="87">
        <v>150</v>
      </c>
      <c r="N63" s="247"/>
      <c r="O63" s="248">
        <f>I63</f>
        <v>65</v>
      </c>
      <c r="P63" s="250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51"/>
      <c r="AB63" s="95"/>
    </row>
    <row r="64" spans="1:28" ht="18">
      <c r="A64" s="216">
        <v>24</v>
      </c>
      <c r="B64" s="191" t="s">
        <v>30</v>
      </c>
      <c r="C64" s="191"/>
      <c r="D64" s="191"/>
      <c r="E64" s="191"/>
      <c r="F64" s="191"/>
      <c r="G64" s="191"/>
      <c r="H64" s="191"/>
      <c r="I64" s="186">
        <v>140</v>
      </c>
      <c r="J64" s="191"/>
      <c r="K64" s="87">
        <v>200</v>
      </c>
      <c r="L64" s="191"/>
      <c r="M64" s="87">
        <v>200</v>
      </c>
      <c r="N64" s="247">
        <f>AB64/1000</f>
        <v>127.30855</v>
      </c>
      <c r="O64" s="248">
        <f>I64-N64</f>
        <v>12.691450000000003</v>
      </c>
      <c r="P64" s="250">
        <v>10698</v>
      </c>
      <c r="Q64" s="245"/>
      <c r="R64" s="245">
        <f>19425.6+3564.5</f>
        <v>22990.1</v>
      </c>
      <c r="S64" s="245"/>
      <c r="T64" s="245">
        <f>13246+1575+450</f>
        <v>15271</v>
      </c>
      <c r="U64" s="245">
        <v>42222</v>
      </c>
      <c r="V64" s="245">
        <v>149.75</v>
      </c>
      <c r="W64" s="245">
        <v>149.98</v>
      </c>
      <c r="X64" s="245">
        <v>1960</v>
      </c>
      <c r="Y64" s="245">
        <v>18330.72</v>
      </c>
      <c r="Z64" s="245"/>
      <c r="AA64" s="251">
        <f>8537+7000</f>
        <v>15537</v>
      </c>
      <c r="AB64" s="95">
        <f>SUM(P64:AA64)</f>
        <v>127308.55</v>
      </c>
    </row>
    <row r="65" spans="1:28" ht="18">
      <c r="A65" s="216">
        <v>25</v>
      </c>
      <c r="B65" s="191" t="s">
        <v>192</v>
      </c>
      <c r="C65" s="191"/>
      <c r="D65" s="191"/>
      <c r="E65" s="191"/>
      <c r="F65" s="191"/>
      <c r="G65" s="191"/>
      <c r="H65" s="191"/>
      <c r="I65" s="186">
        <v>90</v>
      </c>
      <c r="J65" s="191"/>
      <c r="K65" s="87">
        <v>30</v>
      </c>
      <c r="L65" s="191"/>
      <c r="M65" s="87">
        <v>30</v>
      </c>
      <c r="N65" s="247">
        <f>AB65/1000</f>
        <v>83.2201</v>
      </c>
      <c r="O65" s="248">
        <f>I65-N65</f>
        <v>6.779899999999998</v>
      </c>
      <c r="P65" s="250"/>
      <c r="Q65" s="245"/>
      <c r="R65" s="245"/>
      <c r="S65" s="245"/>
      <c r="T65" s="245"/>
      <c r="U65" s="245"/>
      <c r="V65" s="245">
        <v>40000</v>
      </c>
      <c r="W65" s="245"/>
      <c r="X65" s="245"/>
      <c r="Y65" s="245"/>
      <c r="Z65" s="245">
        <v>43220.1</v>
      </c>
      <c r="AA65" s="251"/>
      <c r="AB65" s="95">
        <f>SUM(P65:AA65)</f>
        <v>83220.1</v>
      </c>
    </row>
    <row r="66" spans="1:28" ht="18">
      <c r="A66" s="216">
        <v>26</v>
      </c>
      <c r="B66" s="191" t="s">
        <v>163</v>
      </c>
      <c r="C66" s="191"/>
      <c r="D66" s="191"/>
      <c r="E66" s="191"/>
      <c r="F66" s="191"/>
      <c r="G66" s="191"/>
      <c r="H66" s="191"/>
      <c r="I66" s="186">
        <v>47</v>
      </c>
      <c r="J66" s="191"/>
      <c r="K66" s="87">
        <v>47</v>
      </c>
      <c r="L66" s="191"/>
      <c r="M66" s="87">
        <v>47</v>
      </c>
      <c r="N66" s="247"/>
      <c r="O66" s="248">
        <f>I66</f>
        <v>47</v>
      </c>
      <c r="P66" s="250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51"/>
      <c r="AB66" s="95"/>
    </row>
    <row r="67" spans="1:28" ht="18">
      <c r="A67" s="216">
        <v>27</v>
      </c>
      <c r="B67" s="191" t="s">
        <v>206</v>
      </c>
      <c r="C67" s="191"/>
      <c r="D67" s="191"/>
      <c r="E67" s="191"/>
      <c r="F67" s="191"/>
      <c r="G67" s="191"/>
      <c r="H67" s="191"/>
      <c r="I67" s="186">
        <v>65</v>
      </c>
      <c r="J67" s="191"/>
      <c r="K67" s="87">
        <v>120</v>
      </c>
      <c r="L67" s="191"/>
      <c r="M67" s="87">
        <v>120</v>
      </c>
      <c r="N67" s="247">
        <f>AB67/1000</f>
        <v>64.5</v>
      </c>
      <c r="O67" s="248">
        <f>I67-N67</f>
        <v>0.5</v>
      </c>
      <c r="P67" s="250"/>
      <c r="Q67" s="245"/>
      <c r="R67" s="245"/>
      <c r="S67" s="245"/>
      <c r="T67" s="245"/>
      <c r="U67" s="245">
        <v>28500</v>
      </c>
      <c r="V67" s="245"/>
      <c r="W67" s="245"/>
      <c r="X67" s="245"/>
      <c r="Y67" s="245"/>
      <c r="Z67" s="245"/>
      <c r="AA67" s="251">
        <v>36000</v>
      </c>
      <c r="AB67" s="95">
        <f>SUM(U67:AA67)</f>
        <v>64500</v>
      </c>
    </row>
    <row r="68" spans="1:28" ht="18">
      <c r="A68" s="216">
        <v>28</v>
      </c>
      <c r="B68" s="191" t="s">
        <v>24</v>
      </c>
      <c r="C68" s="191"/>
      <c r="D68" s="191"/>
      <c r="E68" s="191"/>
      <c r="F68" s="191"/>
      <c r="G68" s="191"/>
      <c r="H68" s="191"/>
      <c r="I68" s="186">
        <v>65</v>
      </c>
      <c r="J68" s="191"/>
      <c r="K68" s="87">
        <v>60</v>
      </c>
      <c r="L68" s="191"/>
      <c r="M68" s="87">
        <v>60</v>
      </c>
      <c r="N68" s="247">
        <f>AB68/1000</f>
        <v>59.96463000000001</v>
      </c>
      <c r="O68" s="248">
        <f>I68-N68</f>
        <v>5.035369999999993</v>
      </c>
      <c r="P68" s="250">
        <v>4356</v>
      </c>
      <c r="Q68" s="245">
        <v>6033</v>
      </c>
      <c r="R68" s="245">
        <f>240+7340.4</f>
        <v>7580.4</v>
      </c>
      <c r="S68" s="245">
        <f>12969.27+4053.05</f>
        <v>17022.32</v>
      </c>
      <c r="T68" s="245">
        <v>1429</v>
      </c>
      <c r="U68" s="245">
        <f>3489.04+240</f>
        <v>3729.04</v>
      </c>
      <c r="V68" s="245">
        <f>1797.4+2776.5</f>
        <v>4573.9</v>
      </c>
      <c r="W68" s="245">
        <v>3781.78</v>
      </c>
      <c r="X68" s="245">
        <v>240</v>
      </c>
      <c r="Y68" s="245">
        <f>1071+831</f>
        <v>1902</v>
      </c>
      <c r="Z68" s="245">
        <v>1303</v>
      </c>
      <c r="AA68" s="251">
        <f>380+179+1590+5865.19</f>
        <v>8014.19</v>
      </c>
      <c r="AB68" s="95">
        <f>SUM(P68:AA68)</f>
        <v>59964.630000000005</v>
      </c>
    </row>
    <row r="69" spans="1:28" ht="18">
      <c r="A69" s="216">
        <v>29</v>
      </c>
      <c r="B69" s="191" t="s">
        <v>90</v>
      </c>
      <c r="C69" s="191"/>
      <c r="D69" s="191"/>
      <c r="E69" s="191"/>
      <c r="F69" s="191"/>
      <c r="G69" s="191"/>
      <c r="H69" s="191"/>
      <c r="I69" s="186">
        <v>40</v>
      </c>
      <c r="J69" s="191"/>
      <c r="K69" s="87">
        <v>100</v>
      </c>
      <c r="L69" s="191"/>
      <c r="M69" s="87">
        <v>100</v>
      </c>
      <c r="N69" s="247"/>
      <c r="O69" s="248">
        <f>I69</f>
        <v>40</v>
      </c>
      <c r="P69" s="250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51"/>
      <c r="AB69" s="95"/>
    </row>
    <row r="70" spans="1:28" ht="18">
      <c r="A70" s="216">
        <v>30</v>
      </c>
      <c r="B70" s="191" t="s">
        <v>162</v>
      </c>
      <c r="C70" s="191"/>
      <c r="D70" s="191"/>
      <c r="E70" s="191"/>
      <c r="F70" s="191"/>
      <c r="G70" s="191"/>
      <c r="H70" s="191"/>
      <c r="I70" s="186">
        <v>35</v>
      </c>
      <c r="J70" s="191"/>
      <c r="K70" s="87">
        <v>35</v>
      </c>
      <c r="L70" s="191"/>
      <c r="M70" s="87">
        <v>35</v>
      </c>
      <c r="N70" s="247">
        <f aca="true" t="shared" si="10" ref="N70:N75">AB70/1000</f>
        <v>32</v>
      </c>
      <c r="O70" s="248">
        <f aca="true" t="shared" si="11" ref="O70:O76">I70-N70</f>
        <v>3</v>
      </c>
      <c r="P70" s="250"/>
      <c r="Q70" s="245">
        <v>10000</v>
      </c>
      <c r="R70" s="245"/>
      <c r="S70" s="245">
        <v>7000</v>
      </c>
      <c r="T70" s="245">
        <v>15000</v>
      </c>
      <c r="U70" s="245"/>
      <c r="V70" s="245"/>
      <c r="W70" s="245"/>
      <c r="X70" s="245"/>
      <c r="Y70" s="245"/>
      <c r="Z70" s="245"/>
      <c r="AA70" s="251"/>
      <c r="AB70" s="95">
        <f aca="true" t="shared" si="12" ref="AB70:AB75">SUM(P70:AA70)</f>
        <v>32000</v>
      </c>
    </row>
    <row r="71" spans="1:28" ht="18">
      <c r="A71" s="216">
        <v>31</v>
      </c>
      <c r="B71" s="191" t="s">
        <v>164</v>
      </c>
      <c r="C71" s="186"/>
      <c r="D71" s="186"/>
      <c r="E71" s="186"/>
      <c r="F71" s="186"/>
      <c r="G71" s="186"/>
      <c r="H71" s="186"/>
      <c r="I71" s="186">
        <v>90</v>
      </c>
      <c r="J71" s="191"/>
      <c r="K71" s="87">
        <f>72+28</f>
        <v>100</v>
      </c>
      <c r="L71" s="191"/>
      <c r="M71" s="87">
        <f>72+28</f>
        <v>100</v>
      </c>
      <c r="N71" s="247">
        <f t="shared" si="10"/>
        <v>83.2</v>
      </c>
      <c r="O71" s="248">
        <f t="shared" si="11"/>
        <v>6.799999999999997</v>
      </c>
      <c r="P71" s="250"/>
      <c r="Q71" s="245"/>
      <c r="R71" s="245"/>
      <c r="S71" s="245">
        <f>64000+8000</f>
        <v>72000</v>
      </c>
      <c r="T71" s="245"/>
      <c r="U71" s="245"/>
      <c r="V71" s="245">
        <v>2800</v>
      </c>
      <c r="W71" s="245">
        <v>4600</v>
      </c>
      <c r="X71" s="245"/>
      <c r="Y71" s="245"/>
      <c r="Z71" s="245">
        <v>3800</v>
      </c>
      <c r="AA71" s="251"/>
      <c r="AB71" s="95">
        <f t="shared" si="12"/>
        <v>83200</v>
      </c>
    </row>
    <row r="72" spans="1:28" ht="18">
      <c r="A72" s="216">
        <v>32</v>
      </c>
      <c r="B72" s="191" t="s">
        <v>160</v>
      </c>
      <c r="C72" s="191"/>
      <c r="D72" s="191"/>
      <c r="E72" s="191"/>
      <c r="F72" s="191"/>
      <c r="G72" s="191"/>
      <c r="H72" s="191"/>
      <c r="I72" s="186">
        <v>46</v>
      </c>
      <c r="J72" s="191"/>
      <c r="K72" s="87">
        <v>36</v>
      </c>
      <c r="L72" s="191"/>
      <c r="M72" s="87">
        <v>36</v>
      </c>
      <c r="N72" s="247">
        <f t="shared" si="10"/>
        <v>43.674</v>
      </c>
      <c r="O72" s="248">
        <f t="shared" si="11"/>
        <v>2.3260000000000005</v>
      </c>
      <c r="P72" s="250"/>
      <c r="Q72" s="245"/>
      <c r="R72" s="245">
        <v>43674</v>
      </c>
      <c r="S72" s="245"/>
      <c r="T72" s="245"/>
      <c r="U72" s="245"/>
      <c r="V72" s="245"/>
      <c r="W72" s="245"/>
      <c r="X72" s="245"/>
      <c r="Y72" s="245"/>
      <c r="Z72" s="245"/>
      <c r="AA72" s="251"/>
      <c r="AB72" s="95">
        <f t="shared" si="12"/>
        <v>43674</v>
      </c>
    </row>
    <row r="73" spans="1:28" ht="18">
      <c r="A73" s="216">
        <v>33</v>
      </c>
      <c r="B73" s="182" t="s">
        <v>170</v>
      </c>
      <c r="C73" s="182"/>
      <c r="D73" s="182"/>
      <c r="E73" s="182"/>
      <c r="F73" s="182"/>
      <c r="G73" s="182"/>
      <c r="H73" s="182"/>
      <c r="I73" s="186">
        <v>139.755</v>
      </c>
      <c r="J73" s="191"/>
      <c r="K73" s="72">
        <v>139.755</v>
      </c>
      <c r="L73" s="191"/>
      <c r="M73" s="72">
        <v>139.755</v>
      </c>
      <c r="N73" s="247">
        <f t="shared" si="10"/>
        <v>139.75547</v>
      </c>
      <c r="O73" s="248">
        <f t="shared" si="11"/>
        <v>-0.00047000000000707587</v>
      </c>
      <c r="P73" s="250"/>
      <c r="Q73" s="245"/>
      <c r="R73" s="245"/>
      <c r="S73" s="245"/>
      <c r="T73" s="245"/>
      <c r="U73" s="245">
        <v>139755.47</v>
      </c>
      <c r="V73" s="245"/>
      <c r="W73" s="245"/>
      <c r="X73" s="245"/>
      <c r="Y73" s="245"/>
      <c r="Z73" s="245"/>
      <c r="AA73" s="251"/>
      <c r="AB73" s="95">
        <f t="shared" si="12"/>
        <v>139755.47</v>
      </c>
    </row>
    <row r="74" spans="1:28" ht="18">
      <c r="A74" s="216">
        <v>34</v>
      </c>
      <c r="B74" s="182" t="s">
        <v>191</v>
      </c>
      <c r="C74" s="182"/>
      <c r="D74" s="182"/>
      <c r="E74" s="182"/>
      <c r="F74" s="182"/>
      <c r="G74" s="182"/>
      <c r="H74" s="182"/>
      <c r="I74" s="186">
        <v>30</v>
      </c>
      <c r="J74" s="191"/>
      <c r="K74" s="72"/>
      <c r="L74" s="191"/>
      <c r="M74" s="72"/>
      <c r="N74" s="247">
        <f t="shared" si="10"/>
        <v>21.35</v>
      </c>
      <c r="O74" s="248">
        <f t="shared" si="11"/>
        <v>8.649999999999999</v>
      </c>
      <c r="P74" s="250"/>
      <c r="Q74" s="245">
        <v>4500</v>
      </c>
      <c r="R74" s="245">
        <v>1500</v>
      </c>
      <c r="S74" s="245">
        <v>4500</v>
      </c>
      <c r="T74" s="245">
        <v>1500</v>
      </c>
      <c r="U74" s="245">
        <f>4100</f>
        <v>4100</v>
      </c>
      <c r="V74" s="245">
        <v>2250</v>
      </c>
      <c r="W74" s="245"/>
      <c r="X74" s="245"/>
      <c r="Y74" s="245"/>
      <c r="Z74" s="245">
        <v>3000</v>
      </c>
      <c r="AA74" s="251"/>
      <c r="AB74" s="95">
        <f t="shared" si="12"/>
        <v>21350</v>
      </c>
    </row>
    <row r="75" spans="1:29" ht="18.75" thickBot="1">
      <c r="A75" s="216">
        <v>35</v>
      </c>
      <c r="B75" s="182" t="s">
        <v>15</v>
      </c>
      <c r="C75" s="182"/>
      <c r="D75" s="182"/>
      <c r="E75" s="182"/>
      <c r="F75" s="182"/>
      <c r="G75" s="182"/>
      <c r="H75" s="182"/>
      <c r="I75" s="6">
        <f>229.06+28.16-50-1.35-100+250-30-1.2</f>
        <v>324.67</v>
      </c>
      <c r="K75" s="70">
        <f>106-0.65</f>
        <v>105.35</v>
      </c>
      <c r="M75" s="70">
        <v>229.07</v>
      </c>
      <c r="N75" s="218">
        <f t="shared" si="10"/>
        <v>175.36692000000002</v>
      </c>
      <c r="O75" s="219">
        <f t="shared" si="11"/>
        <v>149.30308</v>
      </c>
      <c r="P75" s="105"/>
      <c r="Q75" s="59"/>
      <c r="R75" s="59"/>
      <c r="S75" s="59"/>
      <c r="T75" s="59"/>
      <c r="U75" s="246">
        <v>14961</v>
      </c>
      <c r="V75" s="246">
        <f>62490+21600+24515.8</f>
        <v>108605.8</v>
      </c>
      <c r="W75" s="246"/>
      <c r="X75" s="246"/>
      <c r="Y75" s="246"/>
      <c r="Z75" s="246">
        <v>43220.12</v>
      </c>
      <c r="AA75" s="96">
        <f>400+400+250+240+568+3244+1400+2078</f>
        <v>8580</v>
      </c>
      <c r="AB75" s="97">
        <f t="shared" si="12"/>
        <v>175366.92</v>
      </c>
      <c r="AC75" s="184"/>
    </row>
    <row r="76" spans="2:28" ht="18.75" thickBot="1">
      <c r="B76" s="199" t="s">
        <v>3</v>
      </c>
      <c r="C76" s="200"/>
      <c r="D76" s="200"/>
      <c r="E76" s="200"/>
      <c r="F76" s="200"/>
      <c r="G76" s="200"/>
      <c r="H76" s="200"/>
      <c r="I76" s="204">
        <f>I40+I41+I42+I43+I44+I60+I61+I63+I64+I65+I66+I67+I68+I69+I75+I70+I71+I72+I73+I62+I74</f>
        <v>3986.775</v>
      </c>
      <c r="K76" s="131">
        <f>K40+K41+K42+K43+K44+K60+K61+K63+K64+K65+K66+K67+K68+K69+K75+K70+K71+K72+K73</f>
        <v>3936.905</v>
      </c>
      <c r="M76" s="131">
        <f>M40+M41+M42+M43+M44+M60+M61+M63+M64+M65+M66+M67+M68+M69+M75+M70+M71+M72+M73</f>
        <v>4140.625</v>
      </c>
      <c r="N76" s="39">
        <f>N75+N74+N73+N72+N71+N70+N69+N68+N67+N66+N65+N64+N63+N62+N61+N60+N44+N43+N42+N41+N40</f>
        <v>3219.5586319999998</v>
      </c>
      <c r="O76" s="61">
        <f t="shared" si="11"/>
        <v>767.2163680000003</v>
      </c>
      <c r="P76" s="106">
        <f aca="true" t="shared" si="13" ref="P76:Y76">P40+P41+P42+P43+P44+P60+P61+P62+P63+P64+P65+P66+P67+P68+P69+P70+P71+P72+P73+P74+P75</f>
        <v>69148.95000000001</v>
      </c>
      <c r="Q76" s="100">
        <f t="shared" si="13"/>
        <v>154835</v>
      </c>
      <c r="R76" s="100">
        <f t="shared" si="13"/>
        <v>274524.5</v>
      </c>
      <c r="S76" s="100">
        <f t="shared" si="13"/>
        <v>390321.32</v>
      </c>
      <c r="T76" s="100">
        <f t="shared" si="13"/>
        <v>525097.5</v>
      </c>
      <c r="U76" s="100">
        <f t="shared" si="13"/>
        <v>295451.51</v>
      </c>
      <c r="V76" s="100">
        <f t="shared" si="13"/>
        <v>435227.72000000003</v>
      </c>
      <c r="W76" s="100">
        <f t="shared" si="13"/>
        <v>54175.37</v>
      </c>
      <c r="X76" s="100">
        <f t="shared" si="13"/>
        <v>252797.732</v>
      </c>
      <c r="Y76" s="100">
        <f t="shared" si="13"/>
        <v>102366.22</v>
      </c>
      <c r="Z76" s="100">
        <f>Z40+Z41+Z42+Z43+Z44+Z68+Z71+Z74+Z75+Z65</f>
        <v>233055.62</v>
      </c>
      <c r="AA76" s="101">
        <f>AA40+AA42+AA44+AA64+AA65+AA67+AA68+AA75</f>
        <v>432557.19</v>
      </c>
      <c r="AB76" s="102">
        <f>N76*1000</f>
        <v>3219558.6319999998</v>
      </c>
    </row>
    <row r="77" spans="2:28" ht="18.75" thickBot="1">
      <c r="B77" s="186"/>
      <c r="C77" s="191"/>
      <c r="D77" s="191"/>
      <c r="E77" s="191"/>
      <c r="F77" s="191"/>
      <c r="G77" s="191"/>
      <c r="H77" s="191"/>
      <c r="I77" s="205"/>
      <c r="K77" s="77"/>
      <c r="M77" s="77"/>
      <c r="N77" s="222"/>
      <c r="O77" s="223"/>
      <c r="P77" s="134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6"/>
      <c r="AB77" s="133"/>
    </row>
    <row r="78" spans="2:28" ht="18.75" thickBot="1">
      <c r="B78" s="206" t="s">
        <v>16</v>
      </c>
      <c r="C78" s="207"/>
      <c r="D78" s="207"/>
      <c r="E78" s="207"/>
      <c r="F78" s="207"/>
      <c r="G78" s="207"/>
      <c r="H78" s="207"/>
      <c r="I78" s="208">
        <f>I76+I38+I25</f>
        <v>8571.626</v>
      </c>
      <c r="K78" s="139">
        <f>K76+K38+K25</f>
        <v>8339.756000000001</v>
      </c>
      <c r="M78" s="139">
        <f>M76+M38+M25</f>
        <v>8543.475999999999</v>
      </c>
      <c r="N78" s="39">
        <f>N76+N38+N25</f>
        <v>7453.796188</v>
      </c>
      <c r="O78" s="225">
        <f>I78-N78</f>
        <v>1117.829812</v>
      </c>
      <c r="P78" s="106">
        <f aca="true" t="shared" si="14" ref="P78:AA78">P76+P38</f>
        <v>345894.54600000003</v>
      </c>
      <c r="Q78" s="100">
        <f t="shared" si="14"/>
        <v>396135.98</v>
      </c>
      <c r="R78" s="100">
        <f t="shared" si="14"/>
        <v>514776.422</v>
      </c>
      <c r="S78" s="100">
        <f t="shared" si="14"/>
        <v>618510.6259999999</v>
      </c>
      <c r="T78" s="100">
        <f t="shared" si="14"/>
        <v>754381.728</v>
      </c>
      <c r="U78" s="100">
        <f t="shared" si="14"/>
        <v>511206.922</v>
      </c>
      <c r="V78" s="100">
        <f t="shared" si="14"/>
        <v>670480.65</v>
      </c>
      <c r="W78" s="100">
        <f t="shared" si="14"/>
        <v>312831.164</v>
      </c>
      <c r="X78" s="100">
        <f t="shared" si="14"/>
        <v>554116.132</v>
      </c>
      <c r="Y78" s="100">
        <f t="shared" si="14"/>
        <v>362101.86</v>
      </c>
      <c r="Z78" s="100">
        <f t="shared" si="14"/>
        <v>463340.53599999996</v>
      </c>
      <c r="AA78" s="101">
        <f t="shared" si="14"/>
        <v>741410.622</v>
      </c>
      <c r="AB78" s="102">
        <f>N78*1000</f>
        <v>7453796.188</v>
      </c>
    </row>
    <row r="81" spans="2:9" ht="12.75">
      <c r="B81" t="s">
        <v>207</v>
      </c>
      <c r="H81" t="s">
        <v>172</v>
      </c>
      <c r="I81" s="36"/>
    </row>
    <row r="82" spans="9:14" ht="12.75">
      <c r="I82" s="36"/>
      <c r="N82">
        <f>N78-AB81/1000</f>
        <v>7453.796188</v>
      </c>
    </row>
    <row r="83" spans="2:13" ht="12.75">
      <c r="B83" t="s">
        <v>208</v>
      </c>
      <c r="H83" t="s">
        <v>173</v>
      </c>
      <c r="M83" s="36"/>
    </row>
  </sheetData>
  <sheetProtection/>
  <mergeCells count="5">
    <mergeCell ref="B22:H22"/>
    <mergeCell ref="B23:H23"/>
    <mergeCell ref="B24:H24"/>
    <mergeCell ref="B25:H25"/>
    <mergeCell ref="N14:N15"/>
  </mergeCells>
  <printOptions/>
  <pageMargins left="0.25" right="0.25" top="0.75" bottom="0.75" header="0.3" footer="0.3"/>
  <pageSetup fitToWidth="0" fitToHeight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37">
      <selection activeCell="I65" sqref="I65"/>
    </sheetView>
  </sheetViews>
  <sheetFormatPr defaultColWidth="9.00390625" defaultRowHeight="12.75"/>
  <cols>
    <col min="9" max="9" width="10.375" style="0" bestFit="1" customWidth="1"/>
    <col min="11" max="11" width="10.625" style="0" bestFit="1" customWidth="1"/>
  </cols>
  <sheetData>
    <row r="1" ht="15">
      <c r="A1" s="2" t="s">
        <v>201</v>
      </c>
    </row>
    <row r="2" spans="6:8" ht="15">
      <c r="F2" s="2" t="s">
        <v>198</v>
      </c>
      <c r="G2" s="2"/>
      <c r="H2" s="2"/>
    </row>
    <row r="3" spans="6:8" ht="15">
      <c r="F3" s="2" t="s">
        <v>199</v>
      </c>
      <c r="G3" s="2"/>
      <c r="H3" s="2"/>
    </row>
    <row r="4" spans="6:8" ht="15">
      <c r="F4" s="2" t="s">
        <v>200</v>
      </c>
      <c r="G4" s="2"/>
      <c r="H4" s="2"/>
    </row>
    <row r="6" spans="2:9" ht="18">
      <c r="B6" s="1"/>
      <c r="C6" s="1"/>
      <c r="D6" s="1"/>
      <c r="E6" s="1"/>
      <c r="F6" s="1"/>
      <c r="G6" s="1"/>
      <c r="H6" s="1"/>
      <c r="I6" s="1"/>
    </row>
    <row r="7" spans="2:9" ht="18">
      <c r="B7" s="1" t="s">
        <v>40</v>
      </c>
      <c r="C7" s="1"/>
      <c r="D7" s="1"/>
      <c r="E7" s="1"/>
      <c r="F7" s="1"/>
      <c r="G7" s="1"/>
      <c r="H7" s="1"/>
      <c r="I7" s="1"/>
    </row>
    <row r="8" spans="2:9" ht="18">
      <c r="B8" s="1"/>
      <c r="C8" s="1" t="s">
        <v>158</v>
      </c>
      <c r="D8" s="1"/>
      <c r="E8" s="1"/>
      <c r="F8" s="1"/>
      <c r="G8" s="1"/>
      <c r="H8" s="1"/>
      <c r="I8" s="1"/>
    </row>
    <row r="9" spans="2:9" ht="18.75">
      <c r="B9" s="75"/>
      <c r="C9" s="76"/>
      <c r="D9" s="72"/>
      <c r="E9" s="72"/>
      <c r="F9" s="72"/>
      <c r="G9" s="77"/>
      <c r="H9" s="72"/>
      <c r="I9" s="78"/>
    </row>
    <row r="10" spans="2:9" ht="12.75">
      <c r="B10" s="182" t="s">
        <v>171</v>
      </c>
      <c r="C10" s="182"/>
      <c r="D10" s="182"/>
      <c r="E10" s="182"/>
      <c r="F10" s="182"/>
      <c r="G10" s="182"/>
      <c r="H10" s="182"/>
      <c r="I10" s="187">
        <v>1036900</v>
      </c>
    </row>
    <row r="11" spans="2:9" ht="12.75">
      <c r="B11" s="188" t="s">
        <v>3</v>
      </c>
      <c r="C11" s="189"/>
      <c r="D11" s="189"/>
      <c r="E11" s="189"/>
      <c r="F11" s="189"/>
      <c r="G11" s="189"/>
      <c r="H11" s="189"/>
      <c r="I11" s="190">
        <f>SUM(I9:I10)</f>
        <v>1036900</v>
      </c>
    </row>
    <row r="12" spans="2:9" ht="12.75">
      <c r="B12" s="6" t="s">
        <v>0</v>
      </c>
      <c r="C12" s="182"/>
      <c r="D12" s="182"/>
      <c r="E12" s="182"/>
      <c r="F12" s="182"/>
      <c r="G12" s="182"/>
      <c r="H12" s="182"/>
      <c r="I12" s="191"/>
    </row>
    <row r="13" spans="2:9" ht="12.75">
      <c r="B13" s="182" t="s">
        <v>170</v>
      </c>
      <c r="C13" s="182"/>
      <c r="D13" s="182"/>
      <c r="E13" s="182"/>
      <c r="F13" s="182"/>
      <c r="G13" s="182"/>
      <c r="H13" s="182"/>
      <c r="I13" s="186">
        <v>139755</v>
      </c>
    </row>
    <row r="14" spans="2:9" ht="12.75">
      <c r="B14" s="182" t="s">
        <v>1</v>
      </c>
      <c r="C14" s="182"/>
      <c r="D14" s="182"/>
      <c r="E14" s="182"/>
      <c r="F14" s="182"/>
      <c r="G14" s="182"/>
      <c r="H14" s="182"/>
      <c r="I14" s="183">
        <v>4953140</v>
      </c>
    </row>
    <row r="15" spans="2:9" ht="12.75">
      <c r="B15" s="182" t="s">
        <v>2</v>
      </c>
      <c r="C15" s="182"/>
      <c r="D15" s="182"/>
      <c r="E15" s="182"/>
      <c r="F15" s="182"/>
      <c r="G15" s="182"/>
      <c r="H15" s="182"/>
      <c r="I15" s="183">
        <v>709050</v>
      </c>
    </row>
    <row r="16" spans="2:9" ht="12.75">
      <c r="B16" s="182" t="s">
        <v>17</v>
      </c>
      <c r="C16" s="182"/>
      <c r="D16" s="182"/>
      <c r="E16" s="182"/>
      <c r="F16" s="182"/>
      <c r="G16" s="182"/>
      <c r="H16" s="182"/>
      <c r="I16" s="183">
        <v>327580</v>
      </c>
    </row>
    <row r="17" spans="2:9" ht="12.75">
      <c r="B17" s="182" t="s">
        <v>31</v>
      </c>
      <c r="C17" s="182"/>
      <c r="D17" s="182"/>
      <c r="E17" s="182"/>
      <c r="F17" s="182"/>
      <c r="G17" s="182"/>
      <c r="H17" s="182"/>
      <c r="I17" s="192">
        <v>1405200</v>
      </c>
    </row>
    <row r="18" spans="2:9" ht="12.75">
      <c r="B18" s="189" t="s">
        <v>3</v>
      </c>
      <c r="C18" s="189"/>
      <c r="D18" s="189"/>
      <c r="E18" s="189"/>
      <c r="F18" s="189"/>
      <c r="G18" s="189"/>
      <c r="H18" s="189"/>
      <c r="I18" s="193">
        <f>SUM(I13:I17)</f>
        <v>7534725</v>
      </c>
    </row>
    <row r="19" spans="2:9" ht="12.75">
      <c r="B19" s="194" t="s">
        <v>32</v>
      </c>
      <c r="C19" s="194"/>
      <c r="D19" s="194"/>
      <c r="E19" s="194"/>
      <c r="F19" s="194"/>
      <c r="G19" s="195"/>
      <c r="H19" s="195"/>
      <c r="I19" s="196">
        <f>I18+I11</f>
        <v>8571625</v>
      </c>
    </row>
    <row r="20" spans="2:9" ht="12.75">
      <c r="B20" s="6"/>
      <c r="C20" s="182"/>
      <c r="D20" s="182"/>
      <c r="E20" s="182"/>
      <c r="F20" s="182"/>
      <c r="G20" s="182"/>
      <c r="H20" s="182"/>
      <c r="I20" s="191"/>
    </row>
    <row r="21" spans="2:9" ht="12.75">
      <c r="B21" s="6" t="s">
        <v>26</v>
      </c>
      <c r="C21" s="182"/>
      <c r="D21" s="182"/>
      <c r="E21" s="182"/>
      <c r="F21" s="182"/>
      <c r="G21" s="182"/>
      <c r="H21" s="182"/>
      <c r="I21" s="182"/>
    </row>
    <row r="22" spans="1:9" ht="12.75">
      <c r="A22" s="216">
        <v>1</v>
      </c>
      <c r="B22" s="289" t="s">
        <v>85</v>
      </c>
      <c r="C22" s="289"/>
      <c r="D22" s="289"/>
      <c r="E22" s="289"/>
      <c r="F22" s="289"/>
      <c r="G22" s="289"/>
      <c r="H22" s="289"/>
      <c r="I22" s="181">
        <v>795400</v>
      </c>
    </row>
    <row r="23" spans="1:9" ht="12.75">
      <c r="A23" s="216">
        <v>2</v>
      </c>
      <c r="B23" s="289" t="s">
        <v>86</v>
      </c>
      <c r="C23" s="289"/>
      <c r="D23" s="289"/>
      <c r="E23" s="289"/>
      <c r="F23" s="289"/>
      <c r="G23" s="289"/>
      <c r="H23" s="289"/>
      <c r="I23" s="181">
        <v>386600</v>
      </c>
    </row>
    <row r="24" spans="1:9" ht="13.5" thickBot="1">
      <c r="A24" s="216">
        <v>3</v>
      </c>
      <c r="B24" s="289" t="s">
        <v>89</v>
      </c>
      <c r="C24" s="289"/>
      <c r="D24" s="289"/>
      <c r="E24" s="289"/>
      <c r="F24" s="289"/>
      <c r="G24" s="289"/>
      <c r="H24" s="289"/>
      <c r="I24" s="181">
        <v>40000</v>
      </c>
    </row>
    <row r="25" spans="1:9" ht="13.5" thickBot="1">
      <c r="A25" s="216"/>
      <c r="B25" s="290" t="s">
        <v>3</v>
      </c>
      <c r="C25" s="291"/>
      <c r="D25" s="291"/>
      <c r="E25" s="291"/>
      <c r="F25" s="291"/>
      <c r="G25" s="291"/>
      <c r="H25" s="291"/>
      <c r="I25" s="197">
        <f>SUM(I22:I24)</f>
        <v>1222000</v>
      </c>
    </row>
    <row r="26" spans="1:9" ht="12.75">
      <c r="A26" s="216"/>
      <c r="B26" s="6" t="s">
        <v>4</v>
      </c>
      <c r="C26" s="6"/>
      <c r="D26" s="6"/>
      <c r="E26" s="6"/>
      <c r="F26" s="6"/>
      <c r="G26" s="6"/>
      <c r="H26" s="182"/>
      <c r="I26" s="182"/>
    </row>
    <row r="27" spans="1:9" ht="12.75">
      <c r="A27" s="216">
        <v>4</v>
      </c>
      <c r="B27" s="182" t="s">
        <v>107</v>
      </c>
      <c r="C27" s="182"/>
      <c r="D27" s="182"/>
      <c r="E27" s="182"/>
      <c r="F27" s="182"/>
      <c r="G27" s="182"/>
      <c r="H27" s="182"/>
      <c r="I27" s="198">
        <v>2217000</v>
      </c>
    </row>
    <row r="28" spans="1:9" ht="12.75">
      <c r="A28" s="216">
        <v>5</v>
      </c>
      <c r="B28" s="182" t="s">
        <v>28</v>
      </c>
      <c r="C28" s="182"/>
      <c r="D28" s="182"/>
      <c r="E28" s="182"/>
      <c r="F28" s="182"/>
      <c r="G28" s="182"/>
      <c r="H28" s="182"/>
      <c r="I28" s="198">
        <f>669000-117</f>
        <v>668883</v>
      </c>
    </row>
    <row r="29" spans="1:9" ht="12.75">
      <c r="A29" s="216">
        <v>6</v>
      </c>
      <c r="B29" s="182" t="s">
        <v>6</v>
      </c>
      <c r="C29" s="182"/>
      <c r="D29" s="182"/>
      <c r="E29" s="182"/>
      <c r="F29" s="182"/>
      <c r="G29" s="182"/>
      <c r="H29" s="182"/>
      <c r="I29" s="198">
        <v>212000</v>
      </c>
    </row>
    <row r="30" spans="1:9" ht="12.75">
      <c r="A30" s="216">
        <v>7</v>
      </c>
      <c r="B30" s="182" t="s">
        <v>7</v>
      </c>
      <c r="C30" s="182"/>
      <c r="D30" s="182"/>
      <c r="E30" s="182"/>
      <c r="F30" s="182"/>
      <c r="G30" s="182"/>
      <c r="H30" s="182"/>
      <c r="I30" s="198">
        <v>100000</v>
      </c>
    </row>
    <row r="31" spans="1:9" ht="12.75">
      <c r="A31" s="216">
        <v>8</v>
      </c>
      <c r="B31" s="182" t="s">
        <v>8</v>
      </c>
      <c r="C31" s="182"/>
      <c r="D31" s="182"/>
      <c r="E31" s="182"/>
      <c r="F31" s="182"/>
      <c r="G31" s="182"/>
      <c r="H31" s="182"/>
      <c r="I31" s="198">
        <v>17000</v>
      </c>
    </row>
    <row r="32" spans="1:9" ht="12.75">
      <c r="A32" s="216">
        <v>9</v>
      </c>
      <c r="B32" s="182" t="s">
        <v>20</v>
      </c>
      <c r="C32" s="182"/>
      <c r="D32" s="182"/>
      <c r="E32" s="182"/>
      <c r="F32" s="182"/>
      <c r="G32" s="182"/>
      <c r="H32" s="182"/>
      <c r="I32" s="198">
        <v>25000</v>
      </c>
    </row>
    <row r="33" spans="1:9" ht="12.75">
      <c r="A33" s="216">
        <v>10</v>
      </c>
      <c r="B33" s="182" t="s">
        <v>9</v>
      </c>
      <c r="C33" s="182"/>
      <c r="D33" s="182"/>
      <c r="E33" s="182"/>
      <c r="F33" s="182"/>
      <c r="G33" s="182"/>
      <c r="H33" s="182"/>
      <c r="I33" s="198">
        <v>25000</v>
      </c>
    </row>
    <row r="34" spans="1:9" ht="12.75">
      <c r="A34" s="216">
        <v>11</v>
      </c>
      <c r="B34" s="182" t="s">
        <v>10</v>
      </c>
      <c r="C34" s="182"/>
      <c r="D34" s="182"/>
      <c r="E34" s="182"/>
      <c r="F34" s="182"/>
      <c r="G34" s="182"/>
      <c r="H34" s="182"/>
      <c r="I34" s="198">
        <v>45000</v>
      </c>
    </row>
    <row r="35" spans="1:9" ht="12.75">
      <c r="A35" s="216">
        <v>12</v>
      </c>
      <c r="B35" s="182" t="s">
        <v>18</v>
      </c>
      <c r="C35" s="182"/>
      <c r="D35" s="182"/>
      <c r="E35" s="182"/>
      <c r="F35" s="182"/>
      <c r="G35" s="182"/>
      <c r="H35" s="182"/>
      <c r="I35" s="198">
        <v>5000</v>
      </c>
    </row>
    <row r="36" spans="1:9" ht="12.75">
      <c r="A36" s="216">
        <v>13</v>
      </c>
      <c r="B36" s="182" t="s">
        <v>25</v>
      </c>
      <c r="C36" s="182"/>
      <c r="D36" s="182"/>
      <c r="E36" s="182"/>
      <c r="F36" s="182"/>
      <c r="G36" s="182"/>
      <c r="H36" s="182"/>
      <c r="I36" s="198">
        <v>20000</v>
      </c>
    </row>
    <row r="37" spans="1:9" ht="13.5" thickBot="1">
      <c r="A37" s="216">
        <v>14</v>
      </c>
      <c r="B37" s="182" t="s">
        <v>11</v>
      </c>
      <c r="C37" s="182"/>
      <c r="D37" s="182"/>
      <c r="E37" s="182"/>
      <c r="F37" s="182"/>
      <c r="G37" s="182"/>
      <c r="H37" s="182"/>
      <c r="I37" s="198">
        <v>28000</v>
      </c>
    </row>
    <row r="38" spans="1:9" ht="13.5" thickBot="1">
      <c r="A38" s="216"/>
      <c r="B38" s="199" t="s">
        <v>3</v>
      </c>
      <c r="C38" s="200"/>
      <c r="D38" s="200"/>
      <c r="E38" s="200"/>
      <c r="F38" s="200"/>
      <c r="G38" s="200"/>
      <c r="H38" s="200"/>
      <c r="I38" s="201">
        <v>3362883</v>
      </c>
    </row>
    <row r="39" spans="1:9" ht="12.75">
      <c r="A39" s="216"/>
      <c r="B39" s="6" t="s">
        <v>12</v>
      </c>
      <c r="C39" s="182"/>
      <c r="D39" s="182"/>
      <c r="E39" s="182"/>
      <c r="F39" s="182"/>
      <c r="G39" s="182"/>
      <c r="H39" s="182"/>
      <c r="I39" s="182"/>
    </row>
    <row r="40" spans="1:9" ht="12.75">
      <c r="A40" s="216">
        <v>15</v>
      </c>
      <c r="B40" s="191" t="s">
        <v>159</v>
      </c>
      <c r="C40" s="191"/>
      <c r="D40" s="191"/>
      <c r="E40" s="191"/>
      <c r="F40" s="191"/>
      <c r="G40" s="191"/>
      <c r="H40" s="191"/>
      <c r="I40" s="202">
        <f>481000-33</f>
        <v>480967</v>
      </c>
    </row>
    <row r="41" spans="1:9" ht="12.75">
      <c r="A41" s="216">
        <v>16</v>
      </c>
      <c r="B41" s="191" t="s">
        <v>23</v>
      </c>
      <c r="C41" s="191"/>
      <c r="D41" s="191"/>
      <c r="E41" s="191"/>
      <c r="F41" s="191"/>
      <c r="G41" s="191"/>
      <c r="H41" s="191"/>
      <c r="I41" s="186">
        <v>30000</v>
      </c>
    </row>
    <row r="42" spans="1:9" ht="12.75">
      <c r="A42" s="216">
        <v>17</v>
      </c>
      <c r="B42" s="191" t="s">
        <v>36</v>
      </c>
      <c r="C42" s="191"/>
      <c r="D42" s="191"/>
      <c r="E42" s="191"/>
      <c r="F42" s="191"/>
      <c r="G42" s="191"/>
      <c r="H42" s="191"/>
      <c r="I42" s="186">
        <v>50000</v>
      </c>
    </row>
    <row r="43" spans="1:9" ht="13.5" thickBot="1">
      <c r="A43" s="216">
        <v>18</v>
      </c>
      <c r="B43" s="191" t="s">
        <v>14</v>
      </c>
      <c r="C43" s="191"/>
      <c r="D43" s="191"/>
      <c r="E43" s="191"/>
      <c r="F43" s="191"/>
      <c r="G43" s="191"/>
      <c r="H43" s="191"/>
      <c r="I43" s="186">
        <v>80000</v>
      </c>
    </row>
    <row r="44" spans="1:9" ht="13.5" thickBot="1">
      <c r="A44" s="226">
        <v>19</v>
      </c>
      <c r="B44" s="227" t="s">
        <v>38</v>
      </c>
      <c r="C44" s="227"/>
      <c r="D44" s="227"/>
      <c r="E44" s="227"/>
      <c r="F44" s="227"/>
      <c r="G44" s="227"/>
      <c r="H44" s="227"/>
      <c r="I44" s="228">
        <v>2052000</v>
      </c>
    </row>
    <row r="45" spans="1:9" ht="12.75">
      <c r="A45" s="231" t="s">
        <v>178</v>
      </c>
      <c r="B45" s="232" t="s">
        <v>161</v>
      </c>
      <c r="C45" s="232"/>
      <c r="D45" s="232"/>
      <c r="E45" s="232"/>
      <c r="F45" s="232"/>
      <c r="G45" s="232"/>
      <c r="H45" s="232"/>
      <c r="I45" s="233">
        <v>192000</v>
      </c>
    </row>
    <row r="46" spans="1:9" ht="12.75">
      <c r="A46" s="236" t="s">
        <v>179</v>
      </c>
      <c r="B46" s="237" t="s">
        <v>131</v>
      </c>
      <c r="C46" s="237"/>
      <c r="D46" s="237"/>
      <c r="E46" s="237"/>
      <c r="F46" s="237"/>
      <c r="G46" s="237"/>
      <c r="H46" s="237"/>
      <c r="I46" s="238">
        <v>100000</v>
      </c>
    </row>
    <row r="47" spans="1:9" ht="12.75">
      <c r="A47" s="236" t="s">
        <v>180</v>
      </c>
      <c r="B47" s="237" t="s">
        <v>166</v>
      </c>
      <c r="C47" s="237"/>
      <c r="D47" s="237"/>
      <c r="E47" s="237"/>
      <c r="F47" s="237"/>
      <c r="G47" s="237"/>
      <c r="H47" s="237"/>
      <c r="I47" s="238">
        <v>73000</v>
      </c>
    </row>
    <row r="48" spans="1:9" ht="12.75">
      <c r="A48" s="236" t="s">
        <v>181</v>
      </c>
      <c r="B48" s="237" t="s">
        <v>165</v>
      </c>
      <c r="C48" s="237"/>
      <c r="D48" s="237"/>
      <c r="E48" s="237"/>
      <c r="F48" s="237"/>
      <c r="G48" s="237"/>
      <c r="H48" s="237"/>
      <c r="I48" s="238">
        <v>166000</v>
      </c>
    </row>
    <row r="49" spans="1:9" ht="12.75">
      <c r="A49" s="236" t="s">
        <v>182</v>
      </c>
      <c r="B49" s="237" t="s">
        <v>204</v>
      </c>
      <c r="C49" s="237"/>
      <c r="D49" s="237"/>
      <c r="E49" s="237"/>
      <c r="F49" s="237"/>
      <c r="G49" s="237"/>
      <c r="H49" s="237"/>
      <c r="I49" s="238">
        <v>75000</v>
      </c>
    </row>
    <row r="50" spans="1:9" ht="12.75">
      <c r="A50" s="236" t="s">
        <v>183</v>
      </c>
      <c r="B50" s="237" t="s">
        <v>92</v>
      </c>
      <c r="C50" s="237"/>
      <c r="D50" s="237"/>
      <c r="E50" s="237"/>
      <c r="F50" s="237"/>
      <c r="G50" s="237"/>
      <c r="H50" s="237"/>
      <c r="I50" s="238">
        <v>330000</v>
      </c>
    </row>
    <row r="51" spans="1:9" ht="12.75">
      <c r="A51" s="236" t="s">
        <v>184</v>
      </c>
      <c r="B51" s="237" t="s">
        <v>205</v>
      </c>
      <c r="C51" s="237"/>
      <c r="D51" s="237"/>
      <c r="E51" s="237"/>
      <c r="F51" s="237"/>
      <c r="G51" s="237"/>
      <c r="H51" s="237"/>
      <c r="I51" s="238">
        <v>100000</v>
      </c>
    </row>
    <row r="52" spans="1:9" ht="12.75">
      <c r="A52" s="236" t="s">
        <v>185</v>
      </c>
      <c r="B52" s="237" t="s">
        <v>203</v>
      </c>
      <c r="C52" s="237"/>
      <c r="D52" s="237"/>
      <c r="E52" s="237"/>
      <c r="F52" s="237"/>
      <c r="G52" s="237"/>
      <c r="H52" s="237"/>
      <c r="I52" s="238">
        <v>120000</v>
      </c>
    </row>
    <row r="53" spans="1:9" ht="12.75">
      <c r="A53" s="236" t="s">
        <v>186</v>
      </c>
      <c r="B53" s="237" t="s">
        <v>169</v>
      </c>
      <c r="C53" s="237"/>
      <c r="D53" s="237"/>
      <c r="E53" s="237"/>
      <c r="F53" s="237"/>
      <c r="G53" s="237"/>
      <c r="H53" s="237"/>
      <c r="I53" s="238">
        <v>50000</v>
      </c>
    </row>
    <row r="54" spans="1:9" ht="12.75">
      <c r="A54" s="236" t="s">
        <v>187</v>
      </c>
      <c r="B54" s="237" t="s">
        <v>202</v>
      </c>
      <c r="C54" s="237"/>
      <c r="D54" s="237"/>
      <c r="E54" s="237"/>
      <c r="F54" s="237"/>
      <c r="G54" s="237"/>
      <c r="H54" s="237"/>
      <c r="I54" s="238">
        <v>60000</v>
      </c>
    </row>
    <row r="55" spans="1:9" ht="12.75">
      <c r="A55" s="236" t="s">
        <v>188</v>
      </c>
      <c r="B55" s="237" t="s">
        <v>190</v>
      </c>
      <c r="C55" s="237"/>
      <c r="D55" s="237"/>
      <c r="E55" s="237"/>
      <c r="F55" s="237"/>
      <c r="G55" s="237"/>
      <c r="H55" s="237"/>
      <c r="I55" s="238">
        <v>370000</v>
      </c>
    </row>
    <row r="56" spans="1:9" ht="12.75">
      <c r="A56" s="236" t="s">
        <v>189</v>
      </c>
      <c r="B56" s="237" t="s">
        <v>193</v>
      </c>
      <c r="C56" s="237"/>
      <c r="D56" s="237"/>
      <c r="E56" s="237"/>
      <c r="F56" s="237"/>
      <c r="G56" s="237"/>
      <c r="H56" s="237"/>
      <c r="I56" s="238">
        <v>60000</v>
      </c>
    </row>
    <row r="57" spans="1:9" ht="12.75">
      <c r="A57" s="236" t="s">
        <v>194</v>
      </c>
      <c r="B57" s="237" t="s">
        <v>195</v>
      </c>
      <c r="C57" s="237"/>
      <c r="D57" s="237"/>
      <c r="E57" s="237"/>
      <c r="F57" s="237"/>
      <c r="G57" s="237"/>
      <c r="H57" s="237"/>
      <c r="I57" s="238">
        <v>85000</v>
      </c>
    </row>
    <row r="58" spans="1:9" ht="12.75">
      <c r="A58" s="236" t="s">
        <v>196</v>
      </c>
      <c r="B58" s="237" t="s">
        <v>197</v>
      </c>
      <c r="C58" s="237"/>
      <c r="D58" s="237"/>
      <c r="E58" s="237"/>
      <c r="F58" s="237"/>
      <c r="G58" s="237"/>
      <c r="H58" s="237"/>
      <c r="I58" s="238">
        <v>237000</v>
      </c>
    </row>
    <row r="59" spans="1:9" ht="13.5" thickBot="1">
      <c r="A59" s="240" t="s">
        <v>189</v>
      </c>
      <c r="B59" s="241" t="s">
        <v>167</v>
      </c>
      <c r="C59" s="241"/>
      <c r="D59" s="241"/>
      <c r="E59" s="241"/>
      <c r="F59" s="241"/>
      <c r="G59" s="241"/>
      <c r="H59" s="241"/>
      <c r="I59" s="242">
        <v>34000</v>
      </c>
    </row>
    <row r="60" spans="1:9" ht="12.75">
      <c r="A60" s="216">
        <v>20</v>
      </c>
      <c r="B60" s="191" t="s">
        <v>41</v>
      </c>
      <c r="C60" s="191"/>
      <c r="D60" s="191"/>
      <c r="E60" s="191"/>
      <c r="F60" s="191"/>
      <c r="G60" s="191"/>
      <c r="H60" s="191"/>
      <c r="I60" s="186">
        <v>50000</v>
      </c>
    </row>
    <row r="61" spans="1:9" ht="12.75">
      <c r="A61" s="216">
        <v>21</v>
      </c>
      <c r="B61" s="191" t="s">
        <v>87</v>
      </c>
      <c r="C61" s="191"/>
      <c r="D61" s="191"/>
      <c r="E61" s="191"/>
      <c r="F61" s="191"/>
      <c r="G61" s="191"/>
      <c r="H61" s="191"/>
      <c r="I61" s="186">
        <v>40000</v>
      </c>
    </row>
    <row r="62" spans="1:9" ht="12.75">
      <c r="A62" s="216">
        <v>22</v>
      </c>
      <c r="B62" s="191" t="s">
        <v>168</v>
      </c>
      <c r="C62" s="191"/>
      <c r="D62" s="191"/>
      <c r="E62" s="191"/>
      <c r="F62" s="191"/>
      <c r="G62" s="191"/>
      <c r="H62" s="191"/>
      <c r="I62" s="203">
        <v>26350</v>
      </c>
    </row>
    <row r="63" spans="1:9" ht="12.75">
      <c r="A63" s="216">
        <v>23</v>
      </c>
      <c r="B63" s="191" t="s">
        <v>140</v>
      </c>
      <c r="C63" s="191"/>
      <c r="D63" s="191"/>
      <c r="E63" s="191"/>
      <c r="F63" s="191"/>
      <c r="G63" s="191"/>
      <c r="H63" s="191"/>
      <c r="I63" s="186">
        <v>65000</v>
      </c>
    </row>
    <row r="64" spans="1:9" ht="12.75">
      <c r="A64" s="216">
        <v>24</v>
      </c>
      <c r="B64" s="191" t="s">
        <v>30</v>
      </c>
      <c r="C64" s="191"/>
      <c r="D64" s="191"/>
      <c r="E64" s="191"/>
      <c r="F64" s="191"/>
      <c r="G64" s="191"/>
      <c r="H64" s="191"/>
      <c r="I64" s="186">
        <v>140000</v>
      </c>
    </row>
    <row r="65" spans="1:9" ht="12.75">
      <c r="A65" s="216">
        <v>25</v>
      </c>
      <c r="B65" s="191" t="s">
        <v>192</v>
      </c>
      <c r="C65" s="191"/>
      <c r="D65" s="191"/>
      <c r="E65" s="191"/>
      <c r="F65" s="191"/>
      <c r="G65" s="191"/>
      <c r="H65" s="191"/>
      <c r="I65" s="186">
        <v>90000</v>
      </c>
    </row>
    <row r="66" spans="1:9" ht="12.75">
      <c r="A66" s="216">
        <v>26</v>
      </c>
      <c r="B66" s="191" t="s">
        <v>163</v>
      </c>
      <c r="C66" s="191"/>
      <c r="D66" s="191"/>
      <c r="E66" s="191"/>
      <c r="F66" s="191"/>
      <c r="G66" s="191"/>
      <c r="H66" s="191"/>
      <c r="I66" s="186">
        <v>47000</v>
      </c>
    </row>
    <row r="67" spans="1:9" ht="12.75">
      <c r="A67" s="216">
        <v>27</v>
      </c>
      <c r="B67" s="191" t="s">
        <v>206</v>
      </c>
      <c r="C67" s="191"/>
      <c r="D67" s="191"/>
      <c r="E67" s="191"/>
      <c r="F67" s="191"/>
      <c r="G67" s="191"/>
      <c r="H67" s="191"/>
      <c r="I67" s="186">
        <v>65000</v>
      </c>
    </row>
    <row r="68" spans="1:9" ht="12.75">
      <c r="A68" s="216">
        <v>28</v>
      </c>
      <c r="B68" s="191" t="s">
        <v>24</v>
      </c>
      <c r="C68" s="191"/>
      <c r="D68" s="191"/>
      <c r="E68" s="191"/>
      <c r="F68" s="191"/>
      <c r="G68" s="191"/>
      <c r="H68" s="191"/>
      <c r="I68" s="186">
        <v>65000</v>
      </c>
    </row>
    <row r="69" spans="1:9" ht="12.75">
      <c r="A69" s="216">
        <v>29</v>
      </c>
      <c r="B69" s="191" t="s">
        <v>90</v>
      </c>
      <c r="C69" s="191"/>
      <c r="D69" s="191"/>
      <c r="E69" s="191"/>
      <c r="F69" s="191"/>
      <c r="G69" s="191"/>
      <c r="H69" s="191"/>
      <c r="I69" s="186">
        <v>40000</v>
      </c>
    </row>
    <row r="70" spans="1:9" ht="12.75">
      <c r="A70" s="216">
        <v>30</v>
      </c>
      <c r="B70" s="191" t="s">
        <v>162</v>
      </c>
      <c r="C70" s="191"/>
      <c r="D70" s="191"/>
      <c r="E70" s="191"/>
      <c r="F70" s="191"/>
      <c r="G70" s="191"/>
      <c r="H70" s="191"/>
      <c r="I70" s="186">
        <v>35000</v>
      </c>
    </row>
    <row r="71" spans="1:9" ht="12.75">
      <c r="A71" s="216">
        <v>31</v>
      </c>
      <c r="B71" s="191" t="s">
        <v>164</v>
      </c>
      <c r="C71" s="186"/>
      <c r="D71" s="186"/>
      <c r="E71" s="186"/>
      <c r="F71" s="186"/>
      <c r="G71" s="186"/>
      <c r="H71" s="186"/>
      <c r="I71" s="186">
        <v>90000</v>
      </c>
    </row>
    <row r="72" spans="1:9" ht="12.75">
      <c r="A72" s="216">
        <v>32</v>
      </c>
      <c r="B72" s="191" t="s">
        <v>160</v>
      </c>
      <c r="C72" s="191"/>
      <c r="D72" s="191"/>
      <c r="E72" s="191"/>
      <c r="F72" s="191"/>
      <c r="G72" s="191"/>
      <c r="H72" s="191"/>
      <c r="I72" s="186">
        <v>46000</v>
      </c>
    </row>
    <row r="73" spans="1:9" ht="12.75">
      <c r="A73" s="216">
        <v>33</v>
      </c>
      <c r="B73" s="182" t="s">
        <v>170</v>
      </c>
      <c r="C73" s="182"/>
      <c r="D73" s="182"/>
      <c r="E73" s="182"/>
      <c r="F73" s="182"/>
      <c r="G73" s="182"/>
      <c r="H73" s="182"/>
      <c r="I73" s="186">
        <v>139755</v>
      </c>
    </row>
    <row r="74" spans="1:9" ht="12.75">
      <c r="A74" s="216">
        <v>34</v>
      </c>
      <c r="B74" s="182" t="s">
        <v>191</v>
      </c>
      <c r="C74" s="182"/>
      <c r="D74" s="182"/>
      <c r="E74" s="182"/>
      <c r="F74" s="182"/>
      <c r="G74" s="182"/>
      <c r="H74" s="182"/>
      <c r="I74" s="186">
        <v>30000</v>
      </c>
    </row>
    <row r="75" spans="1:9" ht="13.5" thickBot="1">
      <c r="A75" s="216">
        <v>35</v>
      </c>
      <c r="B75" s="182" t="s">
        <v>15</v>
      </c>
      <c r="C75" s="182"/>
      <c r="D75" s="182"/>
      <c r="E75" s="182"/>
      <c r="F75" s="182"/>
      <c r="G75" s="182"/>
      <c r="H75" s="182"/>
      <c r="I75" s="6">
        <v>324670</v>
      </c>
    </row>
    <row r="76" spans="2:9" ht="13.5" thickBot="1">
      <c r="B76" s="199" t="s">
        <v>3</v>
      </c>
      <c r="C76" s="200"/>
      <c r="D76" s="200"/>
      <c r="E76" s="200"/>
      <c r="F76" s="200"/>
      <c r="G76" s="200"/>
      <c r="H76" s="200"/>
      <c r="I76" s="204">
        <f>I75+I74+I73+I72+I70+I71+I69+I68+I67+I66+I64++I65+I63+I62+I61+I60+I44+I43+I42+I41+I40</f>
        <v>3986742</v>
      </c>
    </row>
    <row r="77" spans="2:9" ht="13.5" thickBot="1">
      <c r="B77" s="186"/>
      <c r="C77" s="191"/>
      <c r="D77" s="191"/>
      <c r="E77" s="191"/>
      <c r="F77" s="191"/>
      <c r="G77" s="191"/>
      <c r="H77" s="191"/>
      <c r="I77" s="205"/>
    </row>
    <row r="78" spans="2:9" ht="13.5" thickBot="1">
      <c r="B78" s="206" t="s">
        <v>16</v>
      </c>
      <c r="C78" s="207"/>
      <c r="D78" s="207"/>
      <c r="E78" s="207"/>
      <c r="F78" s="207"/>
      <c r="G78" s="207"/>
      <c r="H78" s="207"/>
      <c r="I78" s="208">
        <f>I76+I38+I25</f>
        <v>8571625</v>
      </c>
    </row>
    <row r="79" ht="12.75">
      <c r="K79" s="36"/>
    </row>
    <row r="80" spans="2:10" ht="12.75">
      <c r="B80" t="s">
        <v>207</v>
      </c>
      <c r="H80" t="s">
        <v>172</v>
      </c>
      <c r="J80" s="36"/>
    </row>
    <row r="82" spans="2:8" ht="12.75">
      <c r="B82" t="s">
        <v>208</v>
      </c>
      <c r="H82" t="s">
        <v>173</v>
      </c>
    </row>
  </sheetData>
  <sheetProtection/>
  <mergeCells count="4">
    <mergeCell ref="B22:H22"/>
    <mergeCell ref="B23:H23"/>
    <mergeCell ref="B24:H24"/>
    <mergeCell ref="B25:H25"/>
  </mergeCells>
  <printOptions/>
  <pageMargins left="0.7" right="0.7" top="0.75" bottom="0.75" header="0.3" footer="0.3"/>
  <pageSetup fitToWidth="0" fitToHeight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6.125" style="0" customWidth="1"/>
    <col min="8" max="9" width="18.125" style="0" customWidth="1"/>
  </cols>
  <sheetData>
    <row r="1" spans="1:3" ht="15">
      <c r="A1" s="2" t="s">
        <v>201</v>
      </c>
      <c r="C1" s="294">
        <v>4</v>
      </c>
    </row>
    <row r="2" spans="6:8" ht="15">
      <c r="F2" s="2" t="s">
        <v>198</v>
      </c>
      <c r="G2" s="2"/>
      <c r="H2" s="2"/>
    </row>
    <row r="3" spans="6:8" ht="15">
      <c r="F3" s="2" t="s">
        <v>235</v>
      </c>
      <c r="G3" s="2"/>
      <c r="H3" s="2"/>
    </row>
    <row r="4" spans="6:8" ht="15">
      <c r="F4" s="2" t="s">
        <v>236</v>
      </c>
      <c r="G4" s="2"/>
      <c r="H4" s="2"/>
    </row>
    <row r="6" spans="2:9" ht="18">
      <c r="B6" s="1"/>
      <c r="C6" s="1"/>
      <c r="D6" s="1"/>
      <c r="E6" s="1"/>
      <c r="F6" s="1"/>
      <c r="G6" s="1"/>
      <c r="H6" s="1"/>
      <c r="I6" s="1"/>
    </row>
    <row r="7" spans="2:9" ht="18">
      <c r="B7" s="1" t="s">
        <v>233</v>
      </c>
      <c r="C7" s="1"/>
      <c r="D7" s="1"/>
      <c r="E7" s="1"/>
      <c r="F7" s="1"/>
      <c r="G7" s="1"/>
      <c r="H7" s="1"/>
      <c r="I7" s="1"/>
    </row>
    <row r="8" spans="2:9" ht="18">
      <c r="B8" s="1"/>
      <c r="C8" s="1" t="s">
        <v>209</v>
      </c>
      <c r="D8" s="1"/>
      <c r="E8" s="1"/>
      <c r="F8" s="1"/>
      <c r="G8" s="1"/>
      <c r="H8" s="1"/>
      <c r="I8" s="1"/>
    </row>
    <row r="9" spans="2:9" ht="18.75">
      <c r="B9" s="75"/>
      <c r="C9" s="76"/>
      <c r="D9" s="72"/>
      <c r="E9" s="72"/>
      <c r="F9" s="72"/>
      <c r="G9" s="77"/>
      <c r="H9" s="72"/>
      <c r="I9" s="78"/>
    </row>
    <row r="10" spans="2:9" ht="12.75">
      <c r="B10" s="182" t="s">
        <v>210</v>
      </c>
      <c r="C10" s="182"/>
      <c r="D10" s="182"/>
      <c r="E10" s="182"/>
      <c r="F10" s="182"/>
      <c r="G10" s="182"/>
      <c r="H10" s="182"/>
      <c r="I10" s="187">
        <v>1117412</v>
      </c>
    </row>
    <row r="11" spans="2:9" ht="12.75">
      <c r="B11" s="188" t="s">
        <v>3</v>
      </c>
      <c r="C11" s="189"/>
      <c r="D11" s="189"/>
      <c r="E11" s="189"/>
      <c r="F11" s="189"/>
      <c r="G11" s="189"/>
      <c r="H11" s="189"/>
      <c r="I11" s="190">
        <f>SUM(I9:I10)</f>
        <v>1117412</v>
      </c>
    </row>
    <row r="12" spans="2:9" ht="12.75">
      <c r="B12" s="6" t="s">
        <v>0</v>
      </c>
      <c r="C12" s="182"/>
      <c r="D12" s="182"/>
      <c r="E12" s="182"/>
      <c r="F12" s="182"/>
      <c r="G12" s="182"/>
      <c r="H12" s="182"/>
      <c r="I12" s="191"/>
    </row>
    <row r="13" spans="2:9" ht="12.75">
      <c r="B13" s="182"/>
      <c r="C13" s="182"/>
      <c r="D13" s="182"/>
      <c r="E13" s="182"/>
      <c r="F13" s="182"/>
      <c r="G13" s="182"/>
      <c r="H13" s="182"/>
      <c r="I13" s="186"/>
    </row>
    <row r="14" spans="2:9" ht="12.75">
      <c r="B14" s="182" t="s">
        <v>1</v>
      </c>
      <c r="C14" s="182"/>
      <c r="D14" s="182"/>
      <c r="E14" s="182"/>
      <c r="F14" s="182"/>
      <c r="G14" s="182"/>
      <c r="H14" s="182"/>
      <c r="I14" s="183">
        <v>5342500</v>
      </c>
    </row>
    <row r="15" spans="2:9" ht="12.75">
      <c r="B15" s="182" t="s">
        <v>2</v>
      </c>
      <c r="C15" s="182"/>
      <c r="D15" s="182"/>
      <c r="E15" s="182"/>
      <c r="F15" s="182"/>
      <c r="G15" s="182"/>
      <c r="H15" s="182"/>
      <c r="I15" s="183">
        <v>766000</v>
      </c>
    </row>
    <row r="16" spans="2:9" ht="12.75">
      <c r="B16" s="182" t="s">
        <v>17</v>
      </c>
      <c r="C16" s="182"/>
      <c r="D16" s="182"/>
      <c r="E16" s="182"/>
      <c r="F16" s="182"/>
      <c r="G16" s="182"/>
      <c r="H16" s="182"/>
      <c r="I16" s="183">
        <v>310000</v>
      </c>
    </row>
    <row r="17" spans="2:9" ht="12.75">
      <c r="B17" s="182" t="s">
        <v>31</v>
      </c>
      <c r="C17" s="182"/>
      <c r="D17" s="182"/>
      <c r="E17" s="182"/>
      <c r="F17" s="182"/>
      <c r="G17" s="182"/>
      <c r="H17" s="182"/>
      <c r="I17" s="274">
        <v>1540000</v>
      </c>
    </row>
    <row r="18" spans="2:9" ht="12.75">
      <c r="B18" s="189" t="s">
        <v>3</v>
      </c>
      <c r="C18" s="189"/>
      <c r="D18" s="189"/>
      <c r="E18" s="189"/>
      <c r="F18" s="189"/>
      <c r="G18" s="189"/>
      <c r="H18" s="189"/>
      <c r="I18" s="193">
        <f>SUM(I13:I17)</f>
        <v>7958500</v>
      </c>
    </row>
    <row r="19" spans="2:9" ht="12.75">
      <c r="B19" s="194" t="s">
        <v>32</v>
      </c>
      <c r="C19" s="194"/>
      <c r="D19" s="194"/>
      <c r="E19" s="194"/>
      <c r="F19" s="194"/>
      <c r="G19" s="195"/>
      <c r="H19" s="195"/>
      <c r="I19" s="196">
        <f>I18+I11</f>
        <v>9075912</v>
      </c>
    </row>
    <row r="20" spans="2:9" ht="12.75">
      <c r="B20" s="6"/>
      <c r="C20" s="182"/>
      <c r="D20" s="182"/>
      <c r="E20" s="182"/>
      <c r="F20" s="182"/>
      <c r="G20" s="182"/>
      <c r="H20" s="182"/>
      <c r="I20" s="191"/>
    </row>
    <row r="21" spans="2:9" ht="12.75">
      <c r="B21" s="6" t="s">
        <v>26</v>
      </c>
      <c r="C21" s="182"/>
      <c r="D21" s="182"/>
      <c r="E21" s="182"/>
      <c r="F21" s="182"/>
      <c r="G21" s="182"/>
      <c r="H21" s="182"/>
      <c r="I21" s="182"/>
    </row>
    <row r="22" spans="1:9" ht="12.75">
      <c r="A22" s="216"/>
      <c r="B22" s="289" t="s">
        <v>85</v>
      </c>
      <c r="C22" s="289"/>
      <c r="D22" s="289"/>
      <c r="E22" s="289"/>
      <c r="F22" s="289"/>
      <c r="G22" s="289"/>
      <c r="H22" s="289"/>
      <c r="I22" s="181">
        <v>875000</v>
      </c>
    </row>
    <row r="23" spans="1:9" ht="12.75">
      <c r="A23" s="216"/>
      <c r="B23" s="289" t="s">
        <v>86</v>
      </c>
      <c r="C23" s="289"/>
      <c r="D23" s="289"/>
      <c r="E23" s="289"/>
      <c r="F23" s="289"/>
      <c r="G23" s="289"/>
      <c r="H23" s="289"/>
      <c r="I23" s="181">
        <v>370000</v>
      </c>
    </row>
    <row r="24" spans="1:9" ht="13.5" thickBot="1">
      <c r="A24" s="216"/>
      <c r="B24" s="289" t="s">
        <v>89</v>
      </c>
      <c r="C24" s="289"/>
      <c r="D24" s="289"/>
      <c r="E24" s="289"/>
      <c r="F24" s="289"/>
      <c r="G24" s="289"/>
      <c r="H24" s="289"/>
      <c r="I24" s="181">
        <v>40000</v>
      </c>
    </row>
    <row r="25" spans="1:9" ht="13.5" thickBot="1">
      <c r="A25" s="216"/>
      <c r="B25" s="290" t="s">
        <v>3</v>
      </c>
      <c r="C25" s="291"/>
      <c r="D25" s="291"/>
      <c r="E25" s="291"/>
      <c r="F25" s="291"/>
      <c r="G25" s="291"/>
      <c r="H25" s="291"/>
      <c r="I25" s="197">
        <f>SUM(I22:I24)</f>
        <v>1285000</v>
      </c>
    </row>
    <row r="26" spans="1:9" ht="12.75">
      <c r="A26" s="216"/>
      <c r="B26" s="6" t="s">
        <v>4</v>
      </c>
      <c r="C26" s="6"/>
      <c r="D26" s="6"/>
      <c r="E26" s="6"/>
      <c r="F26" s="6"/>
      <c r="G26" s="6"/>
      <c r="H26" s="182"/>
      <c r="I26" s="182"/>
    </row>
    <row r="27" spans="1:11" ht="12.75">
      <c r="A27" s="216"/>
      <c r="B27" s="182" t="s">
        <v>107</v>
      </c>
      <c r="C27" s="182"/>
      <c r="D27" s="182"/>
      <c r="E27" s="182"/>
      <c r="F27" s="182"/>
      <c r="G27" s="182"/>
      <c r="H27" s="182"/>
      <c r="I27" s="198">
        <v>2300000</v>
      </c>
      <c r="K27" s="280"/>
    </row>
    <row r="28" spans="1:9" ht="12.75">
      <c r="A28" s="216"/>
      <c r="B28" s="182" t="s">
        <v>28</v>
      </c>
      <c r="C28" s="182"/>
      <c r="D28" s="182"/>
      <c r="E28" s="182"/>
      <c r="F28" s="182"/>
      <c r="G28" s="182"/>
      <c r="H28" s="182"/>
      <c r="I28" s="198">
        <f>I27/100*30.2</f>
        <v>694600</v>
      </c>
    </row>
    <row r="29" spans="1:9" ht="12.75">
      <c r="A29" s="216"/>
      <c r="B29" s="182" t="s">
        <v>6</v>
      </c>
      <c r="C29" s="182"/>
      <c r="D29" s="182"/>
      <c r="E29" s="182"/>
      <c r="F29" s="182"/>
      <c r="G29" s="182"/>
      <c r="H29" s="182"/>
      <c r="I29" s="198">
        <v>200000</v>
      </c>
    </row>
    <row r="30" spans="1:9" ht="12.75">
      <c r="A30" s="216"/>
      <c r="B30" s="182" t="s">
        <v>7</v>
      </c>
      <c r="C30" s="182"/>
      <c r="D30" s="182"/>
      <c r="E30" s="182"/>
      <c r="F30" s="182"/>
      <c r="G30" s="182"/>
      <c r="H30" s="182"/>
      <c r="I30" s="198">
        <v>100000</v>
      </c>
    </row>
    <row r="31" spans="1:9" ht="12.75">
      <c r="A31" s="216"/>
      <c r="B31" s="182" t="s">
        <v>8</v>
      </c>
      <c r="C31" s="182"/>
      <c r="D31" s="182"/>
      <c r="E31" s="182"/>
      <c r="F31" s="182"/>
      <c r="G31" s="182"/>
      <c r="H31" s="182"/>
      <c r="I31" s="198">
        <v>20000</v>
      </c>
    </row>
    <row r="32" spans="1:9" ht="12.75">
      <c r="A32" s="216"/>
      <c r="B32" s="182" t="s">
        <v>20</v>
      </c>
      <c r="C32" s="182"/>
      <c r="D32" s="182"/>
      <c r="E32" s="182"/>
      <c r="F32" s="182"/>
      <c r="G32" s="182"/>
      <c r="H32" s="182"/>
      <c r="I32" s="198">
        <v>25000</v>
      </c>
    </row>
    <row r="33" spans="1:9" ht="12.75">
      <c r="A33" s="216"/>
      <c r="B33" s="182" t="s">
        <v>9</v>
      </c>
      <c r="C33" s="182"/>
      <c r="D33" s="182"/>
      <c r="E33" s="182"/>
      <c r="F33" s="182"/>
      <c r="G33" s="182"/>
      <c r="H33" s="182"/>
      <c r="I33" s="198">
        <v>25000</v>
      </c>
    </row>
    <row r="34" spans="1:9" ht="12.75">
      <c r="A34" s="216"/>
      <c r="B34" s="182" t="s">
        <v>10</v>
      </c>
      <c r="C34" s="182"/>
      <c r="D34" s="182"/>
      <c r="E34" s="182"/>
      <c r="F34" s="182"/>
      <c r="G34" s="182"/>
      <c r="H34" s="182"/>
      <c r="I34" s="198">
        <v>45000</v>
      </c>
    </row>
    <row r="35" spans="1:9" ht="12.75">
      <c r="A35" s="216"/>
      <c r="B35" s="182" t="s">
        <v>18</v>
      </c>
      <c r="C35" s="182"/>
      <c r="D35" s="182"/>
      <c r="E35" s="182"/>
      <c r="F35" s="182"/>
      <c r="G35" s="182"/>
      <c r="H35" s="182"/>
      <c r="I35" s="198">
        <v>5000</v>
      </c>
    </row>
    <row r="36" spans="1:9" ht="12.75">
      <c r="A36" s="216"/>
      <c r="B36" s="182" t="s">
        <v>25</v>
      </c>
      <c r="C36" s="182"/>
      <c r="D36" s="182"/>
      <c r="E36" s="182"/>
      <c r="F36" s="182"/>
      <c r="G36" s="182"/>
      <c r="H36" s="182"/>
      <c r="I36" s="198">
        <v>20000</v>
      </c>
    </row>
    <row r="37" spans="1:9" ht="13.5" thickBot="1">
      <c r="A37" s="216"/>
      <c r="B37" s="182" t="s">
        <v>11</v>
      </c>
      <c r="C37" s="182"/>
      <c r="D37" s="182"/>
      <c r="E37" s="182"/>
      <c r="F37" s="182"/>
      <c r="G37" s="182"/>
      <c r="H37" s="182"/>
      <c r="I37" s="198">
        <v>28000</v>
      </c>
    </row>
    <row r="38" spans="1:9" ht="13.5" thickBot="1">
      <c r="A38" s="216"/>
      <c r="B38" s="199" t="s">
        <v>3</v>
      </c>
      <c r="C38" s="200"/>
      <c r="D38" s="200"/>
      <c r="E38" s="200"/>
      <c r="F38" s="200"/>
      <c r="G38" s="200"/>
      <c r="H38" s="200"/>
      <c r="I38" s="201">
        <v>3362883</v>
      </c>
    </row>
    <row r="39" spans="1:9" ht="12.75">
      <c r="A39" s="216"/>
      <c r="B39" s="6" t="s">
        <v>12</v>
      </c>
      <c r="C39" s="182"/>
      <c r="D39" s="182"/>
      <c r="E39" s="182"/>
      <c r="F39" s="182"/>
      <c r="G39" s="182"/>
      <c r="H39" s="182"/>
      <c r="I39" s="182"/>
    </row>
    <row r="40" spans="1:9" ht="12.75">
      <c r="A40" s="216"/>
      <c r="B40" s="191" t="s">
        <v>159</v>
      </c>
      <c r="C40" s="191"/>
      <c r="D40" s="191"/>
      <c r="E40" s="191"/>
      <c r="F40" s="191"/>
      <c r="G40" s="191"/>
      <c r="H40" s="191"/>
      <c r="I40" s="198">
        <v>800000</v>
      </c>
    </row>
    <row r="41" spans="1:9" ht="12.75">
      <c r="A41" s="216"/>
      <c r="B41" s="191" t="s">
        <v>23</v>
      </c>
      <c r="C41" s="191"/>
      <c r="D41" s="191"/>
      <c r="E41" s="191"/>
      <c r="F41" s="191"/>
      <c r="G41" s="191"/>
      <c r="H41" s="191"/>
      <c r="I41" s="279">
        <v>30000</v>
      </c>
    </row>
    <row r="42" spans="1:9" ht="12.75">
      <c r="A42" s="216"/>
      <c r="B42" s="191" t="s">
        <v>36</v>
      </c>
      <c r="C42" s="191"/>
      <c r="D42" s="191"/>
      <c r="E42" s="191"/>
      <c r="F42" s="191"/>
      <c r="G42" s="191"/>
      <c r="H42" s="191"/>
      <c r="I42" s="279">
        <v>50000</v>
      </c>
    </row>
    <row r="43" spans="1:9" ht="12.75">
      <c r="A43" s="277"/>
      <c r="B43" s="237" t="s">
        <v>14</v>
      </c>
      <c r="C43" s="237"/>
      <c r="D43" s="237"/>
      <c r="E43" s="237"/>
      <c r="F43" s="237"/>
      <c r="G43" s="237"/>
      <c r="H43" s="237"/>
      <c r="I43" s="274">
        <v>100000</v>
      </c>
    </row>
    <row r="44" spans="1:9" ht="12.75">
      <c r="A44" s="278"/>
      <c r="B44" s="237" t="s">
        <v>215</v>
      </c>
      <c r="C44" s="237"/>
      <c r="D44" s="237"/>
      <c r="E44" s="237"/>
      <c r="F44" s="237"/>
      <c r="G44" s="237"/>
      <c r="H44" s="237"/>
      <c r="I44" s="276">
        <v>190000</v>
      </c>
    </row>
    <row r="45" spans="1:9" ht="12.75">
      <c r="A45" s="278"/>
      <c r="B45" s="237" t="s">
        <v>216</v>
      </c>
      <c r="C45" s="237"/>
      <c r="D45" s="237"/>
      <c r="E45" s="237"/>
      <c r="F45" s="237"/>
      <c r="G45" s="237"/>
      <c r="H45" s="237"/>
      <c r="I45" s="276">
        <v>250000</v>
      </c>
    </row>
    <row r="46" spans="1:9" ht="12.75">
      <c r="A46" s="278"/>
      <c r="B46" s="237" t="s">
        <v>231</v>
      </c>
      <c r="C46" s="237"/>
      <c r="D46" s="237"/>
      <c r="E46" s="237"/>
      <c r="F46" s="237"/>
      <c r="G46" s="237"/>
      <c r="H46" s="237"/>
      <c r="I46" s="276">
        <v>80000</v>
      </c>
    </row>
    <row r="47" spans="1:9" ht="12.75">
      <c r="A47" s="278"/>
      <c r="B47" s="237" t="s">
        <v>217</v>
      </c>
      <c r="C47" s="237"/>
      <c r="D47" s="237"/>
      <c r="E47" s="237"/>
      <c r="F47" s="237"/>
      <c r="G47" s="237"/>
      <c r="H47" s="237"/>
      <c r="I47" s="276">
        <v>60000</v>
      </c>
    </row>
    <row r="48" spans="1:9" ht="12.75">
      <c r="A48" s="278"/>
      <c r="B48" s="237" t="s">
        <v>218</v>
      </c>
      <c r="C48" s="237"/>
      <c r="D48" s="237"/>
      <c r="E48" s="237"/>
      <c r="F48" s="237"/>
      <c r="G48" s="237"/>
      <c r="H48" s="237"/>
      <c r="I48" s="276">
        <v>150000</v>
      </c>
    </row>
    <row r="49" spans="1:9" ht="12.75">
      <c r="A49" s="278"/>
      <c r="B49" s="237" t="s">
        <v>219</v>
      </c>
      <c r="C49" s="237"/>
      <c r="D49" s="237"/>
      <c r="E49" s="237"/>
      <c r="F49" s="237"/>
      <c r="G49" s="237"/>
      <c r="H49" s="237"/>
      <c r="I49" s="276">
        <v>70000</v>
      </c>
    </row>
    <row r="50" spans="1:9" ht="12.75">
      <c r="A50" s="278"/>
      <c r="B50" s="237" t="s">
        <v>220</v>
      </c>
      <c r="C50" s="237"/>
      <c r="D50" s="237"/>
      <c r="E50" s="237"/>
      <c r="F50" s="237"/>
      <c r="G50" s="237"/>
      <c r="H50" s="237"/>
      <c r="I50" s="276">
        <v>500000</v>
      </c>
    </row>
    <row r="51" spans="1:9" ht="12.75">
      <c r="A51" s="278"/>
      <c r="B51" s="237" t="s">
        <v>221</v>
      </c>
      <c r="C51" s="237"/>
      <c r="D51" s="237"/>
      <c r="E51" s="237"/>
      <c r="F51" s="237"/>
      <c r="G51" s="237"/>
      <c r="H51" s="237"/>
      <c r="I51" s="276">
        <v>40000</v>
      </c>
    </row>
    <row r="52" spans="1:9" ht="12.75">
      <c r="A52" s="278"/>
      <c r="B52" s="237" t="s">
        <v>222</v>
      </c>
      <c r="C52" s="237"/>
      <c r="D52" s="237"/>
      <c r="E52" s="237"/>
      <c r="F52" s="237"/>
      <c r="G52" s="237"/>
      <c r="H52" s="237"/>
      <c r="I52" s="276">
        <v>160000</v>
      </c>
    </row>
    <row r="53" spans="1:9" ht="12.75">
      <c r="A53" s="278"/>
      <c r="B53" s="237" t="s">
        <v>223</v>
      </c>
      <c r="C53" s="237"/>
      <c r="D53" s="237"/>
      <c r="E53" s="237"/>
      <c r="F53" s="237"/>
      <c r="G53" s="237"/>
      <c r="H53" s="237"/>
      <c r="I53" s="276">
        <v>90000</v>
      </c>
    </row>
    <row r="54" spans="1:9" ht="12.75">
      <c r="A54" s="278"/>
      <c r="B54" s="237" t="s">
        <v>224</v>
      </c>
      <c r="C54" s="237"/>
      <c r="D54" s="237"/>
      <c r="E54" s="237"/>
      <c r="F54" s="237"/>
      <c r="G54" s="237"/>
      <c r="H54" s="237"/>
      <c r="I54" s="276">
        <v>160000</v>
      </c>
    </row>
    <row r="55" spans="1:9" ht="12.75">
      <c r="A55" s="278"/>
      <c r="B55" s="237" t="s">
        <v>225</v>
      </c>
      <c r="C55" s="237"/>
      <c r="D55" s="237"/>
      <c r="E55" s="237"/>
      <c r="F55" s="237"/>
      <c r="G55" s="237"/>
      <c r="H55" s="237"/>
      <c r="I55" s="276">
        <v>150000</v>
      </c>
    </row>
    <row r="56" spans="1:9" ht="12.75">
      <c r="A56" s="278"/>
      <c r="B56" s="237" t="s">
        <v>226</v>
      </c>
      <c r="C56" s="237"/>
      <c r="D56" s="237"/>
      <c r="E56" s="237"/>
      <c r="F56" s="237"/>
      <c r="G56" s="237"/>
      <c r="H56" s="237"/>
      <c r="I56" s="276">
        <v>120000</v>
      </c>
    </row>
    <row r="57" spans="1:9" ht="12.75">
      <c r="A57" s="278"/>
      <c r="B57" s="237" t="s">
        <v>227</v>
      </c>
      <c r="C57" s="237"/>
      <c r="D57" s="237"/>
      <c r="E57" s="237"/>
      <c r="F57" s="237"/>
      <c r="G57" s="237"/>
      <c r="H57" s="237"/>
      <c r="I57" s="276">
        <v>80000</v>
      </c>
    </row>
    <row r="58" spans="1:9" ht="12.75">
      <c r="A58" s="278"/>
      <c r="B58" s="237" t="s">
        <v>228</v>
      </c>
      <c r="C58" s="237"/>
      <c r="D58" s="237"/>
      <c r="E58" s="237"/>
      <c r="F58" s="237"/>
      <c r="G58" s="237"/>
      <c r="H58" s="237"/>
      <c r="I58" s="275">
        <f>237000-150000</f>
        <v>87000</v>
      </c>
    </row>
    <row r="59" spans="1:9" ht="12.75">
      <c r="A59" s="278"/>
      <c r="B59" s="237" t="s">
        <v>229</v>
      </c>
      <c r="C59" s="237"/>
      <c r="D59" s="237"/>
      <c r="E59" s="237"/>
      <c r="F59" s="237"/>
      <c r="G59" s="237"/>
      <c r="H59" s="237"/>
      <c r="I59" s="276">
        <v>150000</v>
      </c>
    </row>
    <row r="60" spans="1:9" ht="12.75">
      <c r="A60" s="278"/>
      <c r="B60" s="237" t="s">
        <v>230</v>
      </c>
      <c r="C60" s="237"/>
      <c r="D60" s="237"/>
      <c r="E60" s="237"/>
      <c r="F60" s="237"/>
      <c r="G60" s="237"/>
      <c r="H60" s="237"/>
      <c r="I60" s="276">
        <v>80000</v>
      </c>
    </row>
    <row r="61" spans="1:9" ht="12.75">
      <c r="A61" s="277"/>
      <c r="B61" s="237" t="s">
        <v>234</v>
      </c>
      <c r="C61" s="237"/>
      <c r="D61" s="237"/>
      <c r="E61" s="237"/>
      <c r="F61" s="237"/>
      <c r="G61" s="237"/>
      <c r="H61" s="237"/>
      <c r="I61" s="274">
        <v>100000</v>
      </c>
    </row>
    <row r="62" spans="1:9" ht="12.75">
      <c r="A62" s="216"/>
      <c r="B62" s="191" t="s">
        <v>87</v>
      </c>
      <c r="C62" s="191"/>
      <c r="D62" s="191"/>
      <c r="E62" s="191"/>
      <c r="F62" s="191"/>
      <c r="G62" s="191"/>
      <c r="H62" s="191"/>
      <c r="I62" s="279">
        <v>60000</v>
      </c>
    </row>
    <row r="63" spans="1:9" ht="12.75">
      <c r="A63" s="216"/>
      <c r="B63" s="191" t="s">
        <v>140</v>
      </c>
      <c r="C63" s="191"/>
      <c r="D63" s="191"/>
      <c r="E63" s="191"/>
      <c r="F63" s="191"/>
      <c r="G63" s="191"/>
      <c r="H63" s="191"/>
      <c r="I63" s="279">
        <v>100000</v>
      </c>
    </row>
    <row r="64" spans="1:9" ht="12.75">
      <c r="A64" s="216"/>
      <c r="B64" s="191" t="s">
        <v>30</v>
      </c>
      <c r="C64" s="191"/>
      <c r="D64" s="191"/>
      <c r="E64" s="191"/>
      <c r="F64" s="191"/>
      <c r="G64" s="191"/>
      <c r="H64" s="191"/>
      <c r="I64" s="279">
        <v>140000</v>
      </c>
    </row>
    <row r="65" spans="1:9" ht="12.75">
      <c r="A65" s="216"/>
      <c r="B65" s="191" t="s">
        <v>24</v>
      </c>
      <c r="C65" s="191"/>
      <c r="D65" s="191"/>
      <c r="E65" s="191"/>
      <c r="F65" s="191"/>
      <c r="G65" s="191"/>
      <c r="H65" s="191"/>
      <c r="I65" s="279">
        <v>65000</v>
      </c>
    </row>
    <row r="66" spans="1:9" ht="12.75">
      <c r="A66" s="216"/>
      <c r="B66" s="191" t="s">
        <v>90</v>
      </c>
      <c r="C66" s="191"/>
      <c r="D66" s="191"/>
      <c r="E66" s="191"/>
      <c r="F66" s="191"/>
      <c r="G66" s="191"/>
      <c r="H66" s="191"/>
      <c r="I66" s="279">
        <v>40000</v>
      </c>
    </row>
    <row r="67" spans="1:9" ht="12.75">
      <c r="A67" s="216"/>
      <c r="B67" s="191" t="s">
        <v>162</v>
      </c>
      <c r="C67" s="191"/>
      <c r="D67" s="191"/>
      <c r="E67" s="191"/>
      <c r="F67" s="191"/>
      <c r="G67" s="191"/>
      <c r="H67" s="191"/>
      <c r="I67" s="279">
        <v>35000</v>
      </c>
    </row>
    <row r="68" spans="1:9" ht="12.75">
      <c r="A68" s="216"/>
      <c r="B68" s="191" t="s">
        <v>232</v>
      </c>
      <c r="C68" s="191"/>
      <c r="D68" s="191"/>
      <c r="E68" s="191"/>
      <c r="F68" s="191"/>
      <c r="G68" s="191"/>
      <c r="H68" s="191"/>
      <c r="I68" s="279">
        <v>100000</v>
      </c>
    </row>
    <row r="69" spans="1:9" ht="12.75">
      <c r="A69" s="216"/>
      <c r="B69" s="191" t="s">
        <v>164</v>
      </c>
      <c r="C69" s="186"/>
      <c r="D69" s="186"/>
      <c r="E69" s="186"/>
      <c r="F69" s="186"/>
      <c r="G69" s="186"/>
      <c r="H69" s="186"/>
      <c r="I69" s="279">
        <v>90000</v>
      </c>
    </row>
    <row r="70" spans="1:9" ht="12.75">
      <c r="A70" s="216"/>
      <c r="B70" s="182" t="s">
        <v>191</v>
      </c>
      <c r="C70" s="182"/>
      <c r="D70" s="182"/>
      <c r="E70" s="182"/>
      <c r="F70" s="182"/>
      <c r="G70" s="182"/>
      <c r="H70" s="182"/>
      <c r="I70" s="279">
        <v>80000</v>
      </c>
    </row>
    <row r="71" spans="1:9" ht="13.5" thickBot="1">
      <c r="A71" s="216"/>
      <c r="B71" s="182" t="s">
        <v>15</v>
      </c>
      <c r="C71" s="182"/>
      <c r="D71" s="182"/>
      <c r="E71" s="182"/>
      <c r="F71" s="182"/>
      <c r="G71" s="182"/>
      <c r="H71" s="182"/>
      <c r="I71" s="6">
        <f>340000+5534-119505-5000</f>
        <v>221029</v>
      </c>
    </row>
    <row r="72" spans="2:9" ht="13.5" thickBot="1">
      <c r="B72" s="199" t="s">
        <v>3</v>
      </c>
      <c r="C72" s="200"/>
      <c r="D72" s="200"/>
      <c r="E72" s="200"/>
      <c r="F72" s="200"/>
      <c r="G72" s="200"/>
      <c r="H72" s="200"/>
      <c r="I72" s="204">
        <f>SUM(I40:I71)</f>
        <v>4428029</v>
      </c>
    </row>
    <row r="73" spans="2:9" ht="13.5" thickBot="1">
      <c r="B73" s="186"/>
      <c r="C73" s="191"/>
      <c r="D73" s="191"/>
      <c r="E73" s="191"/>
      <c r="F73" s="191"/>
      <c r="G73" s="191"/>
      <c r="H73" s="191"/>
      <c r="I73" s="205"/>
    </row>
    <row r="74" spans="2:9" ht="13.5" thickBot="1">
      <c r="B74" s="206" t="s">
        <v>16</v>
      </c>
      <c r="C74" s="207"/>
      <c r="D74" s="207"/>
      <c r="E74" s="207"/>
      <c r="F74" s="207"/>
      <c r="G74" s="207"/>
      <c r="H74" s="207"/>
      <c r="I74" s="208">
        <f>I72+I38+I25</f>
        <v>9075912</v>
      </c>
    </row>
    <row r="76" spans="2:8" ht="12.75">
      <c r="B76" t="s">
        <v>213</v>
      </c>
      <c r="H76" t="s">
        <v>211</v>
      </c>
    </row>
    <row r="77" ht="12.75">
      <c r="I77" s="36"/>
    </row>
    <row r="78" spans="2:9" ht="12.75">
      <c r="B78" t="s">
        <v>214</v>
      </c>
      <c r="H78" t="s">
        <v>212</v>
      </c>
      <c r="I78" s="36"/>
    </row>
    <row r="79" ht="12.75">
      <c r="I79" s="36"/>
    </row>
  </sheetData>
  <sheetProtection/>
  <mergeCells count="4">
    <mergeCell ref="B22:H22"/>
    <mergeCell ref="B23:H23"/>
    <mergeCell ref="B24:H24"/>
    <mergeCell ref="B25:H2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ТСЖ</cp:lastModifiedBy>
  <cp:lastPrinted>2016-07-29T09:51:49Z</cp:lastPrinted>
  <dcterms:created xsi:type="dcterms:W3CDTF">2010-04-23T10:17:25Z</dcterms:created>
  <dcterms:modified xsi:type="dcterms:W3CDTF">2016-07-29T09:52:08Z</dcterms:modified>
  <cp:category/>
  <cp:version/>
  <cp:contentType/>
  <cp:contentStatus/>
</cp:coreProperties>
</file>