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80" windowHeight="11535" activeTab="3"/>
  </bookViews>
  <sheets>
    <sheet name="2011" sheetId="1" r:id="rId1"/>
    <sheet name="2012" sheetId="2" r:id="rId2"/>
    <sheet name="2013" sheetId="3" r:id="rId3"/>
    <sheet name="2014" sheetId="4" r:id="rId4"/>
  </sheets>
  <calcPr calcId="145621" refMode="R1C1"/>
</workbook>
</file>

<file path=xl/calcChain.xml><?xml version="1.0" encoding="utf-8"?>
<calcChain xmlns="http://schemas.openxmlformats.org/spreadsheetml/2006/main">
  <c r="F16" i="4" l="1"/>
  <c r="C31" i="4"/>
  <c r="C36" i="4"/>
  <c r="C42" i="4" l="1"/>
  <c r="C41" i="4"/>
  <c r="C37" i="4"/>
  <c r="C44" i="4" s="1"/>
  <c r="C30" i="4"/>
  <c r="C33" i="4" s="1"/>
  <c r="F12" i="4"/>
  <c r="F11" i="4"/>
  <c r="F10" i="4"/>
  <c r="E9" i="4"/>
  <c r="F9" i="4" s="1"/>
  <c r="F8" i="4"/>
  <c r="F7" i="4"/>
  <c r="F6" i="4"/>
  <c r="C41" i="3"/>
  <c r="C36" i="3"/>
  <c r="F13" i="4" l="1"/>
  <c r="F14" i="4" s="1"/>
  <c r="F25" i="4" s="1"/>
  <c r="F26" i="4" s="1"/>
  <c r="C3" i="4" s="1"/>
  <c r="F3" i="4" s="1"/>
  <c r="F7" i="3"/>
  <c r="C42" i="3"/>
  <c r="C37" i="3"/>
  <c r="C44" i="3" s="1"/>
  <c r="C30" i="3"/>
  <c r="C33" i="3" s="1"/>
  <c r="F16" i="3"/>
  <c r="F12" i="3"/>
  <c r="F11" i="3"/>
  <c r="E9" i="3" s="1"/>
  <c r="F10" i="3"/>
  <c r="F8" i="3"/>
  <c r="F6" i="3"/>
  <c r="F26" i="2"/>
  <c r="C26" i="2" s="1"/>
  <c r="F25" i="2"/>
  <c r="C25" i="2" s="1"/>
  <c r="F15" i="2"/>
  <c r="C44" i="2"/>
  <c r="C43" i="2"/>
  <c r="C39" i="2"/>
  <c r="C38" i="2"/>
  <c r="C46" i="2" s="1"/>
  <c r="C34" i="2"/>
  <c r="C33" i="2"/>
  <c r="C30" i="2"/>
  <c r="C31" i="2"/>
  <c r="F21" i="1"/>
  <c r="F11" i="2"/>
  <c r="C10" i="2"/>
  <c r="F10" i="2" s="1"/>
  <c r="F9" i="2"/>
  <c r="E8" i="2"/>
  <c r="C8" i="2"/>
  <c r="F8" i="2" s="1"/>
  <c r="F7" i="2"/>
  <c r="C6" i="2"/>
  <c r="F6" i="2" s="1"/>
  <c r="C5" i="2"/>
  <c r="F5" i="2" s="1"/>
  <c r="F11" i="1"/>
  <c r="F10" i="1"/>
  <c r="F7" i="1"/>
  <c r="F6" i="1"/>
  <c r="F5" i="1"/>
  <c r="E9" i="1"/>
  <c r="F9" i="1" s="1"/>
  <c r="G14" i="1"/>
  <c r="F32" i="1"/>
  <c r="F23" i="1"/>
  <c r="F15" i="1"/>
  <c r="G16" i="1"/>
  <c r="G15" i="1"/>
  <c r="E8" i="1"/>
  <c r="F8" i="1" s="1"/>
  <c r="I50" i="1"/>
  <c r="J50" i="1" s="1"/>
  <c r="E49" i="1"/>
  <c r="I48" i="1"/>
  <c r="G51" i="1"/>
  <c r="G50" i="1"/>
  <c r="G49" i="1"/>
  <c r="H49" i="1" s="1"/>
  <c r="G48" i="1"/>
  <c r="G47" i="1"/>
  <c r="H47" i="1" s="1"/>
  <c r="J48" i="1"/>
  <c r="H51" i="1"/>
  <c r="H50" i="1"/>
  <c r="H48" i="1"/>
  <c r="E45" i="1"/>
  <c r="G45" i="1" s="1"/>
  <c r="E46" i="1"/>
  <c r="G46" i="1" s="1"/>
  <c r="F12" i="2" l="1"/>
  <c r="F13" i="2" s="1"/>
  <c r="F23" i="2" s="1"/>
  <c r="F24" i="2" s="1"/>
  <c r="C35" i="2"/>
  <c r="F12" i="1"/>
  <c r="H46" i="1"/>
  <c r="H45" i="1"/>
  <c r="F13" i="1" l="1"/>
  <c r="F29" i="1" s="1"/>
  <c r="F30" i="1" s="1"/>
  <c r="C1" i="1" s="1"/>
  <c r="F1" i="1" s="1"/>
  <c r="C1" i="2"/>
  <c r="F1" i="2" s="1"/>
  <c r="F9" i="3"/>
  <c r="F13" i="3" s="1"/>
  <c r="F14" i="3" l="1"/>
  <c r="F25" i="3" s="1"/>
  <c r="F26" i="3" s="1"/>
  <c r="C3" i="3" s="1"/>
  <c r="F3" i="3" s="1"/>
</calcChain>
</file>

<file path=xl/comments1.xml><?xml version="1.0" encoding="utf-8"?>
<comments xmlns="http://schemas.openxmlformats.org/spreadsheetml/2006/main">
  <authors>
    <author>Мама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Мама:</t>
        </r>
        <r>
          <rPr>
            <sz val="8"/>
            <color indexed="81"/>
            <rFont val="Tahoma"/>
            <family val="2"/>
            <charset val="204"/>
          </rPr>
          <t xml:space="preserve">
май - октябрь
</t>
        </r>
      </text>
    </comment>
  </commentList>
</comments>
</file>

<file path=xl/comments2.xml><?xml version="1.0" encoding="utf-8"?>
<comments xmlns="http://schemas.openxmlformats.org/spreadsheetml/2006/main">
  <authors>
    <author>Мама</author>
    <author>Кононова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Мама:</t>
        </r>
        <r>
          <rPr>
            <sz val="8"/>
            <color indexed="81"/>
            <rFont val="Tahoma"/>
            <family val="2"/>
            <charset val="204"/>
          </rPr>
          <t xml:space="preserve">
май - октябрь
</t>
        </r>
      </text>
    </comment>
    <comment ref="F16" authorId="1">
      <text>
        <r>
          <rPr>
            <b/>
            <sz val="10"/>
            <color indexed="81"/>
            <rFont val="Tahoma"/>
            <charset val="1"/>
          </rPr>
          <t>Кононова:</t>
        </r>
        <r>
          <rPr>
            <sz val="10"/>
            <color indexed="81"/>
            <rFont val="Tahoma"/>
            <charset val="1"/>
          </rPr>
          <t xml:space="preserve">
500 руб ч/з аренду пк = 6000</t>
        </r>
      </text>
    </comment>
  </commentList>
</comments>
</file>

<file path=xl/sharedStrings.xml><?xml version="1.0" encoding="utf-8"?>
<sst xmlns="http://schemas.openxmlformats.org/spreadsheetml/2006/main" count="226" uniqueCount="106">
  <si>
    <t>*</t>
  </si>
  <si>
    <t>Доход всего :</t>
  </si>
  <si>
    <t>ФОТ(руб) </t>
  </si>
  <si>
    <t>оклад</t>
  </si>
  <si>
    <t>отпускные</t>
  </si>
  <si>
    <t>доплата</t>
  </si>
  <si>
    <t>за год</t>
  </si>
  <si>
    <t>Председатель</t>
  </si>
  <si>
    <t>Гл. бухгалтер</t>
  </si>
  <si>
    <t>Сантехник</t>
  </si>
  <si>
    <t>Дворник</t>
  </si>
  <si>
    <t>Уборщик контейнер.территории</t>
  </si>
  <si>
    <t>Уборщица</t>
  </si>
  <si>
    <t>Электрик</t>
  </si>
  <si>
    <t>ИТОГО</t>
  </si>
  <si>
    <t>Налог УСНО 1%</t>
  </si>
  <si>
    <t>Услуги Кубань Кредит банка</t>
  </si>
  <si>
    <t>Расчет по экологии</t>
  </si>
  <si>
    <t>Налог по экологии</t>
  </si>
  <si>
    <t>регистр,запросы,гос.пошлина и пр.</t>
  </si>
  <si>
    <t>Аренда ПК</t>
  </si>
  <si>
    <t xml:space="preserve">   инвент.   дворнику    600</t>
  </si>
  <si>
    <t xml:space="preserve">  хоз.материалы          4200</t>
  </si>
  <si>
    <t>Канцтовары</t>
  </si>
  <si>
    <t>(замки,дюбеля,выкл,лампы идр.)</t>
  </si>
  <si>
    <t>хоз нужды</t>
  </si>
  <si>
    <t>сдача отчетности ПФР,НДФЛ</t>
  </si>
  <si>
    <t>страхование лифтов</t>
  </si>
  <si>
    <t>периодическое освидетел-ие лифтов</t>
  </si>
  <si>
    <t>Услуги Вертикаль -Сервис (лифт)</t>
  </si>
  <si>
    <r>
      <t>тек.ремонт</t>
    </r>
    <r>
      <rPr>
        <sz val="9"/>
        <color theme="1"/>
        <rFont val="Arial"/>
        <family val="2"/>
        <charset val="204"/>
      </rPr>
      <t>(подвал,чердак,подъезд)</t>
    </r>
  </si>
  <si>
    <t>Тек.ремонт</t>
  </si>
  <si>
    <t>« за»                                          «против»         </t>
  </si>
  <si>
    <t xml:space="preserve"> май,июнь,июль,август,сентябрь,октябрь</t>
  </si>
  <si>
    <t xml:space="preserve">   инвент.   уборщице 800</t>
  </si>
  <si>
    <r>
      <t>хоз.нужды</t>
    </r>
    <r>
      <rPr>
        <sz val="9"/>
        <color theme="1"/>
        <rFont val="Arial"/>
        <family val="2"/>
        <charset val="204"/>
      </rPr>
      <t>:субботник 500(краска, пр)</t>
    </r>
  </si>
  <si>
    <t>Поверка теплосчетчика(1раз в 4 года)</t>
  </si>
  <si>
    <t>СОДЕРЖАНИЕ И ТЕКУЩИЙ РЕМОНТ</t>
  </si>
  <si>
    <t>ВСЕГО:</t>
  </si>
  <si>
    <t>Смета на 2011 год ТСЖ "Теремок"</t>
  </si>
  <si>
    <t>Услуги Взлет –Кубань(теплосчетчик)</t>
  </si>
  <si>
    <t>Уборщ.мусор.контейнера</t>
  </si>
  <si>
    <t>на руки</t>
  </si>
  <si>
    <t>доп</t>
  </si>
  <si>
    <t xml:space="preserve">март,июнь,сентябрь,декабрь </t>
  </si>
  <si>
    <t>6 мес</t>
  </si>
  <si>
    <t>4 кварт</t>
  </si>
  <si>
    <t>муатп</t>
  </si>
  <si>
    <t>пеня</t>
  </si>
  <si>
    <t>провода</t>
  </si>
  <si>
    <t>ПФР 26 %, соц. 2,9% фед.2,1%, террит. 3% травм.0,2%</t>
  </si>
  <si>
    <t>Услуги мусороуборочной компании</t>
  </si>
  <si>
    <t>промывка,опрессовка    10 000,00</t>
  </si>
  <si>
    <t>4106,15 =</t>
  </si>
  <si>
    <t>тариф</t>
  </si>
  <si>
    <t xml:space="preserve">Выразите свое мнение по смете и опустите в почтовый ящик ТСЖ до </t>
  </si>
  <si>
    <t>Телефон ЮТК,  Моб .связь</t>
  </si>
  <si>
    <t>замена трубы хол.воды 32 м    80 000,00</t>
  </si>
  <si>
    <t>Смета период с 01.12.2011 г по 30.11.2012г ТСЖ "Теремок"</t>
  </si>
  <si>
    <t>Услуги мусороуборочной компании (мусор)</t>
  </si>
  <si>
    <t xml:space="preserve">« за»                              </t>
  </si>
  <si>
    <t xml:space="preserve">  «против»  </t>
  </si>
  <si>
    <t>Зарплатные налоги - 26,2%</t>
  </si>
  <si>
    <t>Налог УСНО 15%</t>
  </si>
  <si>
    <t>аренда</t>
  </si>
  <si>
    <t>реклама</t>
  </si>
  <si>
    <t>добор кв</t>
  </si>
  <si>
    <t>расход</t>
  </si>
  <si>
    <t>ЮТК тел</t>
  </si>
  <si>
    <t>сот.тел</t>
  </si>
  <si>
    <t>канц</t>
  </si>
  <si>
    <t>расчет по экол</t>
  </si>
  <si>
    <t>налоги по экологии</t>
  </si>
  <si>
    <t>сдача отчетности</t>
  </si>
  <si>
    <t>Услуги по съему информации(теплосчетчик)</t>
  </si>
  <si>
    <r>
      <t>хоз.нужды</t>
    </r>
    <r>
      <rPr>
        <sz val="9"/>
        <color theme="1"/>
        <rFont val="Arial"/>
        <family val="2"/>
        <charset val="204"/>
      </rPr>
      <t xml:space="preserve">:субботник  </t>
    </r>
  </si>
  <si>
    <t xml:space="preserve">   инвент.   Уборщице </t>
  </si>
  <si>
    <t xml:space="preserve">   инвент.   дворнику </t>
  </si>
  <si>
    <t xml:space="preserve">  хоз.материалы   </t>
  </si>
  <si>
    <t>Замена станции управления,пост вызывной, пост приказов, табло индикации ( материалы по лифтам)</t>
  </si>
  <si>
    <t>резервный фонд (работы по лифтам)</t>
  </si>
  <si>
    <t>тариф может меняться по факту выставленных счетов</t>
  </si>
  <si>
    <t>аренда ПК</t>
  </si>
  <si>
    <t>доход прочее</t>
  </si>
  <si>
    <t xml:space="preserve"> май ---- октябрь</t>
  </si>
  <si>
    <t xml:space="preserve">Выразите свое мнение по смете и опустите в почтовый ящик ТСЖ до 18.12.2011 г </t>
  </si>
  <si>
    <t>промывка,опрессовка      10 000,00</t>
  </si>
  <si>
    <t>Смета период с 01.12.2012 г по 30.11.2013г ТСЖ "Теремок"</t>
  </si>
  <si>
    <t>резервный фонд ( на содержание и текущий ремонт)</t>
  </si>
  <si>
    <t>промывка, опрессовка</t>
  </si>
  <si>
    <t>аренда интернет</t>
  </si>
  <si>
    <t>утверждено правлением 05.12.2012 г.</t>
  </si>
  <si>
    <r>
      <t xml:space="preserve">вывоз и утилизация отходов </t>
    </r>
    <r>
      <rPr>
        <i/>
        <sz val="10"/>
        <color theme="1"/>
        <rFont val="Arial"/>
        <family val="2"/>
        <charset val="204"/>
      </rPr>
      <t xml:space="preserve"> тариф 1,64</t>
    </r>
  </si>
  <si>
    <r>
      <t xml:space="preserve">техническое обслужив. лифтов </t>
    </r>
    <r>
      <rPr>
        <i/>
        <sz val="10"/>
        <color theme="1"/>
        <rFont val="Arial"/>
        <family val="2"/>
        <charset val="204"/>
      </rPr>
      <t>тариф 1,59</t>
    </r>
  </si>
  <si>
    <t>канцтовары</t>
  </si>
  <si>
    <t>расчет по экологии</t>
  </si>
  <si>
    <t>сот.телефон. связь</t>
  </si>
  <si>
    <t>ЮТК телефон</t>
  </si>
  <si>
    <t xml:space="preserve">« за»      V                        </t>
  </si>
  <si>
    <t xml:space="preserve">  «против»     V</t>
  </si>
  <si>
    <t>подпись</t>
  </si>
  <si>
    <t xml:space="preserve">Выразите свое мнение по смете и опустите в почтовый ящик ТСЖ до 20.12.2012 г  кв. </t>
  </si>
  <si>
    <t>Дворник  (доплата май-октябрь)</t>
  </si>
  <si>
    <t>Смета период с 01.12.2013 г по 30.11.2014 г ТСЖ "Теремок"</t>
  </si>
  <si>
    <t>утверждено правлением 05.12.2013 г.</t>
  </si>
  <si>
    <t xml:space="preserve">Выразите свое мнение по смете и опустите в почтовый ящик ТСЖ до 20.12.2013 г  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</si>
</sst>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2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u/>
      <sz val="12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0" xfId="0" applyFont="1"/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0" xfId="0" applyFont="1"/>
    <xf numFmtId="0" fontId="5" fillId="0" borderId="0" xfId="0" applyFont="1"/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9" fontId="0" fillId="0" borderId="0" xfId="0" applyNumberFormat="1"/>
    <xf numFmtId="1" fontId="0" fillId="0" borderId="0" xfId="0" applyNumberFormat="1"/>
    <xf numFmtId="3" fontId="0" fillId="0" borderId="0" xfId="0" applyNumberFormat="1"/>
    <xf numFmtId="4" fontId="2" fillId="2" borderId="1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4" xfId="0" applyFill="1" applyBorder="1"/>
    <xf numFmtId="0" fontId="2" fillId="0" borderId="3" xfId="0" applyFont="1" applyBorder="1" applyAlignment="1">
      <alignment horizontal="center" wrapText="1"/>
    </xf>
    <xf numFmtId="0" fontId="3" fillId="2" borderId="10" xfId="0" applyFont="1" applyFill="1" applyBorder="1"/>
    <xf numFmtId="0" fontId="0" fillId="2" borderId="12" xfId="0" applyFill="1" applyBorder="1"/>
    <xf numFmtId="0" fontId="2" fillId="2" borderId="9" xfId="0" applyFont="1" applyFill="1" applyBorder="1"/>
    <xf numFmtId="0" fontId="0" fillId="2" borderId="0" xfId="0" applyFill="1" applyBorder="1"/>
    <xf numFmtId="0" fontId="2" fillId="2" borderId="7" xfId="0" applyFont="1" applyFill="1" applyBorder="1"/>
    <xf numFmtId="0" fontId="0" fillId="2" borderId="6" xfId="0" applyFill="1" applyBorder="1"/>
    <xf numFmtId="4" fontId="3" fillId="0" borderId="6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2" fontId="0" fillId="0" borderId="0" xfId="0" applyNumberFormat="1"/>
    <xf numFmtId="4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4" fontId="6" fillId="3" borderId="3" xfId="0" applyNumberFormat="1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/>
    </xf>
    <xf numFmtId="0" fontId="0" fillId="4" borderId="0" xfId="0" applyFill="1" applyBorder="1"/>
    <xf numFmtId="4" fontId="6" fillId="4" borderId="6" xfId="0" applyNumberFormat="1" applyFont="1" applyFill="1" applyBorder="1" applyAlignment="1">
      <alignment horizontal="center"/>
    </xf>
    <xf numFmtId="4" fontId="6" fillId="4" borderId="4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4" fontId="7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1" xfId="0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4" borderId="0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6" fillId="0" borderId="6" xfId="0" applyFont="1" applyBorder="1"/>
    <xf numFmtId="0" fontId="6" fillId="4" borderId="6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4" fontId="6" fillId="4" borderId="13" xfId="0" applyNumberFormat="1" applyFont="1" applyFill="1" applyBorder="1" applyAlignment="1">
      <alignment horizontal="right"/>
    </xf>
    <xf numFmtId="0" fontId="10" fillId="0" borderId="8" xfId="0" applyFont="1" applyBorder="1" applyAlignment="1">
      <alignment wrapText="1"/>
    </xf>
    <xf numFmtId="0" fontId="6" fillId="0" borderId="0" xfId="0" applyFont="1" applyBorder="1" applyAlignment="1"/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1" fillId="0" borderId="0" xfId="0" applyFont="1"/>
    <xf numFmtId="0" fontId="13" fillId="0" borderId="15" xfId="0" applyFont="1" applyBorder="1"/>
    <xf numFmtId="0" fontId="11" fillId="0" borderId="8" xfId="0" applyFont="1" applyBorder="1"/>
    <xf numFmtId="0" fontId="12" fillId="0" borderId="8" xfId="0" applyFont="1" applyBorder="1" applyAlignment="1"/>
    <xf numFmtId="0" fontId="6" fillId="0" borderId="8" xfId="0" applyFont="1" applyBorder="1" applyAlignment="1"/>
    <xf numFmtId="2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6" fillId="4" borderId="4" xfId="0" applyFont="1" applyFill="1" applyBorder="1" applyAlignment="1">
      <alignment horizontal="center"/>
    </xf>
    <xf numFmtId="0" fontId="6" fillId="0" borderId="18" xfId="0" applyFont="1" applyBorder="1" applyAlignment="1"/>
    <xf numFmtId="0" fontId="6" fillId="0" borderId="5" xfId="0" applyFont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0" fontId="18" fillId="0" borderId="1" xfId="0" applyFont="1" applyBorder="1" applyAlignment="1"/>
    <xf numFmtId="0" fontId="18" fillId="0" borderId="3" xfId="0" applyFont="1" applyBorder="1" applyAlignment="1"/>
    <xf numFmtId="4" fontId="18" fillId="4" borderId="2" xfId="0" applyNumberFormat="1" applyFont="1" applyFill="1" applyBorder="1" applyAlignment="1">
      <alignment horizontal="center"/>
    </xf>
    <xf numFmtId="4" fontId="18" fillId="4" borderId="4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9" fillId="4" borderId="10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topLeftCell="A19" workbookViewId="0">
      <selection activeCell="G28" sqref="G28"/>
    </sheetView>
  </sheetViews>
  <sheetFormatPr defaultRowHeight="15" x14ac:dyDescent="0.25"/>
  <cols>
    <col min="1" max="1" width="3.5703125" customWidth="1"/>
    <col min="2" max="2" width="36.7109375" customWidth="1"/>
    <col min="6" max="6" width="10.85546875" customWidth="1"/>
    <col min="10" max="10" width="18.28515625" customWidth="1"/>
    <col min="11" max="11" width="27.140625" customWidth="1"/>
    <col min="14" max="14" width="11.140625" bestFit="1" customWidth="1"/>
  </cols>
  <sheetData>
    <row r="1" spans="2:9" ht="26.25" customHeight="1" x14ac:dyDescent="0.25">
      <c r="B1" s="1" t="s">
        <v>39</v>
      </c>
      <c r="C1" s="50">
        <f>F30</f>
        <v>10.044802552269159</v>
      </c>
      <c r="D1" s="3" t="s">
        <v>0</v>
      </c>
      <c r="E1" s="4" t="s">
        <v>53</v>
      </c>
      <c r="F1" s="49">
        <f>C1*4106.15*12</f>
        <v>494945.592</v>
      </c>
      <c r="G1" s="1"/>
    </row>
    <row r="2" spans="2:9" x14ac:dyDescent="0.25">
      <c r="B2" s="1" t="s">
        <v>1</v>
      </c>
      <c r="C2" s="2"/>
      <c r="D2" s="3"/>
      <c r="E2" s="3"/>
      <c r="F2" s="3"/>
      <c r="G2" s="3"/>
    </row>
    <row r="3" spans="2:9" ht="15.75" thickBot="1" x14ac:dyDescent="0.3">
      <c r="B3" s="1" t="s">
        <v>37</v>
      </c>
      <c r="C3" s="3"/>
      <c r="D3" s="3"/>
      <c r="E3" s="3"/>
      <c r="F3" s="3"/>
      <c r="G3" s="3"/>
    </row>
    <row r="4" spans="2:9" ht="15.75" thickBot="1" x14ac:dyDescent="0.3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1"/>
    </row>
    <row r="5" spans="2:9" ht="15.75" thickBot="1" x14ac:dyDescent="0.3">
      <c r="B5" s="8" t="s">
        <v>7</v>
      </c>
      <c r="C5" s="9">
        <v>7245</v>
      </c>
      <c r="D5" s="9"/>
      <c r="E5" s="9"/>
      <c r="F5" s="10">
        <f>C5*12+D5+E5</f>
        <v>86940</v>
      </c>
      <c r="G5" s="1"/>
    </row>
    <row r="6" spans="2:9" ht="15.75" thickBot="1" x14ac:dyDescent="0.3">
      <c r="B6" s="8" t="s">
        <v>8</v>
      </c>
      <c r="C6" s="9">
        <v>4599</v>
      </c>
      <c r="D6" s="9"/>
      <c r="E6" s="9"/>
      <c r="F6" s="10">
        <f t="shared" ref="F6:F11" si="0">C6*12+D6+E6</f>
        <v>55188</v>
      </c>
      <c r="G6" s="1"/>
    </row>
    <row r="7" spans="2:9" ht="15.75" thickBot="1" x14ac:dyDescent="0.3">
      <c r="B7" s="8" t="s">
        <v>9</v>
      </c>
      <c r="C7" s="9">
        <v>2100</v>
      </c>
      <c r="D7" s="9"/>
      <c r="E7" s="9"/>
      <c r="F7" s="10">
        <f t="shared" si="0"/>
        <v>25200</v>
      </c>
      <c r="G7" s="1"/>
    </row>
    <row r="8" spans="2:9" ht="15.75" thickBot="1" x14ac:dyDescent="0.3">
      <c r="B8" s="8" t="s">
        <v>10</v>
      </c>
      <c r="C8" s="9">
        <v>2300</v>
      </c>
      <c r="D8" s="9">
        <v>2400</v>
      </c>
      <c r="E8" s="9">
        <f>575*6</f>
        <v>3450</v>
      </c>
      <c r="F8" s="10">
        <f t="shared" si="0"/>
        <v>33450</v>
      </c>
      <c r="G8" s="11" t="s">
        <v>33</v>
      </c>
    </row>
    <row r="9" spans="2:9" ht="15.75" thickBot="1" x14ac:dyDescent="0.3">
      <c r="B9" s="8" t="s">
        <v>11</v>
      </c>
      <c r="C9" s="9">
        <v>380</v>
      </c>
      <c r="D9" s="9">
        <v>350</v>
      </c>
      <c r="E9" s="9">
        <f>69*4</f>
        <v>276</v>
      </c>
      <c r="F9" s="10">
        <f t="shared" si="0"/>
        <v>5186</v>
      </c>
      <c r="G9" s="125" t="s">
        <v>44</v>
      </c>
      <c r="H9" s="126"/>
      <c r="I9" s="126"/>
    </row>
    <row r="10" spans="2:9" ht="15.75" thickBot="1" x14ac:dyDescent="0.3">
      <c r="B10" s="8" t="s">
        <v>12</v>
      </c>
      <c r="C10" s="9">
        <v>2776</v>
      </c>
      <c r="D10" s="9">
        <v>2800</v>
      </c>
      <c r="E10" s="9"/>
      <c r="F10" s="10">
        <f t="shared" si="0"/>
        <v>36112</v>
      </c>
      <c r="G10" s="1"/>
    </row>
    <row r="11" spans="2:9" ht="15.75" thickBot="1" x14ac:dyDescent="0.3">
      <c r="B11" s="8" t="s">
        <v>13</v>
      </c>
      <c r="C11" s="3">
        <v>1150</v>
      </c>
      <c r="D11" s="8"/>
      <c r="E11" s="9"/>
      <c r="F11" s="10">
        <f t="shared" si="0"/>
        <v>13800</v>
      </c>
      <c r="G11" s="3"/>
    </row>
    <row r="12" spans="2:9" ht="15.75" thickBot="1" x14ac:dyDescent="0.3">
      <c r="B12" s="12" t="s">
        <v>14</v>
      </c>
      <c r="C12" s="13"/>
      <c r="D12" s="14"/>
      <c r="E12" s="14"/>
      <c r="F12" s="15">
        <f>SUM(F5:F11)</f>
        <v>255876</v>
      </c>
      <c r="G12" s="16"/>
    </row>
    <row r="13" spans="2:9" ht="33" customHeight="1" thickBot="1" x14ac:dyDescent="0.3">
      <c r="B13" s="39" t="s">
        <v>50</v>
      </c>
      <c r="C13" s="9"/>
      <c r="D13" s="9"/>
      <c r="E13" s="9"/>
      <c r="F13" s="17">
        <f>F12*(26%+2.9%+2.1%+3%+0.2%)</f>
        <v>87509.592000000019</v>
      </c>
      <c r="G13" s="1"/>
    </row>
    <row r="14" spans="2:9" ht="15.75" thickBot="1" x14ac:dyDescent="0.3">
      <c r="B14" s="8" t="s">
        <v>15</v>
      </c>
      <c r="C14" s="9"/>
      <c r="D14" s="9"/>
      <c r="E14" s="9"/>
      <c r="F14" s="32">
        <v>200</v>
      </c>
      <c r="G14" s="33">
        <f>154*12+70500*6%</f>
        <v>6078</v>
      </c>
      <c r="H14" s="34" t="s">
        <v>47</v>
      </c>
    </row>
    <row r="15" spans="2:9" ht="15.75" thickBot="1" x14ac:dyDescent="0.3">
      <c r="B15" s="8" t="s">
        <v>16</v>
      </c>
      <c r="C15" s="9"/>
      <c r="D15" s="9"/>
      <c r="E15" s="9"/>
      <c r="F15" s="10">
        <f>500*12</f>
        <v>6000</v>
      </c>
      <c r="G15" s="35">
        <f>200*12</f>
        <v>2400</v>
      </c>
      <c r="H15" s="36" t="s">
        <v>48</v>
      </c>
    </row>
    <row r="16" spans="2:9" ht="15.75" thickBot="1" x14ac:dyDescent="0.3">
      <c r="B16" s="8" t="s">
        <v>17</v>
      </c>
      <c r="C16" s="9"/>
      <c r="D16" s="9"/>
      <c r="E16" s="9"/>
      <c r="F16" s="10">
        <v>1000</v>
      </c>
      <c r="G16" s="37">
        <f>500*12</f>
        <v>6000</v>
      </c>
      <c r="H16" s="38" t="s">
        <v>49</v>
      </c>
    </row>
    <row r="17" spans="2:10" ht="15.75" thickBot="1" x14ac:dyDescent="0.3">
      <c r="B17" s="8" t="s">
        <v>18</v>
      </c>
      <c r="C17" s="9"/>
      <c r="D17" s="9"/>
      <c r="E17" s="9"/>
      <c r="F17" s="9">
        <v>800</v>
      </c>
    </row>
    <row r="18" spans="2:10" ht="15.75" thickBot="1" x14ac:dyDescent="0.3">
      <c r="B18" s="8" t="s">
        <v>40</v>
      </c>
      <c r="C18" s="9"/>
      <c r="D18" s="9"/>
      <c r="E18" s="9"/>
      <c r="F18" s="10">
        <v>6000</v>
      </c>
    </row>
    <row r="19" spans="2:10" ht="15.75" thickBot="1" x14ac:dyDescent="0.3">
      <c r="B19" s="18" t="s">
        <v>19</v>
      </c>
      <c r="C19" s="9"/>
      <c r="D19" s="9"/>
      <c r="E19" s="9"/>
      <c r="F19" s="10">
        <v>2000</v>
      </c>
    </row>
    <row r="20" spans="2:10" ht="15.75" thickBot="1" x14ac:dyDescent="0.3">
      <c r="B20" s="8" t="s">
        <v>20</v>
      </c>
      <c r="C20" s="9"/>
      <c r="D20" s="9"/>
      <c r="E20" s="9"/>
      <c r="F20" s="10">
        <v>3360</v>
      </c>
      <c r="G20" s="40" t="s">
        <v>35</v>
      </c>
      <c r="H20" s="41"/>
      <c r="I20" s="41"/>
      <c r="J20" s="34"/>
    </row>
    <row r="21" spans="2:10" ht="15.75" thickBot="1" x14ac:dyDescent="0.3">
      <c r="B21" s="8" t="s">
        <v>56</v>
      </c>
      <c r="C21" s="9"/>
      <c r="D21" s="9"/>
      <c r="E21" s="9"/>
      <c r="F21" s="10">
        <f>1200+1400</f>
        <v>2600</v>
      </c>
      <c r="G21" s="42" t="s">
        <v>34</v>
      </c>
      <c r="H21" s="43"/>
      <c r="I21" s="43"/>
      <c r="J21" s="36"/>
    </row>
    <row r="22" spans="2:10" ht="15.75" thickBot="1" x14ac:dyDescent="0.3">
      <c r="B22" s="8" t="s">
        <v>23</v>
      </c>
      <c r="C22" s="9"/>
      <c r="D22" s="9"/>
      <c r="E22" s="9"/>
      <c r="F22" s="9">
        <v>1000</v>
      </c>
      <c r="G22" s="42" t="s">
        <v>21</v>
      </c>
      <c r="H22" s="43"/>
      <c r="I22" s="43"/>
      <c r="J22" s="36"/>
    </row>
    <row r="23" spans="2:10" ht="15.75" thickBot="1" x14ac:dyDescent="0.3">
      <c r="B23" s="8" t="s">
        <v>25</v>
      </c>
      <c r="C23" s="9"/>
      <c r="D23" s="9"/>
      <c r="E23" s="9"/>
      <c r="F23" s="32">
        <f>500+800+600+4200</f>
        <v>6100</v>
      </c>
      <c r="G23" s="42" t="s">
        <v>22</v>
      </c>
      <c r="H23" s="43"/>
      <c r="I23" s="43"/>
      <c r="J23" s="36"/>
    </row>
    <row r="24" spans="2:10" ht="15.75" thickBot="1" x14ac:dyDescent="0.3">
      <c r="B24" s="8" t="s">
        <v>26</v>
      </c>
      <c r="C24" s="9"/>
      <c r="D24" s="9"/>
      <c r="E24" s="9"/>
      <c r="F24" s="10">
        <v>1000</v>
      </c>
      <c r="G24" s="44" t="s">
        <v>24</v>
      </c>
      <c r="H24" s="45"/>
      <c r="I24" s="45"/>
      <c r="J24" s="38"/>
    </row>
    <row r="25" spans="2:10" ht="16.5" thickBot="1" x14ac:dyDescent="0.3">
      <c r="B25" s="8" t="s">
        <v>27</v>
      </c>
      <c r="C25" s="9"/>
      <c r="D25" s="9"/>
      <c r="E25" s="9"/>
      <c r="F25" s="9">
        <v>500</v>
      </c>
      <c r="G25" s="19"/>
    </row>
    <row r="26" spans="2:10" ht="15.75" thickBot="1" x14ac:dyDescent="0.3">
      <c r="B26" s="8" t="s">
        <v>28</v>
      </c>
      <c r="C26" s="9"/>
      <c r="D26" s="9"/>
      <c r="E26" s="9"/>
      <c r="F26" s="10">
        <v>6000</v>
      </c>
      <c r="G26" s="40" t="s">
        <v>30</v>
      </c>
      <c r="H26" s="41"/>
      <c r="I26" s="41"/>
      <c r="J26" s="34"/>
    </row>
    <row r="27" spans="2:10" ht="15.75" thickBot="1" x14ac:dyDescent="0.3">
      <c r="B27" s="8" t="s">
        <v>36</v>
      </c>
      <c r="C27" s="9"/>
      <c r="D27" s="9"/>
      <c r="E27" s="26"/>
      <c r="F27" s="10">
        <v>25000</v>
      </c>
      <c r="G27" s="42" t="s">
        <v>57</v>
      </c>
      <c r="H27" s="43"/>
      <c r="I27" s="43"/>
      <c r="J27" s="36"/>
    </row>
    <row r="28" spans="2:10" ht="15.75" thickBot="1" x14ac:dyDescent="0.3">
      <c r="B28" s="20" t="s">
        <v>31</v>
      </c>
      <c r="C28" s="21"/>
      <c r="D28" s="21"/>
      <c r="E28" s="22"/>
      <c r="F28" s="47">
        <v>90000</v>
      </c>
      <c r="G28" s="42" t="s">
        <v>52</v>
      </c>
      <c r="H28" s="43"/>
      <c r="I28" s="43"/>
      <c r="J28" s="36"/>
    </row>
    <row r="29" spans="2:10" ht="15.75" thickBot="1" x14ac:dyDescent="0.3">
      <c r="B29" s="23" t="s">
        <v>38</v>
      </c>
      <c r="C29" s="22"/>
      <c r="D29" s="22"/>
      <c r="E29" s="22"/>
      <c r="F29" s="46">
        <f>SUM(F12:F28)</f>
        <v>494945.592</v>
      </c>
    </row>
    <row r="30" spans="2:10" ht="12" customHeight="1" x14ac:dyDescent="0.25">
      <c r="B30" s="5"/>
      <c r="C30" t="s">
        <v>54</v>
      </c>
      <c r="F30" s="48">
        <f>(F29/4106.15)/12</f>
        <v>10.044802552269159</v>
      </c>
    </row>
    <row r="31" spans="2:10" ht="15.75" thickBot="1" x14ac:dyDescent="0.3">
      <c r="B31" s="8" t="s">
        <v>29</v>
      </c>
      <c r="C31" s="9">
        <v>1.22</v>
      </c>
      <c r="D31" s="9"/>
      <c r="E31" s="9"/>
      <c r="F31" s="10">
        <v>60000</v>
      </c>
      <c r="G31" s="48"/>
    </row>
    <row r="32" spans="2:10" ht="15.75" thickBot="1" x14ac:dyDescent="0.3">
      <c r="B32" s="8" t="s">
        <v>51</v>
      </c>
      <c r="C32" s="9">
        <v>1.43</v>
      </c>
      <c r="D32" s="9"/>
      <c r="E32" s="9"/>
      <c r="F32" s="10">
        <f>192.97*365</f>
        <v>70434.05</v>
      </c>
      <c r="G32" s="48"/>
    </row>
    <row r="33" spans="2:11" ht="26.25" x14ac:dyDescent="0.4">
      <c r="B33" s="24" t="s">
        <v>55</v>
      </c>
    </row>
    <row r="34" spans="2:11" ht="18.75" x14ac:dyDescent="0.3">
      <c r="B34" s="25" t="s">
        <v>32</v>
      </c>
    </row>
    <row r="43" spans="2:11" x14ac:dyDescent="0.25">
      <c r="I43" t="s">
        <v>43</v>
      </c>
    </row>
    <row r="44" spans="2:11" x14ac:dyDescent="0.25">
      <c r="G44" s="29">
        <v>0.13</v>
      </c>
      <c r="H44" t="s">
        <v>42</v>
      </c>
      <c r="I44" s="29">
        <v>0.13</v>
      </c>
      <c r="J44" t="s">
        <v>42</v>
      </c>
    </row>
    <row r="45" spans="2:11" x14ac:dyDescent="0.25">
      <c r="B45" s="27" t="s">
        <v>7</v>
      </c>
      <c r="C45" s="27">
        <v>6900</v>
      </c>
      <c r="D45" s="27">
        <v>6900</v>
      </c>
      <c r="E45" s="28">
        <f t="shared" ref="E45:E46" si="1">D45*5%+D45</f>
        <v>7245</v>
      </c>
      <c r="F45" s="27"/>
      <c r="G45" s="30">
        <f>E45*13%</f>
        <v>941.85</v>
      </c>
      <c r="H45" s="31">
        <f t="shared" ref="H45:H51" si="2">E45-G45</f>
        <v>6303.15</v>
      </c>
    </row>
    <row r="46" spans="2:11" x14ac:dyDescent="0.25">
      <c r="B46" s="27" t="s">
        <v>8</v>
      </c>
      <c r="C46" s="27">
        <v>4104</v>
      </c>
      <c r="D46" s="27">
        <v>4380</v>
      </c>
      <c r="E46" s="28">
        <f t="shared" si="1"/>
        <v>4599</v>
      </c>
      <c r="F46" s="27"/>
      <c r="G46" s="30">
        <f t="shared" ref="G46:G51" si="3">E46*13%</f>
        <v>597.87</v>
      </c>
      <c r="H46" s="31">
        <f t="shared" si="2"/>
        <v>4001.13</v>
      </c>
    </row>
    <row r="47" spans="2:11" x14ac:dyDescent="0.25">
      <c r="B47" s="27" t="s">
        <v>9</v>
      </c>
      <c r="C47" s="27">
        <v>2874</v>
      </c>
      <c r="D47" s="27">
        <v>2874</v>
      </c>
      <c r="E47" s="28">
        <v>2300</v>
      </c>
      <c r="F47" s="27"/>
      <c r="G47" s="30">
        <f t="shared" si="3"/>
        <v>299</v>
      </c>
      <c r="H47" s="31">
        <f t="shared" si="2"/>
        <v>2001</v>
      </c>
    </row>
    <row r="48" spans="2:11" x14ac:dyDescent="0.25">
      <c r="B48" s="27" t="s">
        <v>10</v>
      </c>
      <c r="C48" s="27">
        <v>2300</v>
      </c>
      <c r="D48" s="27">
        <v>2300</v>
      </c>
      <c r="E48" s="28">
        <v>2300</v>
      </c>
      <c r="F48" s="27">
        <v>575</v>
      </c>
      <c r="G48" s="30">
        <f t="shared" si="3"/>
        <v>299</v>
      </c>
      <c r="H48" s="31">
        <f t="shared" si="2"/>
        <v>2001</v>
      </c>
      <c r="I48" s="30">
        <f>F48*13%</f>
        <v>74.75</v>
      </c>
      <c r="J48" s="30">
        <f>F48-I48</f>
        <v>500.25</v>
      </c>
      <c r="K48" s="30" t="s">
        <v>45</v>
      </c>
    </row>
    <row r="49" spans="2:11" x14ac:dyDescent="0.25">
      <c r="B49" s="27" t="s">
        <v>12</v>
      </c>
      <c r="C49" s="27">
        <v>2300</v>
      </c>
      <c r="D49" s="27">
        <v>2644</v>
      </c>
      <c r="E49" s="28">
        <f>D49*5%+D49-0.2</f>
        <v>2776</v>
      </c>
      <c r="F49" s="27"/>
      <c r="G49" s="30">
        <f t="shared" si="3"/>
        <v>360.88</v>
      </c>
      <c r="H49" s="31">
        <f t="shared" si="2"/>
        <v>2415.12</v>
      </c>
    </row>
    <row r="50" spans="2:11" x14ac:dyDescent="0.25">
      <c r="B50" s="27" t="s">
        <v>41</v>
      </c>
      <c r="C50" s="27"/>
      <c r="D50" s="27">
        <v>345</v>
      </c>
      <c r="E50" s="28">
        <v>380</v>
      </c>
      <c r="F50" s="27">
        <v>69</v>
      </c>
      <c r="G50" s="30">
        <f t="shared" si="3"/>
        <v>49.4</v>
      </c>
      <c r="H50" s="31">
        <f t="shared" si="2"/>
        <v>330.6</v>
      </c>
      <c r="I50" s="30">
        <f>F50*13%</f>
        <v>8.9700000000000006</v>
      </c>
      <c r="J50" s="30">
        <f>F50-I50</f>
        <v>60.03</v>
      </c>
      <c r="K50" s="30" t="s">
        <v>46</v>
      </c>
    </row>
    <row r="51" spans="2:11" x14ac:dyDescent="0.25">
      <c r="B51" s="27" t="s">
        <v>13</v>
      </c>
      <c r="C51" s="27"/>
      <c r="D51" s="27">
        <v>1150</v>
      </c>
      <c r="E51" s="28">
        <v>1150</v>
      </c>
      <c r="F51" s="27"/>
      <c r="G51" s="30">
        <f t="shared" si="3"/>
        <v>149.5</v>
      </c>
      <c r="H51" s="31">
        <f t="shared" si="2"/>
        <v>1000.5</v>
      </c>
    </row>
  </sheetData>
  <mergeCells count="1">
    <mergeCell ref="G9:I9"/>
  </mergeCells>
  <pageMargins left="1.01" right="0" top="0" bottom="0.16" header="0.21" footer="0.19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opLeftCell="A7" workbookViewId="0">
      <selection activeCell="B39" sqref="B39"/>
    </sheetView>
  </sheetViews>
  <sheetFormatPr defaultRowHeight="15" x14ac:dyDescent="0.25"/>
  <cols>
    <col min="1" max="1" width="3.5703125" customWidth="1"/>
    <col min="2" max="2" width="57.7109375" customWidth="1"/>
    <col min="3" max="3" width="9.28515625" bestFit="1" customWidth="1"/>
    <col min="4" max="5" width="11.28515625" customWidth="1"/>
    <col min="6" max="6" width="13.42578125" customWidth="1"/>
    <col min="7" max="7" width="20" customWidth="1"/>
    <col min="8" max="9" width="1.42578125" hidden="1" customWidth="1"/>
    <col min="10" max="10" width="1.28515625" hidden="1" customWidth="1"/>
    <col min="11" max="11" width="0.140625" hidden="1" customWidth="1"/>
    <col min="12" max="12" width="5.5703125" hidden="1" customWidth="1"/>
    <col min="13" max="13" width="0" hidden="1" customWidth="1"/>
    <col min="14" max="14" width="3.140625" customWidth="1"/>
    <col min="15" max="15" width="0" hidden="1" customWidth="1"/>
  </cols>
  <sheetData>
    <row r="1" spans="2:8" ht="30.75" x14ac:dyDescent="0.25">
      <c r="B1" s="51" t="s">
        <v>58</v>
      </c>
      <c r="C1" s="81">
        <f>F24</f>
        <v>11.483408368954064</v>
      </c>
      <c r="D1" s="52" t="s">
        <v>0</v>
      </c>
      <c r="E1" s="53">
        <v>4129.1499999999996</v>
      </c>
      <c r="F1" s="54">
        <f>C1*E1*12</f>
        <v>569000.58799999999</v>
      </c>
      <c r="G1" s="1"/>
    </row>
    <row r="2" spans="2:8" ht="15.75" x14ac:dyDescent="0.25">
      <c r="B2" s="55" t="s">
        <v>1</v>
      </c>
      <c r="C2" s="56"/>
      <c r="D2" s="52"/>
      <c r="E2" s="52"/>
      <c r="F2" s="52"/>
      <c r="G2" s="3"/>
    </row>
    <row r="3" spans="2:8" ht="16.5" thickBot="1" x14ac:dyDescent="0.3">
      <c r="B3" s="55" t="s">
        <v>37</v>
      </c>
      <c r="C3" s="52"/>
      <c r="D3" s="52"/>
      <c r="E3" s="52"/>
      <c r="F3" s="52"/>
      <c r="G3" s="3"/>
    </row>
    <row r="4" spans="2:8" ht="16.5" thickBot="1" x14ac:dyDescent="0.3">
      <c r="B4" s="57" t="s">
        <v>2</v>
      </c>
      <c r="C4" s="58" t="s">
        <v>3</v>
      </c>
      <c r="D4" s="58" t="s">
        <v>4</v>
      </c>
      <c r="E4" s="58" t="s">
        <v>5</v>
      </c>
      <c r="F4" s="58" t="s">
        <v>6</v>
      </c>
      <c r="G4" s="1"/>
    </row>
    <row r="5" spans="2:8" ht="16.5" thickBot="1" x14ac:dyDescent="0.3">
      <c r="B5" s="59" t="s">
        <v>7</v>
      </c>
      <c r="C5" s="60">
        <f>7245+1150</f>
        <v>8395</v>
      </c>
      <c r="D5" s="60"/>
      <c r="E5" s="60"/>
      <c r="F5" s="61">
        <f t="shared" ref="F5:F11" si="0">C5*12+D5+E5</f>
        <v>100740</v>
      </c>
      <c r="G5" s="1"/>
    </row>
    <row r="6" spans="2:8" ht="16.5" thickBot="1" x14ac:dyDescent="0.3">
      <c r="B6" s="59" t="s">
        <v>8</v>
      </c>
      <c r="C6" s="60">
        <f>4599+115</f>
        <v>4714</v>
      </c>
      <c r="D6" s="60"/>
      <c r="E6" s="60"/>
      <c r="F6" s="61">
        <f t="shared" si="0"/>
        <v>56568</v>
      </c>
      <c r="G6" s="1"/>
    </row>
    <row r="7" spans="2:8" ht="16.5" thickBot="1" x14ac:dyDescent="0.3">
      <c r="B7" s="59" t="s">
        <v>9</v>
      </c>
      <c r="C7" s="60">
        <v>1150</v>
      </c>
      <c r="D7" s="60"/>
      <c r="E7" s="60"/>
      <c r="F7" s="61">
        <f t="shared" si="0"/>
        <v>13800</v>
      </c>
      <c r="G7" s="1"/>
    </row>
    <row r="8" spans="2:8" ht="23.25" customHeight="1" thickBot="1" x14ac:dyDescent="0.3">
      <c r="B8" s="59" t="s">
        <v>10</v>
      </c>
      <c r="C8" s="60">
        <f>2300+115</f>
        <v>2415</v>
      </c>
      <c r="D8" s="60">
        <v>2890</v>
      </c>
      <c r="E8" s="60">
        <f>952*6</f>
        <v>5712</v>
      </c>
      <c r="F8" s="61">
        <f t="shared" si="0"/>
        <v>37582</v>
      </c>
      <c r="G8" s="125" t="s">
        <v>84</v>
      </c>
      <c r="H8" s="126"/>
    </row>
    <row r="9" spans="2:8" ht="16.5" thickBot="1" x14ac:dyDescent="0.3">
      <c r="B9" s="59" t="s">
        <v>11</v>
      </c>
      <c r="C9" s="60">
        <v>431</v>
      </c>
      <c r="D9" s="60">
        <v>430</v>
      </c>
      <c r="E9" s="60"/>
      <c r="F9" s="61">
        <f>C9*12+D9+E9</f>
        <v>5602</v>
      </c>
      <c r="G9" s="125"/>
      <c r="H9" s="126"/>
    </row>
    <row r="10" spans="2:8" ht="16.5" thickBot="1" x14ac:dyDescent="0.3">
      <c r="B10" s="59" t="s">
        <v>12</v>
      </c>
      <c r="C10" s="60">
        <f>2776+115</f>
        <v>2891</v>
      </c>
      <c r="D10" s="60">
        <v>2890</v>
      </c>
      <c r="E10" s="60"/>
      <c r="F10" s="61">
        <f t="shared" si="0"/>
        <v>37582</v>
      </c>
      <c r="G10" s="1"/>
    </row>
    <row r="11" spans="2:8" ht="16.5" thickBot="1" x14ac:dyDescent="0.3">
      <c r="B11" s="59" t="s">
        <v>13</v>
      </c>
      <c r="C11" s="52">
        <v>1150</v>
      </c>
      <c r="D11" s="62"/>
      <c r="E11" s="60"/>
      <c r="F11" s="61">
        <f t="shared" si="0"/>
        <v>13800</v>
      </c>
      <c r="G11" s="3"/>
    </row>
    <row r="12" spans="2:8" ht="16.5" thickBot="1" x14ac:dyDescent="0.3">
      <c r="B12" s="63" t="s">
        <v>14</v>
      </c>
      <c r="C12" s="64"/>
      <c r="D12" s="65"/>
      <c r="E12" s="65"/>
      <c r="F12" s="66">
        <f>SUM(F5:F11)</f>
        <v>265674</v>
      </c>
      <c r="G12" s="16"/>
    </row>
    <row r="13" spans="2:8" ht="16.5" thickBot="1" x14ac:dyDescent="0.3">
      <c r="B13" s="67" t="s">
        <v>62</v>
      </c>
      <c r="C13" s="60"/>
      <c r="D13" s="60"/>
      <c r="E13" s="60"/>
      <c r="F13" s="68">
        <f>F12*(18%+2.9%+5.1%+0.2%)</f>
        <v>69606.588000000003</v>
      </c>
      <c r="G13" s="1"/>
    </row>
    <row r="14" spans="2:8" ht="16.5" thickBot="1" x14ac:dyDescent="0.3">
      <c r="B14" s="59" t="s">
        <v>63</v>
      </c>
      <c r="C14" s="60"/>
      <c r="D14" s="60"/>
      <c r="E14" s="60"/>
      <c r="F14" s="69">
        <v>300</v>
      </c>
      <c r="G14" s="70"/>
      <c r="H14" s="34"/>
    </row>
    <row r="15" spans="2:8" ht="16.5" thickBot="1" x14ac:dyDescent="0.3">
      <c r="B15" s="59" t="s">
        <v>74</v>
      </c>
      <c r="C15" s="60"/>
      <c r="D15" s="60"/>
      <c r="E15" s="60"/>
      <c r="F15" s="72">
        <f>600*12</f>
        <v>7200</v>
      </c>
    </row>
    <row r="16" spans="2:8" ht="16.5" thickBot="1" x14ac:dyDescent="0.3">
      <c r="B16" s="59" t="s">
        <v>19</v>
      </c>
      <c r="C16" s="60"/>
      <c r="D16" s="60"/>
      <c r="E16" s="60"/>
      <c r="F16" s="72"/>
    </row>
    <row r="17" spans="2:9" ht="16.5" thickBot="1" x14ac:dyDescent="0.3">
      <c r="B17" s="59" t="s">
        <v>25</v>
      </c>
      <c r="C17" s="60"/>
      <c r="D17" s="60"/>
      <c r="E17" s="60"/>
      <c r="F17" s="69">
        <v>5000</v>
      </c>
      <c r="G17" s="88" t="s">
        <v>75</v>
      </c>
      <c r="H17" s="70"/>
      <c r="I17" s="70"/>
    </row>
    <row r="18" spans="2:9" ht="16.5" thickBot="1" x14ac:dyDescent="0.3">
      <c r="B18" s="59" t="s">
        <v>80</v>
      </c>
      <c r="C18" s="60"/>
      <c r="D18" s="60"/>
      <c r="E18" s="60"/>
      <c r="F18" s="71">
        <v>50000</v>
      </c>
      <c r="G18" s="89" t="s">
        <v>76</v>
      </c>
      <c r="H18" s="70"/>
      <c r="I18" s="70"/>
    </row>
    <row r="19" spans="2:9" ht="16.5" thickBot="1" x14ac:dyDescent="0.3">
      <c r="B19" s="59" t="s">
        <v>27</v>
      </c>
      <c r="C19" s="60"/>
      <c r="D19" s="60"/>
      <c r="E19" s="60"/>
      <c r="F19" s="86">
        <v>400</v>
      </c>
      <c r="G19" s="89" t="s">
        <v>77</v>
      </c>
      <c r="H19" s="70"/>
      <c r="I19" s="70"/>
    </row>
    <row r="20" spans="2:9" ht="16.5" thickBot="1" x14ac:dyDescent="0.3">
      <c r="B20" s="59" t="s">
        <v>28</v>
      </c>
      <c r="C20" s="60"/>
      <c r="D20" s="60"/>
      <c r="E20" s="60"/>
      <c r="F20" s="71">
        <v>6000</v>
      </c>
      <c r="G20" s="90" t="s">
        <v>78</v>
      </c>
      <c r="H20" s="70"/>
      <c r="I20" s="70"/>
    </row>
    <row r="21" spans="2:9" ht="31.5" thickBot="1" x14ac:dyDescent="0.3">
      <c r="B21" s="67" t="s">
        <v>79</v>
      </c>
      <c r="C21" s="60"/>
      <c r="D21" s="60"/>
      <c r="E21" s="73"/>
      <c r="F21" s="71">
        <v>145000</v>
      </c>
      <c r="G21" s="82"/>
      <c r="H21" s="70"/>
      <c r="I21" s="70"/>
    </row>
    <row r="22" spans="2:9" ht="25.5" thickBot="1" x14ac:dyDescent="0.3">
      <c r="B22" s="83" t="s">
        <v>31</v>
      </c>
      <c r="C22" s="84"/>
      <c r="D22" s="84"/>
      <c r="E22" s="85"/>
      <c r="F22" s="91">
        <v>19820</v>
      </c>
      <c r="G22" s="92" t="s">
        <v>86</v>
      </c>
    </row>
    <row r="23" spans="2:9" ht="16.5" thickBot="1" x14ac:dyDescent="0.3">
      <c r="B23" s="75" t="s">
        <v>38</v>
      </c>
      <c r="C23" s="74"/>
      <c r="D23" s="74"/>
      <c r="E23" s="74"/>
      <c r="F23" s="76">
        <f>SUM(F12:F22)</f>
        <v>569000.58799999999</v>
      </c>
      <c r="G23" s="87"/>
      <c r="H23" s="70"/>
      <c r="I23" s="70"/>
    </row>
    <row r="24" spans="2:9" ht="23.25" customHeight="1" x14ac:dyDescent="0.25">
      <c r="B24" s="5"/>
      <c r="C24" s="105" t="s">
        <v>54</v>
      </c>
      <c r="D24" s="105"/>
      <c r="E24" s="105"/>
      <c r="F24" s="106">
        <f>(F23/E1)/12</f>
        <v>11.483408368954064</v>
      </c>
      <c r="G24" s="82"/>
      <c r="H24" s="70"/>
      <c r="I24" s="70"/>
    </row>
    <row r="25" spans="2:9" ht="15.75" x14ac:dyDescent="0.25">
      <c r="B25" s="101" t="s">
        <v>29</v>
      </c>
      <c r="C25" s="102">
        <f>F25/E1/12</f>
        <v>1.331993267379485</v>
      </c>
      <c r="D25" s="103"/>
      <c r="E25" s="103"/>
      <c r="F25" s="104">
        <f>5500*12</f>
        <v>66000</v>
      </c>
      <c r="G25" s="127" t="s">
        <v>81</v>
      </c>
      <c r="H25" s="128"/>
      <c r="I25" s="70"/>
    </row>
    <row r="26" spans="2:9" ht="21.75" customHeight="1" x14ac:dyDescent="0.25">
      <c r="B26" s="101" t="s">
        <v>59</v>
      </c>
      <c r="C26" s="102">
        <f>F26/E1/12</f>
        <v>1.824427141986446</v>
      </c>
      <c r="D26" s="103"/>
      <c r="E26" s="103"/>
      <c r="F26" s="104">
        <f>90400</f>
        <v>90400</v>
      </c>
      <c r="G26" s="127"/>
      <c r="H26" s="128"/>
      <c r="I26" s="70"/>
    </row>
    <row r="27" spans="2:9" ht="15.75" x14ac:dyDescent="0.25">
      <c r="B27" s="93"/>
      <c r="C27" s="94"/>
      <c r="D27" s="95"/>
      <c r="E27" s="95"/>
      <c r="F27" s="96"/>
      <c r="G27" s="82"/>
      <c r="H27" s="70"/>
      <c r="I27" s="70"/>
    </row>
    <row r="28" spans="2:9" ht="6.75" customHeight="1" x14ac:dyDescent="0.25"/>
    <row r="29" spans="2:9" ht="21" customHeight="1" x14ac:dyDescent="0.25">
      <c r="B29" s="98" t="s">
        <v>83</v>
      </c>
      <c r="C29" s="97"/>
    </row>
    <row r="30" spans="2:9" x14ac:dyDescent="0.25">
      <c r="B30" s="99" t="s">
        <v>47</v>
      </c>
      <c r="C30" s="99">
        <f>3600+1500</f>
        <v>5100</v>
      </c>
    </row>
    <row r="31" spans="2:9" x14ac:dyDescent="0.25">
      <c r="B31" s="99" t="s">
        <v>64</v>
      </c>
      <c r="C31" s="99">
        <f>500*12</f>
        <v>6000</v>
      </c>
    </row>
    <row r="32" spans="2:9" x14ac:dyDescent="0.25">
      <c r="B32" s="99" t="s">
        <v>65</v>
      </c>
      <c r="C32" s="99">
        <v>4800</v>
      </c>
    </row>
    <row r="33" spans="2:10" x14ac:dyDescent="0.25">
      <c r="B33" s="99" t="s">
        <v>66</v>
      </c>
      <c r="C33" s="99">
        <f>200*12</f>
        <v>2400</v>
      </c>
    </row>
    <row r="34" spans="2:10" x14ac:dyDescent="0.25">
      <c r="B34" s="99" t="s">
        <v>48</v>
      </c>
      <c r="C34" s="99">
        <f>100*12</f>
        <v>1200</v>
      </c>
    </row>
    <row r="35" spans="2:10" x14ac:dyDescent="0.25">
      <c r="B35" s="99" t="s">
        <v>14</v>
      </c>
      <c r="C35" s="99">
        <f>SUM(C30:C34)</f>
        <v>19500</v>
      </c>
    </row>
    <row r="36" spans="2:10" x14ac:dyDescent="0.25">
      <c r="B36" s="97"/>
      <c r="C36" s="97"/>
    </row>
    <row r="37" spans="2:10" x14ac:dyDescent="0.25">
      <c r="B37" s="98" t="s">
        <v>67</v>
      </c>
      <c r="C37" s="97"/>
    </row>
    <row r="38" spans="2:10" x14ac:dyDescent="0.25">
      <c r="B38" s="99" t="s">
        <v>68</v>
      </c>
      <c r="C38" s="99">
        <f>12*157</f>
        <v>1884</v>
      </c>
    </row>
    <row r="39" spans="2:10" x14ac:dyDescent="0.25">
      <c r="B39" s="99" t="s">
        <v>69</v>
      </c>
      <c r="C39" s="99">
        <f>100*12</f>
        <v>1200</v>
      </c>
    </row>
    <row r="40" spans="2:10" x14ac:dyDescent="0.25">
      <c r="B40" s="99" t="s">
        <v>70</v>
      </c>
      <c r="C40" s="99">
        <v>1000</v>
      </c>
    </row>
    <row r="41" spans="2:10" x14ac:dyDescent="0.25">
      <c r="B41" s="99" t="s">
        <v>71</v>
      </c>
      <c r="C41" s="99">
        <v>1200</v>
      </c>
    </row>
    <row r="42" spans="2:10" x14ac:dyDescent="0.25">
      <c r="B42" s="99" t="s">
        <v>16</v>
      </c>
      <c r="C42" s="99">
        <v>7500</v>
      </c>
    </row>
    <row r="43" spans="2:10" x14ac:dyDescent="0.25">
      <c r="B43" s="100" t="s">
        <v>82</v>
      </c>
      <c r="C43" s="99">
        <f>280*12</f>
        <v>3360</v>
      </c>
      <c r="J43" s="30"/>
    </row>
    <row r="44" spans="2:10" x14ac:dyDescent="0.25">
      <c r="B44" s="99" t="s">
        <v>72</v>
      </c>
      <c r="C44" s="99">
        <f>200*4</f>
        <v>800</v>
      </c>
    </row>
    <row r="45" spans="2:10" x14ac:dyDescent="0.25">
      <c r="B45" s="99" t="s">
        <v>73</v>
      </c>
      <c r="C45" s="99">
        <v>1500</v>
      </c>
      <c r="J45" s="30"/>
    </row>
    <row r="46" spans="2:10" x14ac:dyDescent="0.25">
      <c r="B46" s="99" t="s">
        <v>14</v>
      </c>
      <c r="C46" s="99">
        <f>SUM(C38:C45)</f>
        <v>18444</v>
      </c>
    </row>
    <row r="48" spans="2:10" ht="54.75" customHeight="1" thickBot="1" x14ac:dyDescent="0.45">
      <c r="B48" s="129" t="s">
        <v>85</v>
      </c>
      <c r="C48" s="129"/>
      <c r="D48" s="129"/>
      <c r="E48" s="129"/>
      <c r="F48" s="129"/>
      <c r="G48" s="129"/>
    </row>
    <row r="49" spans="2:7" ht="21" thickBot="1" x14ac:dyDescent="0.35">
      <c r="B49" s="77" t="s">
        <v>60</v>
      </c>
      <c r="C49" s="78"/>
    </row>
    <row r="50" spans="2:7" ht="17.25" customHeight="1" thickBot="1" x14ac:dyDescent="0.4">
      <c r="B50" s="79"/>
    </row>
    <row r="51" spans="2:7" ht="21.75" thickBot="1" x14ac:dyDescent="0.4">
      <c r="B51" s="80" t="s">
        <v>61</v>
      </c>
      <c r="C51" s="78"/>
      <c r="G51" s="48"/>
    </row>
  </sheetData>
  <mergeCells count="4">
    <mergeCell ref="G9:H9"/>
    <mergeCell ref="G25:H26"/>
    <mergeCell ref="G8:H8"/>
    <mergeCell ref="B48:G48"/>
  </mergeCells>
  <pageMargins left="0.15748031496062992" right="0.19685039370078741" top="0.31496062992125984" bottom="0.35433070866141736" header="0.31496062992125984" footer="0.15748031496062992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51"/>
  <sheetViews>
    <sheetView workbookViewId="0">
      <selection sqref="A1:XFD1048576"/>
    </sheetView>
  </sheetViews>
  <sheetFormatPr defaultRowHeight="15" x14ac:dyDescent="0.25"/>
  <cols>
    <col min="1" max="1" width="3.5703125" customWidth="1"/>
    <col min="2" max="2" width="48.7109375" customWidth="1"/>
    <col min="3" max="3" width="9.28515625" bestFit="1" customWidth="1"/>
    <col min="4" max="4" width="11.28515625" customWidth="1"/>
    <col min="5" max="5" width="10.5703125" customWidth="1"/>
    <col min="6" max="6" width="13.42578125" customWidth="1"/>
  </cols>
  <sheetData>
    <row r="1" spans="2:6" ht="21.75" customHeight="1" x14ac:dyDescent="0.25">
      <c r="B1" s="130" t="s">
        <v>87</v>
      </c>
      <c r="C1" s="130"/>
      <c r="D1" s="130"/>
      <c r="E1" s="130"/>
      <c r="F1" s="130"/>
    </row>
    <row r="2" spans="2:6" ht="21.75" customHeight="1" x14ac:dyDescent="0.25">
      <c r="B2" s="119" t="s">
        <v>91</v>
      </c>
      <c r="C2" s="119"/>
      <c r="D2" s="119"/>
      <c r="E2" s="119"/>
      <c r="F2" s="119"/>
    </row>
    <row r="3" spans="2:6" ht="15.75" x14ac:dyDescent="0.25">
      <c r="B3" s="55" t="s">
        <v>1</v>
      </c>
      <c r="C3" s="50">
        <f>F26</f>
        <v>14.7000000401927</v>
      </c>
      <c r="D3" s="52" t="s">
        <v>0</v>
      </c>
      <c r="E3" s="53">
        <v>4146.6899999999996</v>
      </c>
      <c r="F3" s="54">
        <f>C3*E3*12</f>
        <v>731476.1179999999</v>
      </c>
    </row>
    <row r="4" spans="2:6" ht="16.5" thickBot="1" x14ac:dyDescent="0.3">
      <c r="B4" s="55" t="s">
        <v>37</v>
      </c>
      <c r="C4" s="52"/>
      <c r="D4" s="52"/>
      <c r="E4" s="52"/>
      <c r="F4" s="52"/>
    </row>
    <row r="5" spans="2:6" ht="16.5" thickBot="1" x14ac:dyDescent="0.3">
      <c r="B5" s="57" t="s">
        <v>2</v>
      </c>
      <c r="C5" s="58" t="s">
        <v>3</v>
      </c>
      <c r="D5" s="58" t="s">
        <v>4</v>
      </c>
      <c r="E5" s="58" t="s">
        <v>5</v>
      </c>
      <c r="F5" s="58" t="s">
        <v>6</v>
      </c>
    </row>
    <row r="6" spans="2:6" ht="16.5" thickBot="1" x14ac:dyDescent="0.3">
      <c r="B6" s="59" t="s">
        <v>7</v>
      </c>
      <c r="C6" s="107">
        <v>9654</v>
      </c>
      <c r="D6" s="60"/>
      <c r="E6" s="60"/>
      <c r="F6" s="61">
        <f t="shared" ref="F6:F12" si="0">C6*12+D6+E6</f>
        <v>115848</v>
      </c>
    </row>
    <row r="7" spans="2:6" ht="16.5" thickBot="1" x14ac:dyDescent="0.3">
      <c r="B7" s="59" t="s">
        <v>8</v>
      </c>
      <c r="C7" s="60">
        <v>5421</v>
      </c>
      <c r="D7" s="60"/>
      <c r="E7" s="60"/>
      <c r="F7" s="61">
        <f t="shared" si="0"/>
        <v>65052</v>
      </c>
    </row>
    <row r="8" spans="2:6" ht="16.5" thickBot="1" x14ac:dyDescent="0.3">
      <c r="B8" s="59" t="s">
        <v>9</v>
      </c>
      <c r="C8" s="60">
        <v>1323</v>
      </c>
      <c r="D8" s="60"/>
      <c r="E8" s="60"/>
      <c r="F8" s="61">
        <f t="shared" si="0"/>
        <v>15876</v>
      </c>
    </row>
    <row r="9" spans="2:6" ht="16.5" thickBot="1" x14ac:dyDescent="0.3">
      <c r="B9" s="59" t="s">
        <v>102</v>
      </c>
      <c r="C9" s="60">
        <v>2777</v>
      </c>
      <c r="D9" s="60">
        <v>2890</v>
      </c>
      <c r="E9" s="60">
        <f>F11-(C9*12+D9)</f>
        <v>6886</v>
      </c>
      <c r="F9" s="61">
        <f t="shared" si="0"/>
        <v>43100</v>
      </c>
    </row>
    <row r="10" spans="2:6" ht="16.5" thickBot="1" x14ac:dyDescent="0.3">
      <c r="B10" s="59" t="s">
        <v>11</v>
      </c>
      <c r="C10" s="60">
        <v>496</v>
      </c>
      <c r="D10" s="60">
        <v>480</v>
      </c>
      <c r="E10" s="60"/>
      <c r="F10" s="61">
        <f>C10*12+D10+E10</f>
        <v>6432</v>
      </c>
    </row>
    <row r="11" spans="2:6" ht="16.5" thickBot="1" x14ac:dyDescent="0.3">
      <c r="B11" s="59" t="s">
        <v>12</v>
      </c>
      <c r="C11" s="60">
        <v>3325</v>
      </c>
      <c r="D11" s="60">
        <v>3200</v>
      </c>
      <c r="E11" s="60"/>
      <c r="F11" s="61">
        <f t="shared" si="0"/>
        <v>43100</v>
      </c>
    </row>
    <row r="12" spans="2:6" ht="16.5" thickBot="1" x14ac:dyDescent="0.3">
      <c r="B12" s="59" t="s">
        <v>13</v>
      </c>
      <c r="C12" s="95">
        <v>1323</v>
      </c>
      <c r="D12" s="62"/>
      <c r="E12" s="60"/>
      <c r="F12" s="61">
        <f t="shared" si="0"/>
        <v>15876</v>
      </c>
    </row>
    <row r="13" spans="2:6" ht="16.5" thickBot="1" x14ac:dyDescent="0.3">
      <c r="B13" s="59" t="s">
        <v>14</v>
      </c>
      <c r="C13" s="64"/>
      <c r="D13" s="65"/>
      <c r="E13" s="65"/>
      <c r="F13" s="61">
        <f>SUM(F6:F12)</f>
        <v>305284</v>
      </c>
    </row>
    <row r="14" spans="2:6" ht="16.5" thickBot="1" x14ac:dyDescent="0.3">
      <c r="B14" s="67" t="s">
        <v>62</v>
      </c>
      <c r="C14" s="60"/>
      <c r="D14" s="60"/>
      <c r="E14" s="60"/>
      <c r="F14" s="112">
        <f>F13*(18%+2.9%+5.1%+0.2%)</f>
        <v>79984.40800000001</v>
      </c>
    </row>
    <row r="15" spans="2:6" ht="16.5" thickBot="1" x14ac:dyDescent="0.3">
      <c r="B15" s="59" t="s">
        <v>63</v>
      </c>
      <c r="C15" s="60"/>
      <c r="D15" s="60"/>
      <c r="E15" s="60"/>
      <c r="F15" s="111">
        <v>3000</v>
      </c>
    </row>
    <row r="16" spans="2:6" ht="16.5" thickBot="1" x14ac:dyDescent="0.3">
      <c r="B16" s="108" t="s">
        <v>74</v>
      </c>
      <c r="C16" s="109"/>
      <c r="D16" s="109"/>
      <c r="E16" s="109"/>
      <c r="F16" s="110">
        <f>600*12</f>
        <v>7200</v>
      </c>
    </row>
    <row r="17" spans="2:6" ht="21" customHeight="1" thickBot="1" x14ac:dyDescent="0.3">
      <c r="B17" s="113" t="s">
        <v>92</v>
      </c>
      <c r="C17" s="132" t="s">
        <v>81</v>
      </c>
      <c r="D17" s="133"/>
      <c r="E17" s="134"/>
      <c r="F17" s="115">
        <v>81055.55</v>
      </c>
    </row>
    <row r="18" spans="2:6" ht="16.5" thickBot="1" x14ac:dyDescent="0.3">
      <c r="B18" s="114" t="s">
        <v>93</v>
      </c>
      <c r="C18" s="135"/>
      <c r="D18" s="136"/>
      <c r="E18" s="137"/>
      <c r="F18" s="116">
        <v>72600</v>
      </c>
    </row>
    <row r="19" spans="2:6" ht="16.5" thickBot="1" x14ac:dyDescent="0.3">
      <c r="B19" s="59" t="s">
        <v>27</v>
      </c>
      <c r="C19" s="60"/>
      <c r="D19" s="60"/>
      <c r="E19" s="60"/>
      <c r="F19" s="111">
        <v>5000</v>
      </c>
    </row>
    <row r="20" spans="2:6" ht="16.5" thickBot="1" x14ac:dyDescent="0.3">
      <c r="B20" s="59" t="s">
        <v>28</v>
      </c>
      <c r="C20" s="60"/>
      <c r="D20" s="60"/>
      <c r="E20" s="60"/>
      <c r="F20" s="112">
        <v>6000</v>
      </c>
    </row>
    <row r="21" spans="2:6" ht="16.5" thickBot="1" x14ac:dyDescent="0.3">
      <c r="B21" s="59" t="s">
        <v>19</v>
      </c>
      <c r="C21" s="60"/>
      <c r="D21" s="60"/>
      <c r="E21" s="60"/>
      <c r="F21" s="72">
        <v>4000</v>
      </c>
    </row>
    <row r="22" spans="2:6" ht="16.5" thickBot="1" x14ac:dyDescent="0.3">
      <c r="B22" s="59" t="s">
        <v>25</v>
      </c>
      <c r="C22" s="60"/>
      <c r="D22" s="60"/>
      <c r="E22" s="60"/>
      <c r="F22" s="111">
        <v>7000</v>
      </c>
    </row>
    <row r="23" spans="2:6" ht="16.5" thickBot="1" x14ac:dyDescent="0.3">
      <c r="B23" s="83" t="s">
        <v>89</v>
      </c>
      <c r="C23" s="84"/>
      <c r="D23" s="84"/>
      <c r="E23" s="85"/>
      <c r="F23" s="117">
        <v>10000</v>
      </c>
    </row>
    <row r="24" spans="2:6" ht="16.5" thickBot="1" x14ac:dyDescent="0.3">
      <c r="B24" s="59" t="s">
        <v>88</v>
      </c>
      <c r="C24" s="60"/>
      <c r="D24" s="60"/>
      <c r="E24" s="60"/>
      <c r="F24" s="72">
        <v>150352.16</v>
      </c>
    </row>
    <row r="25" spans="2:6" ht="19.5" customHeight="1" thickBot="1" x14ac:dyDescent="0.3">
      <c r="B25" s="75" t="s">
        <v>38</v>
      </c>
      <c r="C25" s="74"/>
      <c r="D25" s="74"/>
      <c r="E25" s="74"/>
      <c r="F25" s="118">
        <f>SUM(F13:F24)</f>
        <v>731476.11800000002</v>
      </c>
    </row>
    <row r="26" spans="2:6" ht="15.75" x14ac:dyDescent="0.25">
      <c r="B26" s="5"/>
      <c r="C26" s="121" t="s">
        <v>54</v>
      </c>
      <c r="D26" s="121"/>
      <c r="E26" s="121"/>
      <c r="F26" s="122">
        <f>(F25/E3)/12</f>
        <v>14.7000000401927</v>
      </c>
    </row>
    <row r="27" spans="2:6" ht="3.75" customHeight="1" x14ac:dyDescent="0.25"/>
    <row r="28" spans="2:6" ht="14.25" customHeight="1" x14ac:dyDescent="0.25">
      <c r="B28" s="98" t="s">
        <v>83</v>
      </c>
      <c r="C28" s="97"/>
    </row>
    <row r="29" spans="2:6" x14ac:dyDescent="0.25">
      <c r="B29" s="99" t="s">
        <v>47</v>
      </c>
      <c r="C29" s="99">
        <v>4000</v>
      </c>
    </row>
    <row r="30" spans="2:6" x14ac:dyDescent="0.25">
      <c r="B30" s="99" t="s">
        <v>90</v>
      </c>
      <c r="C30" s="99">
        <f>500*12</f>
        <v>6000</v>
      </c>
    </row>
    <row r="31" spans="2:6" x14ac:dyDescent="0.25">
      <c r="B31" s="99" t="s">
        <v>65</v>
      </c>
      <c r="C31" s="99">
        <v>4800</v>
      </c>
    </row>
    <row r="32" spans="2:6" x14ac:dyDescent="0.25">
      <c r="B32" s="99" t="s">
        <v>48</v>
      </c>
      <c r="C32" s="99">
        <v>800</v>
      </c>
    </row>
    <row r="33" spans="2:6" x14ac:dyDescent="0.25">
      <c r="B33" s="99" t="s">
        <v>14</v>
      </c>
      <c r="C33" s="99">
        <f>SUM(C29:C32)</f>
        <v>15600</v>
      </c>
    </row>
    <row r="34" spans="2:6" x14ac:dyDescent="0.25">
      <c r="B34" s="97"/>
      <c r="C34" s="97"/>
    </row>
    <row r="35" spans="2:6" x14ac:dyDescent="0.25">
      <c r="B35" s="98" t="s">
        <v>67</v>
      </c>
      <c r="C35" s="97"/>
    </row>
    <row r="36" spans="2:6" x14ac:dyDescent="0.25">
      <c r="B36" s="99" t="s">
        <v>97</v>
      </c>
      <c r="C36" s="99">
        <f>12*164</f>
        <v>1968</v>
      </c>
    </row>
    <row r="37" spans="2:6" x14ac:dyDescent="0.25">
      <c r="B37" s="99" t="s">
        <v>96</v>
      </c>
      <c r="C37" s="99">
        <f>100*12</f>
        <v>1200</v>
      </c>
    </row>
    <row r="38" spans="2:6" x14ac:dyDescent="0.25">
      <c r="B38" s="99" t="s">
        <v>94</v>
      </c>
      <c r="C38" s="99">
        <v>1500</v>
      </c>
    </row>
    <row r="39" spans="2:6" x14ac:dyDescent="0.25">
      <c r="B39" s="99" t="s">
        <v>95</v>
      </c>
      <c r="C39" s="99">
        <v>1200</v>
      </c>
    </row>
    <row r="40" spans="2:6" x14ac:dyDescent="0.25">
      <c r="B40" s="99" t="s">
        <v>16</v>
      </c>
      <c r="C40" s="99">
        <v>7500</v>
      </c>
    </row>
    <row r="41" spans="2:6" x14ac:dyDescent="0.25">
      <c r="B41" s="100" t="s">
        <v>82</v>
      </c>
      <c r="C41" s="99">
        <f>300*12</f>
        <v>3600</v>
      </c>
    </row>
    <row r="42" spans="2:6" x14ac:dyDescent="0.25">
      <c r="B42" s="99" t="s">
        <v>72</v>
      </c>
      <c r="C42" s="99">
        <f>200*4</f>
        <v>800</v>
      </c>
    </row>
    <row r="43" spans="2:6" x14ac:dyDescent="0.25">
      <c r="B43" s="99" t="s">
        <v>73</v>
      </c>
      <c r="C43" s="99">
        <v>1500</v>
      </c>
    </row>
    <row r="44" spans="2:6" x14ac:dyDescent="0.25">
      <c r="B44" s="99" t="s">
        <v>14</v>
      </c>
      <c r="C44" s="99">
        <f>SUM(C36:C43)</f>
        <v>19268</v>
      </c>
    </row>
    <row r="46" spans="2:6" ht="15.75" customHeight="1" x14ac:dyDescent="0.25">
      <c r="B46" s="131" t="s">
        <v>101</v>
      </c>
      <c r="C46" s="131"/>
      <c r="D46" s="131"/>
      <c r="E46" s="131"/>
      <c r="F46" s="131"/>
    </row>
    <row r="47" spans="2:6" ht="11.25" customHeight="1" thickBot="1" x14ac:dyDescent="0.3">
      <c r="B47" s="120"/>
      <c r="C47" s="120"/>
      <c r="D47" s="120"/>
      <c r="E47" s="120"/>
      <c r="F47" s="120"/>
    </row>
    <row r="48" spans="2:6" ht="21" customHeight="1" thickBot="1" x14ac:dyDescent="0.35">
      <c r="B48" s="77" t="s">
        <v>98</v>
      </c>
      <c r="C48" s="78"/>
    </row>
    <row r="49" spans="2:4" ht="7.5" customHeight="1" thickBot="1" x14ac:dyDescent="0.4">
      <c r="B49" s="79"/>
    </row>
    <row r="50" spans="2:4" ht="19.5" customHeight="1" thickBot="1" x14ac:dyDescent="0.4">
      <c r="B50" s="80" t="s">
        <v>99</v>
      </c>
      <c r="C50" s="78"/>
    </row>
    <row r="51" spans="2:4" x14ac:dyDescent="0.25">
      <c r="D51" t="s">
        <v>100</v>
      </c>
    </row>
  </sheetData>
  <mergeCells count="3">
    <mergeCell ref="B1:F1"/>
    <mergeCell ref="B46:F46"/>
    <mergeCell ref="C17:E18"/>
  </mergeCells>
  <pageMargins left="0.15748031496062992" right="0.15748031496062992" top="0.27559055118110237" bottom="0.27559055118110237" header="0.31496062992125984" footer="0.31496062992125984"/>
  <pageSetup paperSize="9" orientation="portrait" useFirstPageNumber="1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51"/>
  <sheetViews>
    <sheetView tabSelected="1" topLeftCell="A31" workbookViewId="0">
      <selection activeCell="B46" sqref="B46:F46"/>
    </sheetView>
  </sheetViews>
  <sheetFormatPr defaultRowHeight="15" x14ac:dyDescent="0.25"/>
  <cols>
    <col min="1" max="1" width="3.5703125" customWidth="1"/>
    <col min="2" max="2" width="48.7109375" customWidth="1"/>
    <col min="3" max="3" width="9.28515625" bestFit="1" customWidth="1"/>
    <col min="4" max="4" width="11.28515625" customWidth="1"/>
    <col min="5" max="5" width="10.5703125" customWidth="1"/>
    <col min="6" max="6" width="13.42578125" customWidth="1"/>
  </cols>
  <sheetData>
    <row r="1" spans="2:6" ht="21.75" customHeight="1" x14ac:dyDescent="0.25">
      <c r="B1" s="130" t="s">
        <v>103</v>
      </c>
      <c r="C1" s="130"/>
      <c r="D1" s="130"/>
      <c r="E1" s="130"/>
      <c r="F1" s="130"/>
    </row>
    <row r="2" spans="2:6" ht="21.75" customHeight="1" x14ac:dyDescent="0.25">
      <c r="B2" s="123" t="s">
        <v>104</v>
      </c>
      <c r="C2" s="123"/>
      <c r="D2" s="123"/>
      <c r="E2" s="123"/>
      <c r="F2" s="123"/>
    </row>
    <row r="3" spans="2:6" ht="15.75" x14ac:dyDescent="0.25">
      <c r="B3" s="55" t="s">
        <v>1</v>
      </c>
      <c r="C3" s="50">
        <f>F26</f>
        <v>14.003957694771813</v>
      </c>
      <c r="D3" s="52" t="s">
        <v>0</v>
      </c>
      <c r="E3" s="53">
        <v>4146.6899999999996</v>
      </c>
      <c r="F3" s="54">
        <f>C3*E3*12</f>
        <v>696840.85599999991</v>
      </c>
    </row>
    <row r="4" spans="2:6" ht="16.5" thickBot="1" x14ac:dyDescent="0.3">
      <c r="B4" s="55" t="s">
        <v>37</v>
      </c>
      <c r="C4" s="52"/>
      <c r="D4" s="52"/>
      <c r="E4" s="52"/>
      <c r="F4" s="52"/>
    </row>
    <row r="5" spans="2:6" ht="16.5" thickBot="1" x14ac:dyDescent="0.3">
      <c r="B5" s="57" t="s">
        <v>2</v>
      </c>
      <c r="C5" s="58" t="s">
        <v>3</v>
      </c>
      <c r="D5" s="58" t="s">
        <v>4</v>
      </c>
      <c r="E5" s="58" t="s">
        <v>5</v>
      </c>
      <c r="F5" s="58" t="s">
        <v>6</v>
      </c>
    </row>
    <row r="6" spans="2:6" ht="16.5" thickBot="1" x14ac:dyDescent="0.3">
      <c r="B6" s="59" t="s">
        <v>7</v>
      </c>
      <c r="C6" s="107">
        <v>10619</v>
      </c>
      <c r="D6" s="60"/>
      <c r="E6" s="60"/>
      <c r="F6" s="61">
        <f t="shared" ref="F6:F12" si="0">C6*12+D6+E6</f>
        <v>127428</v>
      </c>
    </row>
    <row r="7" spans="2:6" ht="16.5" thickBot="1" x14ac:dyDescent="0.3">
      <c r="B7" s="59" t="s">
        <v>8</v>
      </c>
      <c r="C7" s="60">
        <v>5963</v>
      </c>
      <c r="D7" s="60"/>
      <c r="E7" s="60"/>
      <c r="F7" s="61">
        <f t="shared" si="0"/>
        <v>71556</v>
      </c>
    </row>
    <row r="8" spans="2:6" ht="16.5" thickBot="1" x14ac:dyDescent="0.3">
      <c r="B8" s="59" t="s">
        <v>9</v>
      </c>
      <c r="C8" s="60">
        <v>1455</v>
      </c>
      <c r="D8" s="60"/>
      <c r="E8" s="60"/>
      <c r="F8" s="61">
        <f t="shared" si="0"/>
        <v>17460</v>
      </c>
    </row>
    <row r="9" spans="2:6" ht="16.5" thickBot="1" x14ac:dyDescent="0.3">
      <c r="B9" s="59" t="s">
        <v>102</v>
      </c>
      <c r="C9" s="60">
        <v>3055</v>
      </c>
      <c r="D9" s="60">
        <v>3000</v>
      </c>
      <c r="E9" s="60">
        <f>F11-(C9*12+D9)</f>
        <v>7836</v>
      </c>
      <c r="F9" s="61">
        <f t="shared" si="0"/>
        <v>47496</v>
      </c>
    </row>
    <row r="10" spans="2:6" ht="16.5" thickBot="1" x14ac:dyDescent="0.3">
      <c r="B10" s="59" t="s">
        <v>11</v>
      </c>
      <c r="C10" s="60">
        <v>546</v>
      </c>
      <c r="D10" s="60">
        <v>500</v>
      </c>
      <c r="E10" s="60"/>
      <c r="F10" s="61">
        <f>C10*12+D10+E10</f>
        <v>7052</v>
      </c>
    </row>
    <row r="11" spans="2:6" ht="16.5" thickBot="1" x14ac:dyDescent="0.3">
      <c r="B11" s="59" t="s">
        <v>12</v>
      </c>
      <c r="C11" s="60">
        <v>3658</v>
      </c>
      <c r="D11" s="60">
        <v>3600</v>
      </c>
      <c r="E11" s="60"/>
      <c r="F11" s="61">
        <f t="shared" si="0"/>
        <v>47496</v>
      </c>
    </row>
    <row r="12" spans="2:6" ht="16.5" thickBot="1" x14ac:dyDescent="0.3">
      <c r="B12" s="59" t="s">
        <v>13</v>
      </c>
      <c r="C12" s="95">
        <v>1455</v>
      </c>
      <c r="D12" s="62"/>
      <c r="E12" s="60"/>
      <c r="F12" s="61">
        <f t="shared" si="0"/>
        <v>17460</v>
      </c>
    </row>
    <row r="13" spans="2:6" ht="16.5" thickBot="1" x14ac:dyDescent="0.3">
      <c r="B13" s="59" t="s">
        <v>14</v>
      </c>
      <c r="C13" s="64"/>
      <c r="D13" s="65"/>
      <c r="E13" s="65"/>
      <c r="F13" s="61">
        <f>SUM(F6:F12)</f>
        <v>335948</v>
      </c>
    </row>
    <row r="14" spans="2:6" ht="16.5" thickBot="1" x14ac:dyDescent="0.3">
      <c r="B14" s="67" t="s">
        <v>62</v>
      </c>
      <c r="C14" s="60"/>
      <c r="D14" s="60"/>
      <c r="E14" s="60"/>
      <c r="F14" s="112">
        <f>F13*(18%+2.9%+5.1%+0.2%)</f>
        <v>88018.376000000004</v>
      </c>
    </row>
    <row r="15" spans="2:6" ht="16.5" thickBot="1" x14ac:dyDescent="0.3">
      <c r="B15" s="59" t="s">
        <v>63</v>
      </c>
      <c r="C15" s="60"/>
      <c r="D15" s="60"/>
      <c r="E15" s="60"/>
      <c r="F15" s="111">
        <v>3000</v>
      </c>
    </row>
    <row r="16" spans="2:6" ht="16.5" thickBot="1" x14ac:dyDescent="0.3">
      <c r="B16" s="108" t="s">
        <v>74</v>
      </c>
      <c r="C16" s="109"/>
      <c r="D16" s="109"/>
      <c r="E16" s="109"/>
      <c r="F16" s="110">
        <f>500*12</f>
        <v>6000</v>
      </c>
    </row>
    <row r="17" spans="2:6" ht="21" customHeight="1" thickBot="1" x14ac:dyDescent="0.3">
      <c r="B17" s="113" t="s">
        <v>92</v>
      </c>
      <c r="C17" s="132" t="s">
        <v>81</v>
      </c>
      <c r="D17" s="133"/>
      <c r="E17" s="134"/>
      <c r="F17" s="115">
        <v>81055.55</v>
      </c>
    </row>
    <row r="18" spans="2:6" ht="16.5" thickBot="1" x14ac:dyDescent="0.3">
      <c r="B18" s="114" t="s">
        <v>93</v>
      </c>
      <c r="C18" s="135"/>
      <c r="D18" s="136"/>
      <c r="E18" s="137"/>
      <c r="F18" s="116">
        <v>72600</v>
      </c>
    </row>
    <row r="19" spans="2:6" ht="16.5" thickBot="1" x14ac:dyDescent="0.3">
      <c r="B19" s="59" t="s">
        <v>27</v>
      </c>
      <c r="C19" s="60"/>
      <c r="D19" s="60"/>
      <c r="E19" s="60"/>
      <c r="F19" s="111">
        <v>10000</v>
      </c>
    </row>
    <row r="20" spans="2:6" ht="16.5" thickBot="1" x14ac:dyDescent="0.3">
      <c r="B20" s="59" t="s">
        <v>28</v>
      </c>
      <c r="C20" s="60"/>
      <c r="D20" s="60"/>
      <c r="E20" s="60"/>
      <c r="F20" s="112">
        <v>5000</v>
      </c>
    </row>
    <row r="21" spans="2:6" ht="16.5" thickBot="1" x14ac:dyDescent="0.3">
      <c r="B21" s="59" t="s">
        <v>19</v>
      </c>
      <c r="C21" s="60"/>
      <c r="D21" s="60"/>
      <c r="E21" s="60"/>
      <c r="F21" s="72">
        <v>4000</v>
      </c>
    </row>
    <row r="22" spans="2:6" ht="16.5" thickBot="1" x14ac:dyDescent="0.3">
      <c r="B22" s="59" t="s">
        <v>25</v>
      </c>
      <c r="C22" s="60"/>
      <c r="D22" s="60"/>
      <c r="E22" s="60"/>
      <c r="F22" s="111">
        <v>7000</v>
      </c>
    </row>
    <row r="23" spans="2:6" ht="16.5" thickBot="1" x14ac:dyDescent="0.3">
      <c r="B23" s="83" t="s">
        <v>89</v>
      </c>
      <c r="C23" s="84"/>
      <c r="D23" s="84"/>
      <c r="E23" s="85"/>
      <c r="F23" s="117">
        <v>10000</v>
      </c>
    </row>
    <row r="24" spans="2:6" ht="16.5" thickBot="1" x14ac:dyDescent="0.3">
      <c r="B24" s="59" t="s">
        <v>88</v>
      </c>
      <c r="C24" s="60"/>
      <c r="D24" s="60"/>
      <c r="E24" s="60"/>
      <c r="F24" s="72">
        <v>74218.929999999993</v>
      </c>
    </row>
    <row r="25" spans="2:6" ht="19.5" customHeight="1" thickBot="1" x14ac:dyDescent="0.3">
      <c r="B25" s="75" t="s">
        <v>38</v>
      </c>
      <c r="C25" s="74"/>
      <c r="D25" s="74"/>
      <c r="E25" s="74"/>
      <c r="F25" s="118">
        <f>SUM(F13:F24)</f>
        <v>696840.85599999991</v>
      </c>
    </row>
    <row r="26" spans="2:6" ht="15.75" x14ac:dyDescent="0.25">
      <c r="B26" s="5"/>
      <c r="C26" s="121" t="s">
        <v>54</v>
      </c>
      <c r="D26" s="121"/>
      <c r="E26" s="121"/>
      <c r="F26" s="122">
        <f>(F25/E3)/12</f>
        <v>14.003957694771813</v>
      </c>
    </row>
    <row r="27" spans="2:6" ht="3.75" customHeight="1" x14ac:dyDescent="0.25"/>
    <row r="28" spans="2:6" ht="14.25" customHeight="1" x14ac:dyDescent="0.25">
      <c r="B28" s="98" t="s">
        <v>83</v>
      </c>
      <c r="C28" s="97"/>
    </row>
    <row r="29" spans="2:6" x14ac:dyDescent="0.25">
      <c r="B29" s="99" t="s">
        <v>47</v>
      </c>
      <c r="C29" s="99">
        <v>4000</v>
      </c>
    </row>
    <row r="30" spans="2:6" x14ac:dyDescent="0.25">
      <c r="B30" s="99" t="s">
        <v>90</v>
      </c>
      <c r="C30" s="99">
        <f>500*12</f>
        <v>6000</v>
      </c>
    </row>
    <row r="31" spans="2:6" x14ac:dyDescent="0.25">
      <c r="B31" s="99" t="s">
        <v>65</v>
      </c>
      <c r="C31" s="99">
        <f>4800+1000</f>
        <v>5800</v>
      </c>
    </row>
    <row r="32" spans="2:6" x14ac:dyDescent="0.25">
      <c r="B32" s="99" t="s">
        <v>48</v>
      </c>
      <c r="C32" s="99">
        <v>800</v>
      </c>
    </row>
    <row r="33" spans="2:6" x14ac:dyDescent="0.25">
      <c r="B33" s="99" t="s">
        <v>14</v>
      </c>
      <c r="C33" s="99">
        <f>SUM(C29:C32)</f>
        <v>16600</v>
      </c>
    </row>
    <row r="34" spans="2:6" x14ac:dyDescent="0.25">
      <c r="B34" s="97"/>
      <c r="C34" s="97"/>
    </row>
    <row r="35" spans="2:6" x14ac:dyDescent="0.25">
      <c r="B35" s="98" t="s">
        <v>67</v>
      </c>
      <c r="C35" s="97"/>
    </row>
    <row r="36" spans="2:6" x14ac:dyDescent="0.25">
      <c r="B36" s="99" t="s">
        <v>97</v>
      </c>
      <c r="C36" s="99">
        <f>12*180</f>
        <v>2160</v>
      </c>
    </row>
    <row r="37" spans="2:6" x14ac:dyDescent="0.25">
      <c r="B37" s="99" t="s">
        <v>96</v>
      </c>
      <c r="C37" s="99">
        <f>100*12</f>
        <v>1200</v>
      </c>
    </row>
    <row r="38" spans="2:6" x14ac:dyDescent="0.25">
      <c r="B38" s="99" t="s">
        <v>94</v>
      </c>
      <c r="C38" s="99">
        <v>1500</v>
      </c>
    </row>
    <row r="39" spans="2:6" x14ac:dyDescent="0.25">
      <c r="B39" s="99" t="s">
        <v>95</v>
      </c>
      <c r="C39" s="99">
        <v>1200</v>
      </c>
    </row>
    <row r="40" spans="2:6" x14ac:dyDescent="0.25">
      <c r="B40" s="99" t="s">
        <v>16</v>
      </c>
      <c r="C40" s="99">
        <v>7500</v>
      </c>
    </row>
    <row r="41" spans="2:6" x14ac:dyDescent="0.25">
      <c r="B41" s="100" t="s">
        <v>82</v>
      </c>
      <c r="C41" s="99">
        <f>300*12</f>
        <v>3600</v>
      </c>
    </row>
    <row r="42" spans="2:6" x14ac:dyDescent="0.25">
      <c r="B42" s="99" t="s">
        <v>72</v>
      </c>
      <c r="C42" s="99">
        <f>200*4</f>
        <v>800</v>
      </c>
    </row>
    <row r="43" spans="2:6" x14ac:dyDescent="0.25">
      <c r="B43" s="99"/>
      <c r="C43" s="99"/>
    </row>
    <row r="44" spans="2:6" x14ac:dyDescent="0.25">
      <c r="B44" s="99" t="s">
        <v>14</v>
      </c>
      <c r="C44" s="99">
        <f>SUM(C36:C43)</f>
        <v>17960</v>
      </c>
    </row>
    <row r="46" spans="2:6" ht="15.75" customHeight="1" x14ac:dyDescent="0.25">
      <c r="B46" s="131" t="s">
        <v>105</v>
      </c>
      <c r="C46" s="131"/>
      <c r="D46" s="131"/>
      <c r="E46" s="131"/>
      <c r="F46" s="131"/>
    </row>
    <row r="47" spans="2:6" ht="11.25" customHeight="1" thickBot="1" x14ac:dyDescent="0.3">
      <c r="B47" s="124"/>
      <c r="C47" s="124"/>
      <c r="D47" s="124"/>
      <c r="E47" s="124"/>
      <c r="F47" s="124"/>
    </row>
    <row r="48" spans="2:6" ht="21" customHeight="1" thickBot="1" x14ac:dyDescent="0.35">
      <c r="B48" s="77" t="s">
        <v>98</v>
      </c>
      <c r="C48" s="78"/>
    </row>
    <row r="49" spans="2:4" ht="21.75" thickBot="1" x14ac:dyDescent="0.4">
      <c r="B49" s="79"/>
    </row>
    <row r="50" spans="2:4" ht="21.75" thickBot="1" x14ac:dyDescent="0.4">
      <c r="B50" s="80" t="s">
        <v>99</v>
      </c>
      <c r="C50" s="78"/>
    </row>
    <row r="51" spans="2:4" x14ac:dyDescent="0.25">
      <c r="D51" t="s">
        <v>100</v>
      </c>
    </row>
  </sheetData>
  <mergeCells count="3">
    <mergeCell ref="B1:F1"/>
    <mergeCell ref="C17:E18"/>
    <mergeCell ref="B46:F4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днс</cp:lastModifiedBy>
  <cp:lastPrinted>2012-12-19T08:36:19Z</cp:lastPrinted>
  <dcterms:created xsi:type="dcterms:W3CDTF">2010-10-30T12:31:02Z</dcterms:created>
  <dcterms:modified xsi:type="dcterms:W3CDTF">2014-03-12T19:10:58Z</dcterms:modified>
</cp:coreProperties>
</file>