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3" sheetId="1" r:id="rId1"/>
    <sheet name="Лист3 (2)" sheetId="2" r:id="rId2"/>
    <sheet name="смета в 2016г." sheetId="3" r:id="rId3"/>
  </sheets>
  <definedNames>
    <definedName name="_xlnm.Print_Area" localSheetId="2">'смета в 2016г.'!$A$1:$M$83</definedName>
  </definedNames>
  <calcPr fullCalcOnLoad="1"/>
</workbook>
</file>

<file path=xl/comments3.xml><?xml version="1.0" encoding="utf-8"?>
<comments xmlns="http://schemas.openxmlformats.org/spreadsheetml/2006/main">
  <authors>
    <author>ТСЖ</author>
  </authors>
  <commentList>
    <comment ref="A44" authorId="0">
      <text>
        <r>
          <rPr>
            <b/>
            <sz val="9"/>
            <rFont val="Tahoma"/>
            <family val="0"/>
          </rPr>
          <t>ТСЖ: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<sst xmlns="http://schemas.openxmlformats.org/spreadsheetml/2006/main" count="219" uniqueCount="193">
  <si>
    <t>№ пп</t>
  </si>
  <si>
    <t>Показатели</t>
  </si>
  <si>
    <t>Сумма</t>
  </si>
  <si>
    <t>Примечание</t>
  </si>
  <si>
    <t>Поступление денежных средств</t>
  </si>
  <si>
    <t>Всего:</t>
  </si>
  <si>
    <t>Расходы на оплату труда с налогами</t>
  </si>
  <si>
    <t xml:space="preserve">Материальные расходы </t>
  </si>
  <si>
    <t>Материалы на обслуживание и ремонтные работы общего имущества</t>
  </si>
  <si>
    <t>Инструмент и хозяйственный инвентарь</t>
  </si>
  <si>
    <t>Канцтовары, почтово-телеграфные расходы, приобретение и заправка картриджей для ПК и ксерокса</t>
  </si>
  <si>
    <t>Услуги Сбербанка и "Почты России" за прием платежей от населения</t>
  </si>
  <si>
    <t>Оплата за услуги сязи ЮТК</t>
  </si>
  <si>
    <t>Услуги за снятие показаний в индивидуальных тепловых узлах, техобслуживание</t>
  </si>
  <si>
    <t>Испытание заземляющих устройств и электрооборудования</t>
  </si>
  <si>
    <t>Техническое освидетельствование лифтов</t>
  </si>
  <si>
    <t>Обучение отвественных за эксплуатацию оборудования</t>
  </si>
  <si>
    <t>3, 10</t>
  </si>
  <si>
    <t>3, 11</t>
  </si>
  <si>
    <t>Ремонт и проверка манометров</t>
  </si>
  <si>
    <t>Герметизация горизонтальных и вертикальных швов жилых домов</t>
  </si>
  <si>
    <t>3, 12</t>
  </si>
  <si>
    <t>Благоустройство и озеленение придомовой территории (Газонокосильщик и озеленители)</t>
  </si>
  <si>
    <t>3, 13</t>
  </si>
  <si>
    <t>Ремонт лифтов и узлов учета тепловой энергии</t>
  </si>
  <si>
    <t>Прочие расходы Всего</t>
  </si>
  <si>
    <t>Налог на имущество</t>
  </si>
  <si>
    <t>Компенсация за использование личного траспорта в служебных целях</t>
  </si>
  <si>
    <t>Аренда помещения для ТСЖ</t>
  </si>
  <si>
    <t xml:space="preserve">Коммунальные услуги по арендованным помещениям </t>
  </si>
  <si>
    <t>Страхование лифтов</t>
  </si>
  <si>
    <t>Информационнные услуги "Фактор Плюс"</t>
  </si>
  <si>
    <t>Юридические услуги</t>
  </si>
  <si>
    <t>Пени за несвоевременную плату налогов</t>
  </si>
  <si>
    <t>Компенсация за использование личного телефона в служебных целях</t>
  </si>
  <si>
    <t>4, 10</t>
  </si>
  <si>
    <t>Обслуживание оргтехники</t>
  </si>
  <si>
    <t>4, 11</t>
  </si>
  <si>
    <t>Обслуживание компьютерных программ, кассовой машины</t>
  </si>
  <si>
    <t>4, 12</t>
  </si>
  <si>
    <t>Списание материальных активов</t>
  </si>
  <si>
    <t>Всего расходов</t>
  </si>
  <si>
    <t>Остаток неиспользованных средств</t>
  </si>
  <si>
    <t>ТСЖ "Орбита-01" за 2013год</t>
  </si>
  <si>
    <t>председатель правления ТСЖ "Орбита-01"</t>
  </si>
  <si>
    <t>Дьячков А.И</t>
  </si>
  <si>
    <t>Сумма в тыс. руб</t>
  </si>
  <si>
    <t>ДОХОДЫ</t>
  </si>
  <si>
    <t>Раздел I доходы Всего</t>
  </si>
  <si>
    <t>Долевые взносы собственников жилья на содержание общего имущества домов (в том числе на текущий ремонт)</t>
  </si>
  <si>
    <t xml:space="preserve"> некомерческой организации</t>
  </si>
  <si>
    <t>"Утверждаю"</t>
  </si>
  <si>
    <t>"--------" ---------------2014г.</t>
  </si>
  <si>
    <t>РАСХОДЫ</t>
  </si>
  <si>
    <t>Раздел II расходы Всего</t>
  </si>
  <si>
    <t>ПРЯМЫЕ РАСХОДЫ</t>
  </si>
  <si>
    <t>Наминование статей доходов и расходов</t>
  </si>
  <si>
    <t>Расходы на оплату труда с налогами ВСЕГО в том числе:</t>
  </si>
  <si>
    <t>Оплата труда персонала ТСЖ</t>
  </si>
  <si>
    <t>Налоги на оплату труда</t>
  </si>
  <si>
    <t>Матерала ВСЕГО в том числе:</t>
  </si>
  <si>
    <t>Переодическое техническое освидетельствование лифтов</t>
  </si>
  <si>
    <t>Текущий ремонт квартирных балконов</t>
  </si>
  <si>
    <t>Текущий ремонт кровли</t>
  </si>
  <si>
    <t>Опломбировка счетчиков воды</t>
  </si>
  <si>
    <t>Замена лифтового диспетчерского оборудования</t>
  </si>
  <si>
    <t>НАКЛАДНЫЕ РАСХОДЫ</t>
  </si>
  <si>
    <t>Канцелярские товары</t>
  </si>
  <si>
    <t>Техническое обслуживание контрольно-кассовой техники</t>
  </si>
  <si>
    <t>Ремонт и обслуживание оргтехники</t>
  </si>
  <si>
    <t>Информационнные услуги "Фактор Плюс" и ИП Зельник</t>
  </si>
  <si>
    <t>Дизенсекция</t>
  </si>
  <si>
    <t>За административное нарушение</t>
  </si>
  <si>
    <t>Ремонт перфоратора</t>
  </si>
  <si>
    <t>Изготовление ключей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</si>
  <si>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</si>
  <si>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</si>
  <si>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</si>
  <si>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</si>
  <si>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</si>
  <si>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</si>
  <si>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</si>
  <si>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</si>
  <si>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</si>
  <si>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</si>
  <si>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</si>
  <si>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</si>
  <si>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</si>
  <si>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</si>
  <si>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</si>
  <si>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</si>
  <si>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</si>
  <si>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</si>
  <si>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</si>
  <si>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</si>
  <si>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2.2.9.1</t>
  </si>
  <si>
    <t>2.2.9.2</t>
  </si>
  <si>
    <t>2.2.9.3</t>
  </si>
  <si>
    <t>2.2.9.4</t>
  </si>
  <si>
    <t>2.2.9.5</t>
  </si>
  <si>
    <t>2.2.9.6</t>
  </si>
  <si>
    <t>2.2.9.7</t>
  </si>
  <si>
    <t>2.2.9.8</t>
  </si>
  <si>
    <t>Исполнение сметы доходов и расходов</t>
  </si>
  <si>
    <t>Главный бухгалтер                                Мищенко А.В.</t>
  </si>
  <si>
    <t>ИТОГО</t>
  </si>
  <si>
    <t>Председатель правления ТСЖ "Орбита-01"</t>
  </si>
  <si>
    <t xml:space="preserve">            Дьячков А.И.</t>
  </si>
  <si>
    <t>"______" ____________ 2015г.</t>
  </si>
  <si>
    <t xml:space="preserve">Раздел 1. Содержание и обслуживание общего имущества дома </t>
  </si>
  <si>
    <t xml:space="preserve">Техническое обслуживание конструктивных элементов жилого здания  </t>
  </si>
  <si>
    <t>Техническое обслуживание оконных и дверных заполнений, проверка состояния продухов в цоколях зданий, проверка исправности слуховых окон, мелкий ремонт утепляющего покрытия чердачных перекрытий, установка пружин и доводчиков на входных дверях (по мере необходимости)</t>
  </si>
  <si>
    <t>Техническое обслуживание внутридомового инженерного оборудования жилого здания</t>
  </si>
  <si>
    <t>Содержание лестничных клеток /согласно графику/</t>
  </si>
  <si>
    <t>Дератизация и дезинсекция подвалов и чердаков</t>
  </si>
  <si>
    <t>Сбор  и вывоз твердых и жидких бытовых отходов, включая отходы, образующиеся в результате деятельности организаций и индивидуальных предпринимателей, пользующихся нежилыми (встроенными и пристроенными) помещениями в многоквартирном доме</t>
  </si>
  <si>
    <t>Обеспечение мер пожарной безопасности</t>
  </si>
  <si>
    <t>Всего содержание</t>
  </si>
  <si>
    <t>Раздел 2. Текущий ремонт</t>
  </si>
  <si>
    <t xml:space="preserve">Смена и восстановление отдельных элементов (приборов) и заполнений /оконные и дверные заполнения/ </t>
  </si>
  <si>
    <t>Замена, восстановление отдельных участков /полы/</t>
  </si>
  <si>
    <t>Всего текущий ремонт</t>
  </si>
  <si>
    <t>система горячего водоснабжения</t>
  </si>
  <si>
    <t xml:space="preserve">система  холодного водоснабжения  </t>
  </si>
  <si>
    <t xml:space="preserve">система водоотведения (в том числе септика) </t>
  </si>
  <si>
    <t>Ремонт и замена мусорных контейнеров /придомовая территория/</t>
  </si>
  <si>
    <t>Аварийно-техническое обслуживание</t>
  </si>
  <si>
    <t xml:space="preserve">Раздел 3. Услуги и работы по управлению общим имуществом многоквартирного дома </t>
  </si>
  <si>
    <t>ведение и хранение технической документации по многоквартирному дому</t>
  </si>
  <si>
    <t>заключение договоров с ресурсоснабжающими организациями и обеспечение своевременной оплаты поданного в дом коммунального ресурса</t>
  </si>
  <si>
    <t>заключение договоров на вывоз твердых бытовых отходов и крупногабаритного мусора,</t>
  </si>
  <si>
    <t>услуги по санитарной обработке мест общего пользования (дезинфекция, дезинсекция, дератизация) и обеспечение своевременной оплаты оказанных услуг,</t>
  </si>
  <si>
    <t xml:space="preserve">накопление и распределение ресурсов для исполнения запланированных мероприятий, </t>
  </si>
  <si>
    <t xml:space="preserve">, начисление и сбор платы за содержание и ремонт  общего имущества, распечатка и доставка пользователям помещениями квитанций, </t>
  </si>
  <si>
    <t>взыскание задолженности по оплате жилищно-коммунальных услуг проведение текущей сверки расчетов</t>
  </si>
  <si>
    <t>прием пользователей помещениями дома, членов их семей и других граждан по вопросам пользования помещениями дома, общим имуществом дома и иным вопросам,</t>
  </si>
  <si>
    <t>оплата налогов</t>
  </si>
  <si>
    <t>ВСЕГО</t>
  </si>
  <si>
    <t>контроль за выполнением условий договоров, организация и осуществление технического обслуживания общего имущества дома (организация и проведение текущего ремонта общего имущества дома по решению собственников помещений дома или в соответствии с нормативны</t>
  </si>
  <si>
    <t xml:space="preserve">Перечень работ и услуг по управлению общим имуществом многоквартирного дома: ведение и хранение технической документации по многоквартирному дому, заключение договоров с ресурсоснабжающими организациями и обеспечение своевременной оплаты поданного в дом коммунального ресурса, заключение договоров на вывоз твердых бытовых отходов и крупногабаритного мусора, услуги по санитарной обработке мест общего пользования (дезинфекция, дезинсекция, дератизация) и обеспечение своевременной оплаты оказанных услуг, заключение договоров на оказание вспомогательных услуг собственникам помещений иными организациями (охрана, антенны, проведение праздничных дней, страхование и др.) обеспечение своевременной оплаты оказанных услуг, контроль за выполнением условий договоров, организация и осуществление технического обслуживания общего имущества дома (организация и проведение текущего ремонта общего имущества дома по решению собственников помещений дома или в соответствии с нормативными сроками, прием на работу и увольнение с работы обслуживающего персонала, разработка инструкций, обучение и повышение квалификации </t>
  </si>
  <si>
    <t xml:space="preserve">обслуживающего персонала, приобретение запасных частей и необходимого оборудования, канцтоваров, накопление и распределение ресурсов для исполнения запланированных мероприятий, осуществление взаимосвязи с органами местного самоуправления, пенсионным фондом, управлением социальной защиты населения, инспектирующими  организациями, обеспечение статистической отчетности, участие в судебных процессах по защите прав и интересов собственников помещений, начисление и сбор платы за содержание и ремонт  общего имущества, распечатка и доставка пользователям помещениями квитанций, взыскание задолженности по оплате жилищно-коммунальных услуг, проведение текущей сверки расчетов, прием пользователей помещениями дома, членов их семей и других граждан по вопросам пользования помещениями дома, общим имуществом дома и иным вопросам, оплата консультационных услуг и услуг банка, служебные разъезды, оплата налогов.       </t>
  </si>
  <si>
    <t>участие в судебных процессах по защите прав и интересов собственников помещений, юридические услуги</t>
  </si>
  <si>
    <t>оплата консультационных услуг, ремонт и обслуж оргтехники и контрольно кассовой техники</t>
  </si>
  <si>
    <t xml:space="preserve">Доходы </t>
  </si>
  <si>
    <t xml:space="preserve">Долевые взносы собственников жилья на содержание общего имущества домов </t>
  </si>
  <si>
    <t>РАСХОДЫ ВСЕГО</t>
  </si>
  <si>
    <t>Общее количество квадратных метров</t>
  </si>
  <si>
    <t>Дома по улице 9-я Тихая</t>
  </si>
  <si>
    <t>№7</t>
  </si>
  <si>
    <t>№9</t>
  </si>
  <si>
    <t>№11</t>
  </si>
  <si>
    <t>№15</t>
  </si>
  <si>
    <t>№17</t>
  </si>
  <si>
    <t>№19</t>
  </si>
  <si>
    <t>№21</t>
  </si>
  <si>
    <t>№23</t>
  </si>
  <si>
    <t>№25</t>
  </si>
  <si>
    <t>Долевые взносы собственников жилья на текущий ремонт домов</t>
  </si>
  <si>
    <t xml:space="preserve">                                                                                                                  "УТВЕРЖДАЮ"</t>
  </si>
  <si>
    <t>Приобретение различных сантехнических материалов для текущего ремонта общедомового имущества</t>
  </si>
  <si>
    <r>
      <t xml:space="preserve">Содержание общедомовых систем отопления, водоотведения холодного и горячего водоснабжения, повысительных насосов, подготовка к устранению незначительных неисправностей (набивка сальников, мелкий ремонт при эксплуатации теплоизоляции, устранение течи вв трубопроводах, разборка, осмотр и очистка грязевиков, воздухосборников, компенсаторов, регулирующих кранов, вентилей, задвижек), </t>
    </r>
    <r>
      <rPr>
        <b/>
        <sz val="11"/>
        <rFont val="Times New Roman"/>
        <family val="1"/>
      </rPr>
      <t>регулировка и испытание систем центрального отопления</t>
    </r>
    <r>
      <rPr>
        <sz val="11"/>
        <rFont val="Times New Roman"/>
        <family val="1"/>
      </rPr>
      <t xml:space="preserve">, промывка и опрессовка системы центрального отопления (по сезонной необходимости) </t>
    </r>
  </si>
  <si>
    <t>Ремонт лифтов</t>
  </si>
  <si>
    <r>
      <t xml:space="preserve">Содержание придомовой территории, в том числе: уборка придомовой территории ежедневно, оборудование цветочных клумб, посадка цветов,  замена погибших саженцев кустарников, деревьев </t>
    </r>
    <r>
      <rPr>
        <b/>
        <sz val="11"/>
        <rFont val="Cambria"/>
        <family val="1"/>
      </rPr>
      <t>(дворники, озеленители)</t>
    </r>
  </si>
  <si>
    <t>оплата заработной платы</t>
  </si>
  <si>
    <t>оплата компенсация за использов личного транспорта</t>
  </si>
  <si>
    <t>Информационно-технологическое сопровождение компьютерных программ</t>
  </si>
  <si>
    <t>приобретение запасных частей и необходимого оборудования, и различных сан-тех материалов</t>
  </si>
  <si>
    <r>
      <t xml:space="preserve">, прием на работу и увольнение с работы обслуживающего персонала, разработка инструкций, </t>
    </r>
    <r>
      <rPr>
        <b/>
        <sz val="11"/>
        <rFont val="Times New Roman"/>
        <family val="1"/>
      </rPr>
      <t>обучение и повышение квалификации обслуживающего персонала,</t>
    </r>
  </si>
  <si>
    <t>Госпошлина и пени за несвоевременноую оплату поставщику коммунальных услуг по решениям арбитражных судов</t>
  </si>
  <si>
    <t>Канцелярские товары, почтовые расходы</t>
  </si>
  <si>
    <t>оплата услуг банка , связи, интернета</t>
  </si>
  <si>
    <t>Аренда помещений, электроэнергия диспетчерской и ТСЖ</t>
  </si>
  <si>
    <t>СИСТЕМА ОТОПЛЕНИЯ</t>
  </si>
  <si>
    <r>
      <t>Частичная смена отдельных элементов, заделка межпанельных швов и трещин, укрепление перекрытий</t>
    </r>
    <r>
      <rPr>
        <b/>
        <sz val="11"/>
        <rFont val="Cambria"/>
        <family val="1"/>
      </rPr>
      <t xml:space="preserve"> оштукатуривание, грунтовка, покраска переходных балконов и лифтовых</t>
    </r>
  </si>
  <si>
    <r>
      <t>Содержание лифтов (</t>
    </r>
    <r>
      <rPr>
        <b/>
        <sz val="11"/>
        <rFont val="Times New Roman"/>
        <family val="1"/>
      </rPr>
      <t>периодическое освидетельствование лифтов, страхование лифтов</t>
    </r>
    <r>
      <rPr>
        <sz val="11"/>
        <rFont val="Times New Roman"/>
        <family val="1"/>
      </rPr>
      <t>)</t>
    </r>
  </si>
  <si>
    <t>некоммерческой организации  ТСЖ "Орбита-01"</t>
  </si>
  <si>
    <t>осуществление взаимосвязи с органами местного самоуправления, пенсионным фондом, управлением социальной защиты населения, инспектирующими  организациями, обеспечение статистической отчетности,</t>
  </si>
  <si>
    <r>
      <t xml:space="preserve">оплата служебных разъездов, </t>
    </r>
    <r>
      <rPr>
        <b/>
        <sz val="12"/>
        <rFont val="Times New Roman"/>
        <family val="1"/>
      </rPr>
      <t>прочие расхода</t>
    </r>
  </si>
  <si>
    <r>
      <t>Техническое обслуживание крыши и водосточной системы, удаление с крыш снега и наледи, очистка кровли козырьков над подъездами от мусора, грязи, листьев, других посторонних предметов, проверка крепления и укрепление водосточных труб, колен и воронок, промазка суриковой замазкой свищей, участков гребней стальной кровли и др. (по мере необходимости),</t>
    </r>
    <r>
      <rPr>
        <b/>
        <sz val="11"/>
        <rFont val="Times New Roman"/>
        <family val="1"/>
      </rPr>
      <t xml:space="preserve"> проектные работы по обследованию несущих конструкций кровли</t>
    </r>
  </si>
  <si>
    <r>
      <t>Герметизация стыков, заделка и восстановление архитектурных элементов, мелкий ремонт фасада дома</t>
    </r>
    <r>
      <rPr>
        <b/>
        <sz val="11"/>
        <rFont val="Cambria"/>
        <family val="1"/>
      </rPr>
      <t xml:space="preserve"> (герметизация наружных швов)</t>
    </r>
  </si>
  <si>
    <t>Планово-предупредительные ремонты в жилых помещениях, устранение незначительных неисправностей в системах водоснабжения и водоотведения (смена прокладок в водопроводных соединениях, уплотнение сгонов, устранение засоров, регулировка смывных бачков,прочист</t>
  </si>
  <si>
    <t xml:space="preserve">Установка, замена и восстановление работоспособности отдельных элементов и частей и частей элементов (за исключением установки и замены коллективных (общедомовых) приборов учета холодной и горячей воды) /внутридомовая система ХВС и водоотведения, ГВС/, в </t>
  </si>
  <si>
    <r>
      <t xml:space="preserve">заключение договоров на оказание вспомогательных услуг собственникам помещений иными организациями (охрана, антенны, проведение праздничных дней, страхование, аренда помещений и др.) обеспечение своевременной оплаты оказанных услуг, </t>
    </r>
    <r>
      <rPr>
        <b/>
        <sz val="11"/>
        <rFont val="Times New Roman"/>
        <family val="1"/>
      </rPr>
      <t>анализ воды поставляем</t>
    </r>
  </si>
  <si>
    <t xml:space="preserve"> СМЕТА ДОХОДОВ И РАСХОДОВ</t>
  </si>
  <si>
    <r>
      <t xml:space="preserve">Техническое обслуживание электрических устройств мест общего пользования, устранение незначительных неисправностей электротехнических устройств (смена перегоревших лампочек на посадочных площадках лифтов, над входами в подъезд, смена и ремонт выключателей, мелкий ремонт электропроводки) /по мере необходимости/, </t>
    </r>
    <r>
      <rPr>
        <b/>
        <sz val="11"/>
        <rFont val="Cambria"/>
        <family val="1"/>
      </rPr>
      <t>замеры сопротивления изоляции проводов</t>
    </r>
    <r>
      <rPr>
        <sz val="11"/>
        <rFont val="Cambria"/>
        <family val="1"/>
      </rPr>
      <t>, осмотр линий электрических сетей, арматуры и оборудования /1 раз в год/</t>
    </r>
  </si>
  <si>
    <r>
      <t xml:space="preserve">Планово-предупредительные ремонты поэтажных щитков и вводных электрощитов /1раз в год/ , </t>
    </r>
    <r>
      <rPr>
        <b/>
        <sz val="12"/>
        <rFont val="Times New Roman"/>
        <family val="1"/>
      </rPr>
      <t>испытание защитно-заземляющих устройств, замена контакторов на АВР, замена счетчиков на МОП, замена рубильника</t>
    </r>
  </si>
  <si>
    <r>
      <t xml:space="preserve">Восстановление отделки стен, потолков, полов отдельными участками /подъезды, лестничные клетки, технические помещения (машинные отделения и лифтовые, электрощитовые, санитарно-технические, другие помещения общего пользования, </t>
    </r>
    <r>
      <rPr>
        <b/>
        <sz val="11"/>
        <rFont val="Cambria"/>
        <family val="1"/>
      </rPr>
      <t>текущий ремонт дверей, остекленение мест общего пользования</t>
    </r>
    <r>
      <rPr>
        <sz val="11"/>
        <rFont val="Cambria"/>
        <family val="1"/>
      </rPr>
      <t>)</t>
    </r>
  </si>
  <si>
    <r>
      <t xml:space="preserve">Восстановление или замена отдельных участков и элементов /лестничные марши, балконы, крыльца, </t>
    </r>
    <r>
      <rPr>
        <b/>
        <sz val="11"/>
        <rFont val="Cambria"/>
        <family val="1"/>
      </rPr>
      <t>зонты-козырьки над входами в подъезды</t>
    </r>
    <r>
      <rPr>
        <sz val="11"/>
        <rFont val="Cambria"/>
        <family val="1"/>
      </rPr>
      <t xml:space="preserve">, подвалы, </t>
    </r>
    <r>
      <rPr>
        <b/>
        <sz val="11"/>
        <rFont val="Cambria"/>
        <family val="1"/>
      </rPr>
      <t>изготовление навесов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>над балконами верхних этажей</t>
    </r>
    <r>
      <rPr>
        <sz val="11"/>
        <rFont val="Cambria"/>
        <family val="1"/>
      </rPr>
      <t xml:space="preserve">/ </t>
    </r>
  </si>
  <si>
    <r>
      <t>Устранение местных деформаций, усиление, восстановление поврежденных участков фундаментов, вентиляционных продухов, отмосток и входов в подвалы /фундаменты/,</t>
    </r>
    <r>
      <rPr>
        <b/>
        <sz val="11"/>
        <rFont val="Cambria"/>
        <family val="1"/>
      </rPr>
      <t xml:space="preserve"> изготовление пандусов</t>
    </r>
  </si>
  <si>
    <r>
      <t xml:space="preserve">Усиление элементов деревянной стропильной системы, антисептирование и антиперирование, </t>
    </r>
    <r>
      <rPr>
        <b/>
        <sz val="11"/>
        <rFont val="Cambria"/>
        <family val="1"/>
      </rPr>
      <t>частичное устранение неисправностей кровель</t>
    </r>
    <r>
      <rPr>
        <sz val="11"/>
        <rFont val="Cambria"/>
        <family val="1"/>
      </rPr>
      <t>, водосточных труб, гидроизоляция, утепление и вентиляция /крыши/ , (</t>
    </r>
    <r>
      <rPr>
        <b/>
        <sz val="11"/>
        <rFont val="Cambria"/>
        <family val="1"/>
      </rPr>
      <t xml:space="preserve">Гермитизация крыши балконов, ремонт квартирных балконов, ремонт парапетов на крышах домов, изготовление навесов над воздуховодами) </t>
    </r>
  </si>
  <si>
    <r>
      <t xml:space="preserve">Установка, замена и восстановление работоспособности отдельных элементов и частей внутренних систем </t>
    </r>
    <r>
      <rPr>
        <b/>
        <sz val="11"/>
        <rFont val="Cambria"/>
        <family val="1"/>
      </rPr>
      <t>вентиляции, центрального отопления</t>
    </r>
    <r>
      <rPr>
        <sz val="11"/>
        <rFont val="Cambria"/>
        <family val="1"/>
      </rPr>
      <t xml:space="preserve"> (за исключением установки и замены обогревающих элементов коллективных (общедомовых) приборов  учета тепловой энергии,</t>
    </r>
    <r>
      <rPr>
        <b/>
        <sz val="11"/>
        <rFont val="Cambria"/>
        <family val="1"/>
      </rPr>
      <t>установка водухосборников в системе отопления</t>
    </r>
  </si>
  <si>
    <r>
      <t xml:space="preserve">Содержание и обслуживание индивидуальных тепловых пунктов (ИТП) и узлов учета коммунальных ресурсов, элеваторных узлов /ежедневно/, </t>
    </r>
    <r>
      <rPr>
        <b/>
        <sz val="11"/>
        <rFont val="Times New Roman"/>
        <family val="1"/>
      </rPr>
      <t>опломбировка счетчиков воды, ремонт и поверка сан-тех приборов,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тех обслуживание узлов учета, рем работы на узле учета, установка ПРЭМов</t>
    </r>
  </si>
  <si>
    <t>на 2016г.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</si>
</sst>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#,##0.0"/>
    <numFmt numFmtId="191" formatCode="#,##0.00&quot;р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b/>
      <sz val="12"/>
      <name val="Cambria"/>
      <family val="1"/>
    </font>
    <font>
      <sz val="9"/>
      <name val="Tahoma"/>
      <family val="0"/>
    </font>
    <font>
      <b/>
      <sz val="9"/>
      <name val="Tahoma"/>
      <family val="0"/>
    </font>
    <font>
      <b/>
      <sz val="9"/>
      <name val="Times New Roman"/>
      <family val="1"/>
    </font>
    <font>
      <sz val="11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16" fontId="1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190" fontId="8" fillId="0" borderId="12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190" fontId="3" fillId="0" borderId="17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190" fontId="6" fillId="0" borderId="17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/>
    </xf>
    <xf numFmtId="190" fontId="7" fillId="0" borderId="10" xfId="0" applyNumberFormat="1" applyFont="1" applyBorder="1" applyAlignment="1">
      <alignment horizontal="center" vertical="center"/>
    </xf>
    <xf numFmtId="190" fontId="7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20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center" vertical="center"/>
    </xf>
    <xf numFmtId="190" fontId="8" fillId="0" borderId="17" xfId="0" applyNumberFormat="1" applyFont="1" applyBorder="1" applyAlignment="1">
      <alignment horizontal="center" vertical="center"/>
    </xf>
    <xf numFmtId="190" fontId="7" fillId="0" borderId="20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190" fontId="6" fillId="0" borderId="17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wrapText="1"/>
    </xf>
    <xf numFmtId="190" fontId="8" fillId="0" borderId="16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190" fontId="7" fillId="0" borderId="20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190" fontId="6" fillId="0" borderId="16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left" vertical="center" wrapText="1"/>
    </xf>
    <xf numFmtId="188" fontId="7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8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left" vertical="center" wrapText="1"/>
    </xf>
    <xf numFmtId="190" fontId="7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center" wrapText="1"/>
    </xf>
    <xf numFmtId="190" fontId="7" fillId="0" borderId="14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33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21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6" fillId="0" borderId="3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4" fontId="2" fillId="0" borderId="15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2" fontId="13" fillId="0" borderId="33" xfId="0" applyNumberFormat="1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4" fontId="2" fillId="0" borderId="33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8" fillId="0" borderId="38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 wrapText="1"/>
    </xf>
    <xf numFmtId="4" fontId="7" fillId="0" borderId="39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 wrapText="1"/>
    </xf>
    <xf numFmtId="2" fontId="6" fillId="0" borderId="41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42" xfId="0" applyFont="1" applyBorder="1" applyAlignment="1">
      <alignment horizontal="left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2" fontId="13" fillId="0" borderId="17" xfId="0" applyNumberFormat="1" applyFont="1" applyFill="1" applyBorder="1" applyAlignment="1">
      <alignment horizontal="center" vertical="center"/>
    </xf>
    <xf numFmtId="4" fontId="3" fillId="0" borderId="43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center" vertical="center"/>
    </xf>
    <xf numFmtId="4" fontId="3" fillId="0" borderId="33" xfId="0" applyNumberFormat="1" applyFont="1" applyFill="1" applyBorder="1" applyAlignment="1">
      <alignment horizontal="center" vertical="center"/>
    </xf>
    <xf numFmtId="4" fontId="3" fillId="0" borderId="43" xfId="0" applyNumberFormat="1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2" fontId="8" fillId="0" borderId="33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4" fontId="8" fillId="0" borderId="15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 wrapText="1"/>
    </xf>
    <xf numFmtId="4" fontId="6" fillId="0" borderId="47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justify" vertical="top" wrapText="1"/>
    </xf>
    <xf numFmtId="0" fontId="3" fillId="0" borderId="42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justify" vertical="top" wrapText="1"/>
    </xf>
    <xf numFmtId="0" fontId="7" fillId="0" borderId="48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justify" vertical="top" wrapText="1"/>
    </xf>
    <xf numFmtId="0" fontId="14" fillId="0" borderId="49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top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4" fontId="6" fillId="0" borderId="15" xfId="0" applyNumberFormat="1" applyFont="1" applyFill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46" xfId="0" applyNumberFormat="1" applyFont="1" applyFill="1" applyBorder="1" applyAlignment="1">
      <alignment horizontal="center" vertical="center" wrapText="1"/>
    </xf>
    <xf numFmtId="2" fontId="6" fillId="0" borderId="43" xfId="0" applyNumberFormat="1" applyFont="1" applyFill="1" applyBorder="1" applyAlignment="1">
      <alignment horizontal="center" vertical="center" wrapText="1"/>
    </xf>
    <xf numFmtId="4" fontId="8" fillId="0" borderId="39" xfId="0" applyNumberFormat="1" applyFont="1" applyFill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49" fontId="8" fillId="0" borderId="55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57" xfId="0" applyFont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2" fontId="6" fillId="0" borderId="46" xfId="0" applyNumberFormat="1" applyFont="1" applyFill="1" applyBorder="1" applyAlignment="1">
      <alignment horizontal="center" vertical="center" wrapText="1"/>
    </xf>
    <xf numFmtId="2" fontId="6" fillId="0" borderId="58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2" fontId="13" fillId="0" borderId="59" xfId="0" applyNumberFormat="1" applyFont="1" applyBorder="1" applyAlignment="1">
      <alignment horizontal="center" vertical="center" wrapText="1"/>
    </xf>
    <xf numFmtId="2" fontId="13" fillId="0" borderId="52" xfId="0" applyNumberFormat="1" applyFont="1" applyBorder="1" applyAlignment="1">
      <alignment horizontal="center" vertical="center" wrapText="1"/>
    </xf>
    <xf numFmtId="2" fontId="13" fillId="0" borderId="60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2" fontId="13" fillId="0" borderId="33" xfId="0" applyNumberFormat="1" applyFont="1" applyFill="1" applyBorder="1" applyAlignment="1">
      <alignment horizontal="center" vertical="center"/>
    </xf>
    <xf numFmtId="2" fontId="13" fillId="0" borderId="2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5.57421875" style="0" customWidth="1"/>
    <col min="2" max="2" width="53.140625" style="0" customWidth="1"/>
    <col min="3" max="3" width="11.8515625" style="0" customWidth="1"/>
    <col min="4" max="4" width="13.8515625" style="0" customWidth="1"/>
  </cols>
  <sheetData>
    <row r="1" spans="1:4" ht="12.75">
      <c r="A1" s="1"/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13.5" thickBot="1">
      <c r="A6" s="1"/>
      <c r="B6" s="1"/>
      <c r="C6" s="1"/>
      <c r="D6" s="1"/>
    </row>
    <row r="7" spans="1:4" ht="25.5" customHeight="1" thickBot="1">
      <c r="A7" s="7" t="s">
        <v>0</v>
      </c>
      <c r="B7" s="8" t="s">
        <v>1</v>
      </c>
      <c r="C7" s="8" t="s">
        <v>2</v>
      </c>
      <c r="D7" s="8" t="s">
        <v>3</v>
      </c>
    </row>
    <row r="8" spans="1:4" ht="12.75">
      <c r="A8" s="179">
        <v>1</v>
      </c>
      <c r="B8" s="10" t="s">
        <v>4</v>
      </c>
      <c r="C8" s="2"/>
      <c r="D8" s="2"/>
    </row>
    <row r="9" spans="1:4" ht="12.75">
      <c r="A9" s="180"/>
      <c r="B9" s="11" t="s">
        <v>5</v>
      </c>
      <c r="C9" s="9">
        <v>9982</v>
      </c>
      <c r="D9" s="4"/>
    </row>
    <row r="10" spans="1:4" ht="12.75">
      <c r="A10" s="181">
        <v>2</v>
      </c>
      <c r="B10" s="11" t="s">
        <v>6</v>
      </c>
      <c r="C10" s="9"/>
      <c r="D10" s="4"/>
    </row>
    <row r="11" spans="1:4" ht="12.75">
      <c r="A11" s="180"/>
      <c r="B11" s="11" t="s">
        <v>5</v>
      </c>
      <c r="C11" s="9">
        <v>7854.6</v>
      </c>
      <c r="D11" s="4"/>
    </row>
    <row r="12" spans="1:4" ht="12.75">
      <c r="A12" s="181">
        <v>3</v>
      </c>
      <c r="B12" s="11" t="s">
        <v>7</v>
      </c>
      <c r="C12" s="9"/>
      <c r="D12" s="4"/>
    </row>
    <row r="13" spans="1:4" ht="12.75">
      <c r="A13" s="180"/>
      <c r="B13" s="11" t="s">
        <v>5</v>
      </c>
      <c r="C13" s="9"/>
      <c r="D13" s="4"/>
    </row>
    <row r="14" spans="1:4" ht="25.5">
      <c r="A14" s="3">
        <v>3.1</v>
      </c>
      <c r="B14" s="11" t="s">
        <v>8</v>
      </c>
      <c r="C14" s="9">
        <v>191.1</v>
      </c>
      <c r="D14" s="4"/>
    </row>
    <row r="15" spans="1:4" ht="12.75">
      <c r="A15" s="3">
        <v>3.2</v>
      </c>
      <c r="B15" s="11" t="s">
        <v>9</v>
      </c>
      <c r="C15" s="9">
        <v>114</v>
      </c>
      <c r="D15" s="4"/>
    </row>
    <row r="16" spans="1:4" ht="25.5">
      <c r="A16" s="3">
        <v>3.3</v>
      </c>
      <c r="B16" s="11" t="s">
        <v>10</v>
      </c>
      <c r="C16" s="9">
        <v>15.5</v>
      </c>
      <c r="D16" s="4"/>
    </row>
    <row r="17" spans="1:4" ht="25.5">
      <c r="A17" s="3">
        <v>3.4</v>
      </c>
      <c r="B17" s="11" t="s">
        <v>11</v>
      </c>
      <c r="C17" s="9"/>
      <c r="D17" s="4"/>
    </row>
    <row r="18" spans="1:4" ht="12.75">
      <c r="A18" s="3">
        <v>3.5</v>
      </c>
      <c r="B18" s="11" t="s">
        <v>12</v>
      </c>
      <c r="C18" s="9"/>
      <c r="D18" s="4"/>
    </row>
    <row r="19" spans="1:4" ht="25.5">
      <c r="A19" s="3">
        <v>3.6</v>
      </c>
      <c r="B19" s="11" t="s">
        <v>13</v>
      </c>
      <c r="C19" s="9"/>
      <c r="D19" s="4"/>
    </row>
    <row r="20" spans="1:4" ht="12.75">
      <c r="A20" s="3">
        <v>3.7</v>
      </c>
      <c r="B20" s="11" t="s">
        <v>14</v>
      </c>
      <c r="C20" s="9"/>
      <c r="D20" s="4"/>
    </row>
    <row r="21" spans="1:4" ht="12.75">
      <c r="A21" s="3">
        <v>3.8</v>
      </c>
      <c r="B21" s="11" t="s">
        <v>15</v>
      </c>
      <c r="C21" s="9"/>
      <c r="D21" s="4"/>
    </row>
    <row r="22" spans="1:4" ht="12.75">
      <c r="A22" s="3">
        <v>3.9</v>
      </c>
      <c r="B22" s="11" t="s">
        <v>16</v>
      </c>
      <c r="C22" s="9"/>
      <c r="D22" s="4"/>
    </row>
    <row r="23" spans="1:4" ht="25.5">
      <c r="A23" s="12" t="s">
        <v>17</v>
      </c>
      <c r="B23" s="11" t="s">
        <v>20</v>
      </c>
      <c r="C23" s="9"/>
      <c r="D23" s="4"/>
    </row>
    <row r="24" spans="1:4" ht="12.75">
      <c r="A24" s="3" t="s">
        <v>18</v>
      </c>
      <c r="B24" s="11" t="s">
        <v>19</v>
      </c>
      <c r="C24" s="9"/>
      <c r="D24" s="4"/>
    </row>
    <row r="25" spans="1:4" ht="25.5">
      <c r="A25" s="3" t="s">
        <v>21</v>
      </c>
      <c r="B25" s="11" t="s">
        <v>22</v>
      </c>
      <c r="C25" s="9"/>
      <c r="D25" s="4"/>
    </row>
    <row r="26" spans="1:4" ht="12.75">
      <c r="A26" s="3" t="s">
        <v>23</v>
      </c>
      <c r="B26" s="11" t="s">
        <v>24</v>
      </c>
      <c r="C26" s="9"/>
      <c r="D26" s="4"/>
    </row>
    <row r="27" spans="1:4" ht="12.75">
      <c r="A27" s="3">
        <v>4</v>
      </c>
      <c r="B27" s="13" t="s">
        <v>25</v>
      </c>
      <c r="C27" s="9"/>
      <c r="D27" s="4"/>
    </row>
    <row r="28" spans="1:4" ht="12.75">
      <c r="A28" s="3">
        <v>4.1</v>
      </c>
      <c r="B28" s="11" t="s">
        <v>26</v>
      </c>
      <c r="C28" s="9"/>
      <c r="D28" s="4"/>
    </row>
    <row r="29" spans="1:4" ht="25.5">
      <c r="A29" s="3">
        <v>4.2</v>
      </c>
      <c r="B29" s="11" t="s">
        <v>27</v>
      </c>
      <c r="C29" s="9">
        <v>36</v>
      </c>
      <c r="D29" s="4"/>
    </row>
    <row r="30" spans="1:4" ht="12.75">
      <c r="A30" s="3">
        <v>4.3</v>
      </c>
      <c r="B30" s="11" t="s">
        <v>28</v>
      </c>
      <c r="C30" s="9"/>
      <c r="D30" s="4"/>
    </row>
    <row r="31" spans="1:4" ht="12.75">
      <c r="A31" s="3">
        <v>4.4</v>
      </c>
      <c r="B31" s="11" t="s">
        <v>29</v>
      </c>
      <c r="C31" s="9"/>
      <c r="D31" s="4"/>
    </row>
    <row r="32" spans="1:4" ht="12.75">
      <c r="A32" s="3">
        <v>4.5</v>
      </c>
      <c r="B32" s="11" t="s">
        <v>30</v>
      </c>
      <c r="C32" s="9"/>
      <c r="D32" s="4"/>
    </row>
    <row r="33" spans="1:4" ht="12.75">
      <c r="A33" s="3">
        <v>4.6</v>
      </c>
      <c r="B33" s="11" t="s">
        <v>31</v>
      </c>
      <c r="C33" s="9"/>
      <c r="D33" s="4"/>
    </row>
    <row r="34" spans="1:4" ht="12.75">
      <c r="A34" s="3">
        <v>4.7</v>
      </c>
      <c r="B34" s="11" t="s">
        <v>32</v>
      </c>
      <c r="C34" s="9"/>
      <c r="D34" s="4"/>
    </row>
    <row r="35" spans="1:4" ht="12.75">
      <c r="A35" s="3">
        <v>4.8</v>
      </c>
      <c r="B35" s="11" t="s">
        <v>33</v>
      </c>
      <c r="C35" s="9"/>
      <c r="D35" s="4"/>
    </row>
    <row r="36" spans="1:4" ht="25.5">
      <c r="A36" s="3">
        <v>4.9</v>
      </c>
      <c r="B36" s="11" t="s">
        <v>34</v>
      </c>
      <c r="C36" s="9"/>
      <c r="D36" s="4"/>
    </row>
    <row r="37" spans="1:4" ht="12.75">
      <c r="A37" s="3" t="s">
        <v>35</v>
      </c>
      <c r="B37" s="11" t="s">
        <v>36</v>
      </c>
      <c r="C37" s="9"/>
      <c r="D37" s="4"/>
    </row>
    <row r="38" spans="1:4" ht="12.75">
      <c r="A38" s="3" t="s">
        <v>37</v>
      </c>
      <c r="B38" s="11" t="s">
        <v>38</v>
      </c>
      <c r="C38" s="9"/>
      <c r="D38" s="4"/>
    </row>
    <row r="39" spans="1:4" ht="12.75">
      <c r="A39" s="3" t="s">
        <v>39</v>
      </c>
      <c r="B39" s="11" t="s">
        <v>40</v>
      </c>
      <c r="C39" s="9"/>
      <c r="D39" s="4"/>
    </row>
    <row r="40" spans="1:4" ht="12.75">
      <c r="A40" s="3"/>
      <c r="B40" s="13" t="s">
        <v>41</v>
      </c>
      <c r="C40" s="9"/>
      <c r="D40" s="4"/>
    </row>
    <row r="41" spans="1:4" ht="12.75">
      <c r="A41" s="3"/>
      <c r="B41" s="11" t="s">
        <v>42</v>
      </c>
      <c r="C41" s="9"/>
      <c r="D41" s="4"/>
    </row>
    <row r="42" spans="1:4" ht="12.75">
      <c r="A42" s="3"/>
      <c r="B42" s="11"/>
      <c r="C42" s="9"/>
      <c r="D42" s="4"/>
    </row>
    <row r="43" spans="1:4" ht="12.75">
      <c r="A43" s="3"/>
      <c r="B43" s="11"/>
      <c r="C43" s="9"/>
      <c r="D43" s="4"/>
    </row>
    <row r="44" spans="1:4" ht="12.75">
      <c r="A44" s="3"/>
      <c r="B44" s="11"/>
      <c r="C44" s="9"/>
      <c r="D44" s="4"/>
    </row>
    <row r="45" spans="1:4" ht="12.75">
      <c r="A45" s="3"/>
      <c r="B45" s="11"/>
      <c r="C45" s="9"/>
      <c r="D45" s="4"/>
    </row>
    <row r="46" spans="1:4" ht="12.75">
      <c r="A46" s="3"/>
      <c r="B46" s="11"/>
      <c r="C46" s="9"/>
      <c r="D46" s="4"/>
    </row>
    <row r="47" spans="1:4" ht="12.75">
      <c r="A47" s="3"/>
      <c r="B47" s="11"/>
      <c r="C47" s="9"/>
      <c r="D47" s="4"/>
    </row>
    <row r="48" spans="1:4" ht="12.75">
      <c r="A48" s="3"/>
      <c r="B48" s="11"/>
      <c r="C48" s="9"/>
      <c r="D48" s="4"/>
    </row>
    <row r="49" spans="1:4" ht="12.75">
      <c r="A49" s="3"/>
      <c r="B49" s="11"/>
      <c r="C49" s="9"/>
      <c r="D49" s="4"/>
    </row>
    <row r="50" spans="1:4" ht="12.75">
      <c r="A50" s="3"/>
      <c r="B50" s="4"/>
      <c r="C50" s="9"/>
      <c r="D50" s="4"/>
    </row>
    <row r="51" spans="1:4" ht="12.75">
      <c r="A51" s="3"/>
      <c r="B51" s="4"/>
      <c r="C51" s="9"/>
      <c r="D51" s="4"/>
    </row>
    <row r="52" spans="1:4" ht="12.75">
      <c r="A52" s="3"/>
      <c r="B52" s="4"/>
      <c r="C52" s="9"/>
      <c r="D52" s="4"/>
    </row>
    <row r="53" spans="1:4" ht="12.75">
      <c r="A53" s="3"/>
      <c r="B53" s="4"/>
      <c r="C53" s="9"/>
      <c r="D53" s="4"/>
    </row>
    <row r="54" spans="1:4" ht="12.75">
      <c r="A54" s="3"/>
      <c r="B54" s="4"/>
      <c r="C54" s="9"/>
      <c r="D54" s="4"/>
    </row>
    <row r="55" spans="1:4" ht="12.75">
      <c r="A55" s="3"/>
      <c r="B55" s="4"/>
      <c r="C55" s="9"/>
      <c r="D55" s="4"/>
    </row>
    <row r="56" spans="1:4" ht="12.75">
      <c r="A56" s="3"/>
      <c r="B56" s="4"/>
      <c r="C56" s="9"/>
      <c r="D56" s="4"/>
    </row>
    <row r="57" spans="1:4" ht="12.75">
      <c r="A57" s="3"/>
      <c r="B57" s="4"/>
      <c r="C57" s="9"/>
      <c r="D57" s="4"/>
    </row>
    <row r="58" spans="1:4" ht="12.75">
      <c r="A58" s="3"/>
      <c r="B58" s="4"/>
      <c r="C58" s="9"/>
      <c r="D58" s="4"/>
    </row>
    <row r="59" spans="1:4" ht="12.75">
      <c r="A59" s="3"/>
      <c r="B59" s="4"/>
      <c r="C59" s="9"/>
      <c r="D59" s="4"/>
    </row>
    <row r="60" spans="1:4" ht="12.75">
      <c r="A60" s="3"/>
      <c r="B60" s="4"/>
      <c r="C60" s="9"/>
      <c r="D60" s="4"/>
    </row>
    <row r="61" spans="1:4" ht="12.75">
      <c r="A61" s="3"/>
      <c r="B61" s="4"/>
      <c r="C61" s="9"/>
      <c r="D61" s="4"/>
    </row>
    <row r="62" spans="1:4" ht="12.75">
      <c r="A62" s="3"/>
      <c r="B62" s="4"/>
      <c r="C62" s="9"/>
      <c r="D62" s="4"/>
    </row>
    <row r="63" spans="1:4" ht="12.75">
      <c r="A63" s="3"/>
      <c r="B63" s="4"/>
      <c r="C63" s="9"/>
      <c r="D63" s="4"/>
    </row>
    <row r="64" spans="1:4" ht="12.75">
      <c r="A64" s="3"/>
      <c r="B64" s="4"/>
      <c r="C64" s="9"/>
      <c r="D64" s="4"/>
    </row>
    <row r="65" spans="1:4" ht="12.75">
      <c r="A65" s="3"/>
      <c r="B65" s="4"/>
      <c r="C65" s="9"/>
      <c r="D65" s="4"/>
    </row>
    <row r="66" spans="1:4" ht="12.75">
      <c r="A66" s="3"/>
      <c r="B66" s="4"/>
      <c r="C66" s="9"/>
      <c r="D66" s="4"/>
    </row>
    <row r="67" spans="1:4" ht="12.75">
      <c r="A67" s="3"/>
      <c r="B67" s="4"/>
      <c r="C67" s="4"/>
      <c r="D67" s="4"/>
    </row>
    <row r="68" spans="1:4" ht="12.75">
      <c r="A68" s="3"/>
      <c r="B68" s="4"/>
      <c r="C68" s="4"/>
      <c r="D68" s="4"/>
    </row>
    <row r="69" spans="1:4" ht="12.75">
      <c r="A69" s="3"/>
      <c r="B69" s="4"/>
      <c r="C69" s="4"/>
      <c r="D69" s="4"/>
    </row>
    <row r="70" spans="1:4" ht="12.75">
      <c r="A70" s="3"/>
      <c r="B70" s="4"/>
      <c r="C70" s="4"/>
      <c r="D70" s="4"/>
    </row>
    <row r="71" spans="1:4" ht="12.75">
      <c r="A71" s="3"/>
      <c r="B71" s="4"/>
      <c r="C71" s="4"/>
      <c r="D71" s="4"/>
    </row>
    <row r="72" spans="1:4" ht="12.75">
      <c r="A72" s="3"/>
      <c r="B72" s="4"/>
      <c r="C72" s="4"/>
      <c r="D72" s="4"/>
    </row>
    <row r="73" spans="1:4" ht="12.75">
      <c r="A73" s="3"/>
      <c r="B73" s="4"/>
      <c r="C73" s="4"/>
      <c r="D73" s="4"/>
    </row>
    <row r="74" spans="1:4" ht="12.75">
      <c r="A74" s="3"/>
      <c r="B74" s="4"/>
      <c r="C74" s="4"/>
      <c r="D74" s="4"/>
    </row>
    <row r="75" spans="1:4" ht="12.75">
      <c r="A75" s="3"/>
      <c r="B75" s="4"/>
      <c r="C75" s="4"/>
      <c r="D75" s="4"/>
    </row>
    <row r="76" spans="1:4" ht="13.5" thickBot="1">
      <c r="A76" s="5"/>
      <c r="B76" s="6"/>
      <c r="C76" s="6"/>
      <c r="D76" s="6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3">
    <mergeCell ref="A8:A9"/>
    <mergeCell ref="A10:A11"/>
    <mergeCell ref="A12:A1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22">
      <selection activeCell="B47" sqref="B47:B54"/>
    </sheetView>
  </sheetViews>
  <sheetFormatPr defaultColWidth="9.140625" defaultRowHeight="12.75"/>
  <cols>
    <col min="1" max="1" width="7.28125" style="0" customWidth="1"/>
    <col min="2" max="2" width="53.140625" style="0" customWidth="1"/>
    <col min="3" max="3" width="11.8515625" style="0" customWidth="1"/>
    <col min="4" max="4" width="13.8515625" style="0" customWidth="1"/>
  </cols>
  <sheetData>
    <row r="1" spans="3:4" ht="18.75">
      <c r="C1" s="195" t="s">
        <v>51</v>
      </c>
      <c r="D1" s="195"/>
    </row>
    <row r="2" spans="3:4" ht="12.75">
      <c r="C2" s="1"/>
      <c r="D2" s="1"/>
    </row>
    <row r="3" spans="3:4" ht="27.75" customHeight="1">
      <c r="C3" s="196" t="s">
        <v>44</v>
      </c>
      <c r="D3" s="196"/>
    </row>
    <row r="4" spans="3:4" ht="12.75">
      <c r="C4" s="14"/>
      <c r="D4" s="14"/>
    </row>
    <row r="5" spans="3:4" ht="15.75">
      <c r="C5" s="197" t="s">
        <v>45</v>
      </c>
      <c r="D5" s="197"/>
    </row>
    <row r="6" spans="3:4" ht="15.75">
      <c r="C6" s="182" t="s">
        <v>52</v>
      </c>
      <c r="D6" s="182"/>
    </row>
    <row r="7" spans="1:4" ht="12.75">
      <c r="A7" s="1"/>
      <c r="B7" s="1"/>
      <c r="C7" s="1"/>
      <c r="D7" s="1"/>
    </row>
    <row r="8" spans="1:4" ht="18.75">
      <c r="A8" s="183" t="s">
        <v>103</v>
      </c>
      <c r="B8" s="183"/>
      <c r="C8" s="183"/>
      <c r="D8" s="183"/>
    </row>
    <row r="9" spans="1:4" ht="5.25" customHeight="1">
      <c r="A9" s="14"/>
      <c r="B9" s="14"/>
      <c r="C9" s="14"/>
      <c r="D9" s="14"/>
    </row>
    <row r="10" spans="1:4" ht="15.75">
      <c r="A10" s="182" t="s">
        <v>50</v>
      </c>
      <c r="B10" s="182"/>
      <c r="C10" s="182"/>
      <c r="D10" s="182"/>
    </row>
    <row r="11" spans="1:4" ht="6.75" customHeight="1">
      <c r="A11" s="1"/>
      <c r="B11" s="1"/>
      <c r="C11" s="1"/>
      <c r="D11" s="1"/>
    </row>
    <row r="12" spans="1:4" ht="18.75">
      <c r="A12" s="183" t="s">
        <v>43</v>
      </c>
      <c r="B12" s="183"/>
      <c r="C12" s="183"/>
      <c r="D12" s="183"/>
    </row>
    <row r="13" spans="1:4" ht="13.5" thickBot="1">
      <c r="A13" s="1"/>
      <c r="B13" s="1"/>
      <c r="C13" s="1"/>
      <c r="D13" s="1"/>
    </row>
    <row r="14" spans="1:4" ht="28.5" customHeight="1" thickBot="1">
      <c r="A14" s="19" t="s">
        <v>0</v>
      </c>
      <c r="B14" s="16" t="s">
        <v>56</v>
      </c>
      <c r="C14" s="20" t="s">
        <v>46</v>
      </c>
      <c r="D14" s="19" t="s">
        <v>3</v>
      </c>
    </row>
    <row r="15" spans="1:4" ht="16.5" customHeight="1" thickBot="1">
      <c r="A15" s="198" t="s">
        <v>47</v>
      </c>
      <c r="B15" s="199"/>
      <c r="C15" s="199"/>
      <c r="D15" s="200"/>
    </row>
    <row r="16" spans="1:4" ht="16.5" customHeight="1" thickBot="1">
      <c r="A16" s="193">
        <v>1</v>
      </c>
      <c r="B16" s="17" t="s">
        <v>48</v>
      </c>
      <c r="C16" s="24">
        <f>SUM(C17)</f>
        <v>11292</v>
      </c>
      <c r="D16" s="15"/>
    </row>
    <row r="17" spans="1:4" ht="26.25" thickBot="1">
      <c r="A17" s="194"/>
      <c r="B17" s="21" t="s">
        <v>49</v>
      </c>
      <c r="C17" s="22">
        <v>11292</v>
      </c>
      <c r="D17" s="23"/>
    </row>
    <row r="18" spans="1:4" ht="16.5" thickBot="1">
      <c r="A18" s="184" t="s">
        <v>53</v>
      </c>
      <c r="B18" s="185"/>
      <c r="C18" s="185"/>
      <c r="D18" s="186"/>
    </row>
    <row r="19" spans="1:4" ht="16.5" thickBot="1">
      <c r="A19" s="15">
        <v>2</v>
      </c>
      <c r="B19" s="15" t="s">
        <v>54</v>
      </c>
      <c r="C19" s="35">
        <f>SUM(C36+C35+C34+C33+C32+C31+C30+C29+C28+C27+C24+C21)+C37</f>
        <v>9354</v>
      </c>
      <c r="D19" s="25"/>
    </row>
    <row r="20" spans="1:4" ht="16.5" thickBot="1">
      <c r="A20" s="39">
        <v>2.1</v>
      </c>
      <c r="B20" s="25" t="s">
        <v>55</v>
      </c>
      <c r="C20" s="35">
        <f>SUM(C36+C35+C34+C33+C32+C31+C30+C29+C28+C27+C24+C21)</f>
        <v>8294</v>
      </c>
      <c r="D20" s="25"/>
    </row>
    <row r="21" spans="1:4" ht="15" thickBot="1">
      <c r="A21" s="187" t="s">
        <v>75</v>
      </c>
      <c r="B21" s="30" t="s">
        <v>57</v>
      </c>
      <c r="C21" s="32">
        <f>SUM(C22+C23)</f>
        <v>6950</v>
      </c>
      <c r="D21" s="31"/>
    </row>
    <row r="22" spans="1:4" ht="15">
      <c r="A22" s="188"/>
      <c r="B22" s="10" t="s">
        <v>58</v>
      </c>
      <c r="C22" s="26">
        <v>5836</v>
      </c>
      <c r="D22" s="56"/>
    </row>
    <row r="23" spans="1:4" ht="15">
      <c r="A23" s="189"/>
      <c r="B23" s="11" t="s">
        <v>59</v>
      </c>
      <c r="C23" s="27">
        <v>1114</v>
      </c>
      <c r="D23" s="54"/>
    </row>
    <row r="24" spans="1:4" ht="14.25">
      <c r="A24" s="190" t="s">
        <v>76</v>
      </c>
      <c r="B24" s="13" t="s">
        <v>60</v>
      </c>
      <c r="C24" s="18">
        <f>SUM(C25+C26)</f>
        <v>464</v>
      </c>
      <c r="D24" s="54"/>
    </row>
    <row r="25" spans="1:4" ht="25.5">
      <c r="A25" s="191"/>
      <c r="B25" s="11" t="s">
        <v>8</v>
      </c>
      <c r="C25" s="27">
        <v>430</v>
      </c>
      <c r="D25" s="54"/>
    </row>
    <row r="26" spans="1:4" ht="15">
      <c r="A26" s="192"/>
      <c r="B26" s="11" t="s">
        <v>9</v>
      </c>
      <c r="C26" s="27">
        <v>34</v>
      </c>
      <c r="D26" s="54"/>
    </row>
    <row r="27" spans="1:4" ht="15">
      <c r="A27" s="40" t="s">
        <v>77</v>
      </c>
      <c r="B27" s="11" t="s">
        <v>14</v>
      </c>
      <c r="C27" s="27">
        <v>61</v>
      </c>
      <c r="D27" s="54"/>
    </row>
    <row r="28" spans="1:11" ht="25.5">
      <c r="A28" s="40" t="s">
        <v>78</v>
      </c>
      <c r="B28" s="11" t="s">
        <v>13</v>
      </c>
      <c r="C28" s="27">
        <v>162</v>
      </c>
      <c r="D28" s="54"/>
      <c r="K28" s="28"/>
    </row>
    <row r="29" spans="1:4" ht="15">
      <c r="A29" s="40" t="s">
        <v>79</v>
      </c>
      <c r="B29" s="11" t="s">
        <v>61</v>
      </c>
      <c r="C29" s="27">
        <v>161</v>
      </c>
      <c r="D29" s="54"/>
    </row>
    <row r="30" spans="1:4" ht="25.5">
      <c r="A30" s="40" t="s">
        <v>80</v>
      </c>
      <c r="B30" s="11" t="s">
        <v>20</v>
      </c>
      <c r="C30" s="27">
        <v>117</v>
      </c>
      <c r="D30" s="54"/>
    </row>
    <row r="31" spans="1:11" ht="15">
      <c r="A31" s="40" t="s">
        <v>81</v>
      </c>
      <c r="B31" s="11" t="s">
        <v>62</v>
      </c>
      <c r="C31" s="27">
        <v>82</v>
      </c>
      <c r="D31" s="54"/>
      <c r="K31" s="28"/>
    </row>
    <row r="32" spans="1:11" ht="15">
      <c r="A32" s="40" t="s">
        <v>82</v>
      </c>
      <c r="B32" s="11" t="s">
        <v>63</v>
      </c>
      <c r="C32" s="27">
        <v>92</v>
      </c>
      <c r="D32" s="54"/>
      <c r="K32" s="28"/>
    </row>
    <row r="33" spans="1:4" ht="15">
      <c r="A33" s="40" t="s">
        <v>83</v>
      </c>
      <c r="B33" s="11" t="s">
        <v>24</v>
      </c>
      <c r="C33" s="27">
        <v>153</v>
      </c>
      <c r="D33" s="54"/>
    </row>
    <row r="34" spans="1:4" ht="15">
      <c r="A34" s="40" t="s">
        <v>84</v>
      </c>
      <c r="B34" s="11" t="s">
        <v>19</v>
      </c>
      <c r="C34" s="27">
        <v>9</v>
      </c>
      <c r="D34" s="54"/>
    </row>
    <row r="35" spans="1:11" ht="15">
      <c r="A35" s="40" t="s">
        <v>85</v>
      </c>
      <c r="B35" s="11" t="s">
        <v>64</v>
      </c>
      <c r="C35" s="27">
        <v>4</v>
      </c>
      <c r="D35" s="54"/>
      <c r="K35" s="28"/>
    </row>
    <row r="36" spans="1:11" ht="15.75" thickBot="1">
      <c r="A36" s="41" t="s">
        <v>85</v>
      </c>
      <c r="B36" s="29" t="s">
        <v>65</v>
      </c>
      <c r="C36" s="33">
        <v>39</v>
      </c>
      <c r="D36" s="55"/>
      <c r="K36" s="28"/>
    </row>
    <row r="37" spans="1:4" ht="15" thickBot="1">
      <c r="A37" s="42">
        <v>2.2</v>
      </c>
      <c r="B37" s="20" t="s">
        <v>66</v>
      </c>
      <c r="C37" s="32">
        <f>SUM(C38:C45)+C46</f>
        <v>1060</v>
      </c>
      <c r="D37" s="23"/>
    </row>
    <row r="38" spans="1:4" ht="15">
      <c r="A38" s="59" t="s">
        <v>86</v>
      </c>
      <c r="B38" s="60" t="s">
        <v>28</v>
      </c>
      <c r="C38" s="61">
        <v>131</v>
      </c>
      <c r="D38" s="62"/>
    </row>
    <row r="39" spans="1:4" ht="15">
      <c r="A39" s="40" t="s">
        <v>87</v>
      </c>
      <c r="B39" s="11" t="s">
        <v>67</v>
      </c>
      <c r="C39" s="27">
        <v>21</v>
      </c>
      <c r="D39" s="54"/>
    </row>
    <row r="40" spans="1:4" ht="15">
      <c r="A40" s="40" t="s">
        <v>88</v>
      </c>
      <c r="B40" s="11" t="s">
        <v>12</v>
      </c>
      <c r="C40" s="27">
        <v>25</v>
      </c>
      <c r="D40" s="54"/>
    </row>
    <row r="41" spans="1:4" ht="15">
      <c r="A41" s="40" t="s">
        <v>89</v>
      </c>
      <c r="B41" s="11" t="s">
        <v>68</v>
      </c>
      <c r="C41" s="27">
        <v>17</v>
      </c>
      <c r="D41" s="54"/>
    </row>
    <row r="42" spans="1:4" ht="15.75" thickBot="1">
      <c r="A42" s="63" t="s">
        <v>90</v>
      </c>
      <c r="B42" s="64" t="s">
        <v>69</v>
      </c>
      <c r="C42" s="65">
        <v>1</v>
      </c>
      <c r="D42" s="66"/>
    </row>
    <row r="43" spans="1:4" ht="15">
      <c r="A43" s="50" t="s">
        <v>91</v>
      </c>
      <c r="B43" s="51" t="s">
        <v>73</v>
      </c>
      <c r="C43" s="52">
        <v>2</v>
      </c>
      <c r="D43" s="53"/>
    </row>
    <row r="44" spans="1:4" ht="15">
      <c r="A44" s="40" t="s">
        <v>92</v>
      </c>
      <c r="B44" s="11" t="s">
        <v>16</v>
      </c>
      <c r="C44" s="27">
        <v>7</v>
      </c>
      <c r="D44" s="54"/>
    </row>
    <row r="45" spans="1:4" ht="26.25" thickBot="1">
      <c r="A45" s="41" t="s">
        <v>93</v>
      </c>
      <c r="B45" s="29" t="s">
        <v>22</v>
      </c>
      <c r="C45" s="33">
        <v>223</v>
      </c>
      <c r="D45" s="55"/>
    </row>
    <row r="46" spans="1:4" ht="16.5" thickBot="1">
      <c r="A46" s="43" t="s">
        <v>94</v>
      </c>
      <c r="B46" s="37" t="s">
        <v>25</v>
      </c>
      <c r="C46" s="38">
        <f>SUM(C47:C54)</f>
        <v>633</v>
      </c>
      <c r="D46" s="36"/>
    </row>
    <row r="47" spans="1:4" ht="25.5">
      <c r="A47" s="44" t="s">
        <v>95</v>
      </c>
      <c r="B47" s="10" t="s">
        <v>27</v>
      </c>
      <c r="C47" s="26">
        <v>36</v>
      </c>
      <c r="D47" s="56"/>
    </row>
    <row r="48" spans="1:4" ht="25.5">
      <c r="A48" s="40" t="s">
        <v>96</v>
      </c>
      <c r="B48" s="11" t="s">
        <v>34</v>
      </c>
      <c r="C48" s="27">
        <v>14</v>
      </c>
      <c r="D48" s="54"/>
    </row>
    <row r="49" spans="1:4" ht="15">
      <c r="A49" s="40" t="s">
        <v>97</v>
      </c>
      <c r="B49" s="11" t="s">
        <v>74</v>
      </c>
      <c r="C49" s="27">
        <v>2</v>
      </c>
      <c r="D49" s="54"/>
    </row>
    <row r="50" spans="1:4" ht="15">
      <c r="A50" s="40" t="s">
        <v>98</v>
      </c>
      <c r="B50" s="11" t="s">
        <v>30</v>
      </c>
      <c r="C50" s="27">
        <v>96</v>
      </c>
      <c r="D50" s="54"/>
    </row>
    <row r="51" spans="1:4" ht="15">
      <c r="A51" s="40" t="s">
        <v>99</v>
      </c>
      <c r="B51" s="11" t="s">
        <v>70</v>
      </c>
      <c r="C51" s="27">
        <v>91</v>
      </c>
      <c r="D51" s="54"/>
    </row>
    <row r="52" spans="1:4" ht="15">
      <c r="A52" s="40" t="s">
        <v>100</v>
      </c>
      <c r="B52" s="11" t="s">
        <v>32</v>
      </c>
      <c r="C52" s="27">
        <v>346</v>
      </c>
      <c r="D52" s="54"/>
    </row>
    <row r="53" spans="1:4" ht="15">
      <c r="A53" s="40" t="s">
        <v>101</v>
      </c>
      <c r="B53" s="34" t="s">
        <v>71</v>
      </c>
      <c r="C53" s="27">
        <v>8</v>
      </c>
      <c r="D53" s="57"/>
    </row>
    <row r="54" spans="1:4" ht="15.75" thickBot="1">
      <c r="A54" s="41" t="s">
        <v>102</v>
      </c>
      <c r="B54" s="45" t="s">
        <v>72</v>
      </c>
      <c r="C54" s="46">
        <v>40</v>
      </c>
      <c r="D54" s="58"/>
    </row>
    <row r="55" spans="1:4" ht="16.5" thickBot="1">
      <c r="A55" s="43"/>
      <c r="B55" s="37" t="s">
        <v>41</v>
      </c>
      <c r="C55" s="38">
        <f>SUM(C20)+C37</f>
        <v>9354</v>
      </c>
      <c r="D55" s="36"/>
    </row>
    <row r="56" spans="1:4" ht="16.5" thickBot="1">
      <c r="A56" s="47"/>
      <c r="B56" s="37" t="s">
        <v>42</v>
      </c>
      <c r="C56" s="48">
        <f>SUM(C16-C19)</f>
        <v>1938</v>
      </c>
      <c r="D56" s="49"/>
    </row>
    <row r="57" spans="1:4" ht="15.75">
      <c r="A57" s="67"/>
      <c r="B57" s="67"/>
      <c r="C57" s="67"/>
      <c r="D57" s="67"/>
    </row>
    <row r="58" spans="1:4" ht="15.75">
      <c r="A58" s="67"/>
      <c r="B58" s="67"/>
      <c r="C58" s="67"/>
      <c r="D58" s="67"/>
    </row>
    <row r="59" spans="1:4" ht="15.75">
      <c r="A59" s="182" t="s">
        <v>104</v>
      </c>
      <c r="B59" s="182"/>
      <c r="C59" s="182"/>
      <c r="D59" s="182"/>
    </row>
    <row r="60" spans="1:4" ht="15.75">
      <c r="A60" s="67"/>
      <c r="B60" s="67"/>
      <c r="C60" s="67"/>
      <c r="D60" s="67"/>
    </row>
    <row r="61" spans="1:4" ht="15.75">
      <c r="A61" s="67"/>
      <c r="B61" s="67"/>
      <c r="C61" s="67"/>
      <c r="D61" s="67"/>
    </row>
    <row r="62" spans="1:4" ht="15.75">
      <c r="A62" s="67"/>
      <c r="B62" s="67"/>
      <c r="C62" s="67"/>
      <c r="D62" s="67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</sheetData>
  <sheetProtection/>
  <mergeCells count="13">
    <mergeCell ref="A59:D59"/>
    <mergeCell ref="A16:A17"/>
    <mergeCell ref="C1:D1"/>
    <mergeCell ref="C3:D3"/>
    <mergeCell ref="C5:D5"/>
    <mergeCell ref="A15:D15"/>
    <mergeCell ref="A8:D8"/>
    <mergeCell ref="C6:D6"/>
    <mergeCell ref="A10:D10"/>
    <mergeCell ref="A12:D12"/>
    <mergeCell ref="A18:D18"/>
    <mergeCell ref="A21:A23"/>
    <mergeCell ref="A24:A2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="90" zoomScaleNormal="75" zoomScaleSheetLayoutView="90" zoomScalePageLayoutView="0" workbookViewId="0" topLeftCell="A1">
      <selection activeCell="A1" sqref="A1:M1"/>
    </sheetView>
  </sheetViews>
  <sheetFormatPr defaultColWidth="9.140625" defaultRowHeight="12.75"/>
  <cols>
    <col min="1" max="1" width="81.28125" style="0" customWidth="1"/>
    <col min="2" max="2" width="15.421875" style="0" customWidth="1"/>
    <col min="3" max="3" width="10.140625" style="0" customWidth="1"/>
    <col min="4" max="4" width="14.00390625" style="0" customWidth="1"/>
    <col min="5" max="5" width="13.421875" style="0" customWidth="1"/>
    <col min="6" max="6" width="13.57421875" style="0" customWidth="1"/>
    <col min="7" max="7" width="12.8515625" style="0" customWidth="1"/>
    <col min="8" max="8" width="12.7109375" style="0" customWidth="1"/>
    <col min="9" max="9" width="15.140625" style="0" customWidth="1"/>
    <col min="10" max="10" width="13.00390625" style="0" customWidth="1"/>
    <col min="11" max="11" width="12.8515625" style="0" customWidth="1"/>
    <col min="12" max="12" width="12.57421875" style="0" customWidth="1"/>
    <col min="13" max="13" width="14.28125" style="0" customWidth="1"/>
    <col min="14" max="14" width="15.57421875" style="0" customWidth="1"/>
  </cols>
  <sheetData>
    <row r="1" spans="1:13" ht="15.75">
      <c r="A1" s="197" t="s">
        <v>158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30" customHeight="1">
      <c r="A2" s="221" t="s">
        <v>106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3" ht="15.75">
      <c r="A3" s="197" t="s">
        <v>107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ht="22.5" customHeight="1">
      <c r="A4" s="197" t="s">
        <v>108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ht="11.25" customHeight="1" hidden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3" ht="29.25" customHeight="1">
      <c r="A6" s="182" t="s">
        <v>183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1:13" ht="27" customHeight="1">
      <c r="A7" s="196" t="s">
        <v>175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</row>
    <row r="8" spans="1:13" ht="27" customHeight="1" thickBot="1">
      <c r="A8" s="204" t="s">
        <v>192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</row>
    <row r="9" spans="1:13" ht="28.5" customHeight="1" thickBot="1">
      <c r="A9" s="71" t="s">
        <v>143</v>
      </c>
      <c r="B9" s="95"/>
      <c r="C9" s="76"/>
      <c r="D9" s="77">
        <f aca="true" t="shared" si="0" ref="D9:M9">SUM(D13+D14)</f>
        <v>1712321.514473929</v>
      </c>
      <c r="E9" s="79">
        <f t="shared" si="0"/>
        <v>2120267.984531221</v>
      </c>
      <c r="F9" s="77">
        <f t="shared" si="0"/>
        <v>2118618.617690477</v>
      </c>
      <c r="G9" s="77">
        <f t="shared" si="0"/>
        <v>2109733.690449207</v>
      </c>
      <c r="H9" s="77">
        <f t="shared" si="0"/>
        <v>1392694.4922855217</v>
      </c>
      <c r="I9" s="77">
        <f t="shared" si="0"/>
        <v>1376198.5202931094</v>
      </c>
      <c r="J9" s="77">
        <f t="shared" si="0"/>
        <v>1409602.80598812</v>
      </c>
      <c r="K9" s="77">
        <f t="shared" si="0"/>
        <v>1406559.7702386468</v>
      </c>
      <c r="L9" s="78">
        <f t="shared" si="0"/>
        <v>1104960.6040497671</v>
      </c>
      <c r="M9" s="79">
        <f t="shared" si="0"/>
        <v>14750957.999999996</v>
      </c>
    </row>
    <row r="10" spans="1:13" ht="0.75" customHeight="1" thickBot="1">
      <c r="A10" s="68"/>
      <c r="B10" s="68"/>
      <c r="C10" s="211" t="s">
        <v>146</v>
      </c>
      <c r="D10" s="214" t="s">
        <v>147</v>
      </c>
      <c r="E10" s="215"/>
      <c r="F10" s="215"/>
      <c r="G10" s="215"/>
      <c r="H10" s="215"/>
      <c r="I10" s="215"/>
      <c r="J10" s="215"/>
      <c r="K10" s="215"/>
      <c r="L10" s="216"/>
      <c r="M10" s="209" t="s">
        <v>105</v>
      </c>
    </row>
    <row r="11" spans="1:13" ht="40.5" customHeight="1" thickBot="1">
      <c r="A11" s="80"/>
      <c r="B11" s="80"/>
      <c r="C11" s="212"/>
      <c r="D11" s="172" t="s">
        <v>148</v>
      </c>
      <c r="E11" s="172" t="s">
        <v>149</v>
      </c>
      <c r="F11" s="164" t="s">
        <v>150</v>
      </c>
      <c r="G11" s="96" t="s">
        <v>151</v>
      </c>
      <c r="H11" s="96" t="s">
        <v>152</v>
      </c>
      <c r="I11" s="96" t="s">
        <v>153</v>
      </c>
      <c r="J11" s="96" t="s">
        <v>154</v>
      </c>
      <c r="K11" s="96" t="s">
        <v>155</v>
      </c>
      <c r="L11" s="97" t="s">
        <v>156</v>
      </c>
      <c r="M11" s="210"/>
    </row>
    <row r="12" spans="1:13" ht="30.75" customHeight="1" thickBot="1" thickTop="1">
      <c r="A12" s="15" t="s">
        <v>48</v>
      </c>
      <c r="B12" s="72"/>
      <c r="C12" s="213"/>
      <c r="D12" s="79">
        <v>7433.29</v>
      </c>
      <c r="E12" s="79">
        <v>9204.21</v>
      </c>
      <c r="F12" s="165">
        <v>9197.05</v>
      </c>
      <c r="G12" s="81">
        <v>9158.48</v>
      </c>
      <c r="H12" s="81">
        <v>6045.77</v>
      </c>
      <c r="I12" s="81">
        <v>5974.16</v>
      </c>
      <c r="J12" s="81">
        <v>6119.17</v>
      </c>
      <c r="K12" s="81">
        <v>6105.96</v>
      </c>
      <c r="L12" s="82">
        <v>4796.7</v>
      </c>
      <c r="M12" s="83">
        <f aca="true" t="shared" si="1" ref="M12:M31">SUM(D12:L12)</f>
        <v>64034.79</v>
      </c>
    </row>
    <row r="13" spans="1:13" ht="30.75" customHeight="1" thickBot="1">
      <c r="A13" s="129" t="s">
        <v>144</v>
      </c>
      <c r="B13" s="133">
        <v>9299898</v>
      </c>
      <c r="C13" s="84">
        <v>64034.79</v>
      </c>
      <c r="D13" s="173">
        <f>SUM(B13/C13)*D12</f>
        <v>1079551.2689964315</v>
      </c>
      <c r="E13" s="173">
        <f>SUM(B13/C13)*E12</f>
        <v>1336745.4499433823</v>
      </c>
      <c r="F13" s="85">
        <f>SUM(B13/C13)*F12</f>
        <v>1335705.5891164786</v>
      </c>
      <c r="G13" s="85">
        <f>SUM(B13/C13)*G12</f>
        <v>1330103.9924553512</v>
      </c>
      <c r="H13" s="85">
        <f>SUM(B13/C13)*H12</f>
        <v>878039.0211549066</v>
      </c>
      <c r="I13" s="85">
        <f>SUM(B13/C13)*I12</f>
        <v>867638.9605662797</v>
      </c>
      <c r="J13" s="85">
        <f>SUM(B13/C13)*J12</f>
        <v>888699.0469502594</v>
      </c>
      <c r="K13" s="85">
        <f>SUM(B13/C13)*K12</f>
        <v>886780.532771014</v>
      </c>
      <c r="L13" s="85">
        <f>SUM(B13/C13)*L12</f>
        <v>696634.1380458965</v>
      </c>
      <c r="M13" s="86">
        <f t="shared" si="1"/>
        <v>9299897.999999998</v>
      </c>
    </row>
    <row r="14" spans="1:13" ht="27.75" customHeight="1" thickBot="1">
      <c r="A14" s="129" t="s">
        <v>157</v>
      </c>
      <c r="B14" s="134">
        <v>5451060</v>
      </c>
      <c r="C14" s="84">
        <v>64034.79</v>
      </c>
      <c r="D14" s="174">
        <f>SUM(B14/C14)*D12</f>
        <v>632770.2454774975</v>
      </c>
      <c r="E14" s="174">
        <f>SUM(B14/C14)*E12</f>
        <v>783522.5345878388</v>
      </c>
      <c r="F14" s="135">
        <f>SUM(B14/C14)*F12</f>
        <v>782913.0285739985</v>
      </c>
      <c r="G14" s="135">
        <f>SUM(B14/C14)*G12</f>
        <v>779629.697993856</v>
      </c>
      <c r="H14" s="135">
        <f>SUM(B14/C14)*H12</f>
        <v>514655.4711306151</v>
      </c>
      <c r="I14" s="135">
        <f>SUM(B14/C14)*I12</f>
        <v>508559.5597268297</v>
      </c>
      <c r="J14" s="135">
        <f>SUM(B14/C14)*J12</f>
        <v>520903.7590378605</v>
      </c>
      <c r="K14" s="135">
        <f>SUM(B14/C14)*K12</f>
        <v>519779.2374676328</v>
      </c>
      <c r="L14" s="136">
        <f>SUM(B14/C14)*L12</f>
        <v>408326.46600387065</v>
      </c>
      <c r="M14" s="87">
        <f t="shared" si="1"/>
        <v>5451059.999999999</v>
      </c>
    </row>
    <row r="15" spans="1:13" ht="19.5" customHeight="1" thickBot="1">
      <c r="A15" s="73" t="s">
        <v>145</v>
      </c>
      <c r="B15" s="75"/>
      <c r="C15" s="88"/>
      <c r="D15" s="74">
        <f aca="true" t="shared" si="2" ref="D15:L15">SUM(D81)</f>
        <v>1556115.7756329784</v>
      </c>
      <c r="E15" s="74">
        <f t="shared" si="2"/>
        <v>2435911.329894813</v>
      </c>
      <c r="F15" s="166">
        <f t="shared" si="2"/>
        <v>2427799.7499801274</v>
      </c>
      <c r="G15" s="74">
        <f t="shared" si="2"/>
        <v>2045955.117776446</v>
      </c>
      <c r="H15" s="74">
        <f t="shared" si="2"/>
        <v>1275851.0720817542</v>
      </c>
      <c r="I15" s="74">
        <f t="shared" si="2"/>
        <v>1546856.2028934583</v>
      </c>
      <c r="J15" s="74">
        <f t="shared" si="2"/>
        <v>1419604.826710293</v>
      </c>
      <c r="K15" s="74">
        <f t="shared" si="2"/>
        <v>1078253.265848143</v>
      </c>
      <c r="L15" s="74">
        <f t="shared" si="2"/>
        <v>943862.6667278834</v>
      </c>
      <c r="M15" s="74">
        <f t="shared" si="1"/>
        <v>14730210.007545896</v>
      </c>
    </row>
    <row r="16" spans="1:14" ht="30.75" customHeight="1" thickBot="1">
      <c r="A16" s="70" t="s">
        <v>109</v>
      </c>
      <c r="B16" s="94"/>
      <c r="C16" s="89"/>
      <c r="D16" s="94">
        <f aca="true" t="shared" si="3" ref="D16:L16">SUM(D17+D20+D25+D26+D27+D28+D29+D30+D31)</f>
        <v>289146.88439987076</v>
      </c>
      <c r="E16" s="94">
        <f t="shared" si="3"/>
        <v>327507.7119676663</v>
      </c>
      <c r="F16" s="167">
        <f t="shared" si="3"/>
        <v>374863.3983875015</v>
      </c>
      <c r="G16" s="94">
        <f t="shared" si="3"/>
        <v>368084.99967423955</v>
      </c>
      <c r="H16" s="94">
        <f t="shared" si="3"/>
        <v>224505.6862503961</v>
      </c>
      <c r="I16" s="94">
        <f t="shared" si="3"/>
        <v>278062.3488934687</v>
      </c>
      <c r="J16" s="94">
        <f t="shared" si="3"/>
        <v>294235.10200236464</v>
      </c>
      <c r="K16" s="94">
        <f t="shared" si="3"/>
        <v>241968.8474780662</v>
      </c>
      <c r="L16" s="94">
        <f t="shared" si="3"/>
        <v>251880.02094642614</v>
      </c>
      <c r="M16" s="90">
        <f t="shared" si="1"/>
        <v>2650255</v>
      </c>
      <c r="N16" s="113"/>
    </row>
    <row r="17" spans="1:13" ht="27" customHeight="1" thickBot="1">
      <c r="A17" s="105" t="s">
        <v>110</v>
      </c>
      <c r="B17" s="94">
        <v>0</v>
      </c>
      <c r="C17" s="84">
        <v>64034.79</v>
      </c>
      <c r="D17" s="91">
        <f aca="true" t="shared" si="4" ref="D17:L17">SUM(D18:D19)</f>
        <v>25073.723830436546</v>
      </c>
      <c r="E17" s="91">
        <f t="shared" si="4"/>
        <v>31047.331614580133</v>
      </c>
      <c r="F17" s="168">
        <f t="shared" si="4"/>
        <v>31023.179743386365</v>
      </c>
      <c r="G17" s="91">
        <f t="shared" si="4"/>
        <v>30893.076716578595</v>
      </c>
      <c r="H17" s="91">
        <f t="shared" si="4"/>
        <v>20393.38803172463</v>
      </c>
      <c r="I17" s="91">
        <f t="shared" si="4"/>
        <v>20151.835588123267</v>
      </c>
      <c r="J17" s="91">
        <f t="shared" si="4"/>
        <v>20640.978443124433</v>
      </c>
      <c r="K17" s="91">
        <f t="shared" si="4"/>
        <v>20596.418915405204</v>
      </c>
      <c r="L17" s="91">
        <f t="shared" si="4"/>
        <v>16180.067116640812</v>
      </c>
      <c r="M17" s="103">
        <f t="shared" si="1"/>
        <v>215999.99999999997</v>
      </c>
    </row>
    <row r="18" spans="1:13" ht="90" customHeight="1" thickBot="1">
      <c r="A18" s="128" t="s">
        <v>178</v>
      </c>
      <c r="B18" s="91">
        <v>0</v>
      </c>
      <c r="C18" s="114">
        <v>64034.79</v>
      </c>
      <c r="D18" s="175">
        <f>SUM(B18)/C18*D12</f>
        <v>0</v>
      </c>
      <c r="E18" s="175">
        <f>SUM(B18/C18)*E12</f>
        <v>0</v>
      </c>
      <c r="F18" s="106">
        <f>SUM(B18/C18)*F12</f>
        <v>0</v>
      </c>
      <c r="G18" s="107">
        <f>SUM(B18/C18)*G12</f>
        <v>0</v>
      </c>
      <c r="H18" s="108">
        <f>SUM(B18/C18)*H12</f>
        <v>0</v>
      </c>
      <c r="I18" s="108">
        <f>SUM(B18/C18)*I12</f>
        <v>0</v>
      </c>
      <c r="J18" s="108">
        <f>SUM(B18/C18)*J12</f>
        <v>0</v>
      </c>
      <c r="K18" s="108">
        <f>SUM(B18/C18)*K12</f>
        <v>0</v>
      </c>
      <c r="L18" s="109">
        <f>SUM(B18/C18)*L12</f>
        <v>0</v>
      </c>
      <c r="M18" s="132">
        <f t="shared" si="1"/>
        <v>0</v>
      </c>
    </row>
    <row r="19" spans="1:13" ht="63.75" customHeight="1" thickBot="1">
      <c r="A19" s="137" t="s">
        <v>111</v>
      </c>
      <c r="B19" s="91">
        <v>216000</v>
      </c>
      <c r="C19" s="114">
        <v>64034.79</v>
      </c>
      <c r="D19" s="175">
        <f>SUM(B19)/C19*D12</f>
        <v>25073.723830436546</v>
      </c>
      <c r="E19" s="175">
        <f>SUM(B19/C19)*E12</f>
        <v>31047.331614580133</v>
      </c>
      <c r="F19" s="106">
        <f>SUM(B19/C19)*F12</f>
        <v>31023.179743386365</v>
      </c>
      <c r="G19" s="107">
        <f>SUM(B19/C19)*G12</f>
        <v>30893.076716578595</v>
      </c>
      <c r="H19" s="108">
        <f>SUM(B19/C19)*H12</f>
        <v>20393.38803172463</v>
      </c>
      <c r="I19" s="108">
        <f>SUM(B19/C19)*I12</f>
        <v>20151.835588123267</v>
      </c>
      <c r="J19" s="108">
        <f>SUM(B19/C19)*J12</f>
        <v>20640.978443124433</v>
      </c>
      <c r="K19" s="108">
        <f>SUM(B19/C19)*K12</f>
        <v>20596.418915405204</v>
      </c>
      <c r="L19" s="109">
        <f>SUM(B19/C19)*L12</f>
        <v>16180.067116640812</v>
      </c>
      <c r="M19" s="132">
        <f t="shared" si="1"/>
        <v>215999.99999999997</v>
      </c>
    </row>
    <row r="20" spans="1:14" ht="35.25" customHeight="1" thickBot="1">
      <c r="A20" s="138" t="s">
        <v>112</v>
      </c>
      <c r="B20" s="91">
        <v>0</v>
      </c>
      <c r="C20" s="114">
        <v>64034.79</v>
      </c>
      <c r="D20" s="91">
        <f aca="true" t="shared" si="5" ref="D20:L20">SUM(D21+D22+D23+D24)</f>
        <v>30969.026024759354</v>
      </c>
      <c r="E20" s="91">
        <f t="shared" si="5"/>
        <v>64011.14110001766</v>
      </c>
      <c r="F20" s="168">
        <f t="shared" si="5"/>
        <v>111498.8415359838</v>
      </c>
      <c r="G20" s="91">
        <f t="shared" si="5"/>
        <v>111432.58536492428</v>
      </c>
      <c r="H20" s="91">
        <f t="shared" si="5"/>
        <v>68585.52168282273</v>
      </c>
      <c r="I20" s="91">
        <f t="shared" si="5"/>
        <v>68462.50886432204</v>
      </c>
      <c r="J20" s="91">
        <f t="shared" si="5"/>
        <v>48711.609392331884</v>
      </c>
      <c r="K20" s="91">
        <f t="shared" si="5"/>
        <v>48688.91704025265</v>
      </c>
      <c r="L20" s="91">
        <f t="shared" si="5"/>
        <v>46439.8489945856</v>
      </c>
      <c r="M20" s="132">
        <f t="shared" si="1"/>
        <v>598799.9999999999</v>
      </c>
      <c r="N20" s="113"/>
    </row>
    <row r="21" spans="1:13" ht="78" customHeight="1" thickBot="1">
      <c r="A21" s="137" t="s">
        <v>180</v>
      </c>
      <c r="B21" s="91">
        <v>0</v>
      </c>
      <c r="C21" s="114">
        <v>64034.79</v>
      </c>
      <c r="D21" s="175">
        <f>SUM(B21)/C21*D12</f>
        <v>0</v>
      </c>
      <c r="E21" s="175">
        <f>SUM(B21/C21)*E12</f>
        <v>0</v>
      </c>
      <c r="F21" s="106">
        <f>SUM(B21/C21)*F12</f>
        <v>0</v>
      </c>
      <c r="G21" s="107">
        <f>SUM(B21/C21)*G12</f>
        <v>0</v>
      </c>
      <c r="H21" s="108">
        <f>SUM(B21/C21)*H12</f>
        <v>0</v>
      </c>
      <c r="I21" s="108">
        <f>SUM(B21/C21)*I12</f>
        <v>0</v>
      </c>
      <c r="J21" s="108">
        <f>SUM(B21/C21)*J12</f>
        <v>0</v>
      </c>
      <c r="K21" s="108">
        <f>SUM(B21/C21)*K12</f>
        <v>0</v>
      </c>
      <c r="L21" s="109">
        <f>SUM(B21/C21)*L12</f>
        <v>0</v>
      </c>
      <c r="M21" s="132">
        <f t="shared" si="1"/>
        <v>0</v>
      </c>
    </row>
    <row r="22" spans="1:13" ht="121.5" customHeight="1" thickBot="1">
      <c r="A22" s="137" t="s">
        <v>160</v>
      </c>
      <c r="B22" s="91">
        <v>0</v>
      </c>
      <c r="C22" s="114">
        <v>64034.79</v>
      </c>
      <c r="D22" s="175">
        <f>SUM(B22)/C22*D12+18200</f>
        <v>18200</v>
      </c>
      <c r="E22" s="175">
        <f>SUM(B22/C22)*E12+18200</f>
        <v>18200</v>
      </c>
      <c r="F22" s="106">
        <f>SUM(B22/C22)*F12+18200</f>
        <v>18200</v>
      </c>
      <c r="G22" s="107">
        <f>SUM(B22/C22)*G12+18200</f>
        <v>18200</v>
      </c>
      <c r="H22" s="107">
        <f>SUM(B217/D22)*H12+18200</f>
        <v>18200</v>
      </c>
      <c r="I22" s="107">
        <f>SUM(B22/C22)*I12+18200</f>
        <v>18200</v>
      </c>
      <c r="J22" s="108">
        <f>SUM(B22/C22)*J12+18200</f>
        <v>18200</v>
      </c>
      <c r="K22" s="108">
        <f>SUM(B22/C22)*K12+18200</f>
        <v>18200</v>
      </c>
      <c r="L22" s="109">
        <f>SUM(B22/C22)*L12+18200</f>
        <v>18200</v>
      </c>
      <c r="M22" s="132">
        <f t="shared" si="1"/>
        <v>163800</v>
      </c>
    </row>
    <row r="23" spans="1:13" ht="88.5" customHeight="1" thickBot="1">
      <c r="A23" s="139" t="s">
        <v>184</v>
      </c>
      <c r="B23" s="91">
        <v>110000</v>
      </c>
      <c r="C23" s="114">
        <v>64034.79</v>
      </c>
      <c r="D23" s="175">
        <f>SUM(B23)/C23*D12</f>
        <v>12769.026024759352</v>
      </c>
      <c r="E23" s="175">
        <f>SUM(B23/C23)*E12</f>
        <v>15811.141100017661</v>
      </c>
      <c r="F23" s="106">
        <f>SUM(B23/C23)*F12</f>
        <v>15798.841535983798</v>
      </c>
      <c r="G23" s="107">
        <f>SUM(B23/C23)*G12</f>
        <v>15732.585364924285</v>
      </c>
      <c r="H23" s="108">
        <f>SUM(B23/C23)*H12</f>
        <v>10385.52168282273</v>
      </c>
      <c r="I23" s="108">
        <f>SUM(B23/C23)*I12</f>
        <v>10262.508864322035</v>
      </c>
      <c r="J23" s="108">
        <f>SUM(B23/C23)*J12</f>
        <v>10511.609392331888</v>
      </c>
      <c r="K23" s="108">
        <f>SUM(B23/C23)*K12</f>
        <v>10488.91704025265</v>
      </c>
      <c r="L23" s="109">
        <f>SUM(B23/C23)*L12</f>
        <v>8239.848994585598</v>
      </c>
      <c r="M23" s="132">
        <f t="shared" si="1"/>
        <v>110000</v>
      </c>
    </row>
    <row r="24" spans="1:13" ht="48" customHeight="1" thickBot="1">
      <c r="A24" s="140" t="s">
        <v>185</v>
      </c>
      <c r="B24" s="91">
        <v>0</v>
      </c>
      <c r="C24" s="114">
        <v>64034.79</v>
      </c>
      <c r="D24" s="175">
        <f>SUM(B24)/C24*D12</f>
        <v>0</v>
      </c>
      <c r="E24" s="175">
        <f>SUM(B24/C24)*E12+20000+10000</f>
        <v>30000</v>
      </c>
      <c r="F24" s="106">
        <f>SUM(B24/C24)*F12+20000+57500</f>
        <v>77500</v>
      </c>
      <c r="G24" s="107">
        <f>SUM(B24/C24)*G12+20000+57500</f>
        <v>77500</v>
      </c>
      <c r="H24" s="108">
        <f>SUM(B24/C24)*H12+20000+20000</f>
        <v>40000</v>
      </c>
      <c r="I24" s="108">
        <f>SUM(B24/C24)*I12+20000+20000</f>
        <v>40000</v>
      </c>
      <c r="J24" s="108">
        <f>SUM(B24/C24)*J12+20000</f>
        <v>20000</v>
      </c>
      <c r="K24" s="108">
        <f>SUM(B24/C24)*K12+20000</f>
        <v>20000</v>
      </c>
      <c r="L24" s="109">
        <f>SUM(B24/C24)*L12+20000</f>
        <v>20000</v>
      </c>
      <c r="M24" s="132">
        <f t="shared" si="1"/>
        <v>325000</v>
      </c>
    </row>
    <row r="25" spans="1:13" ht="52.5" customHeight="1" thickBot="1">
      <c r="A25" s="141" t="s">
        <v>162</v>
      </c>
      <c r="B25" s="91">
        <v>882655</v>
      </c>
      <c r="C25" s="114">
        <v>64034.79</v>
      </c>
      <c r="D25" s="175">
        <f>SUM(B25)/C25*D12+6000</f>
        <v>108460.40605349062</v>
      </c>
      <c r="E25" s="175">
        <f>SUM(B25/C25)*E12+6000</f>
        <v>132870.75225123717</v>
      </c>
      <c r="F25" s="106">
        <f>SUM(B25/C25)*F12+6000</f>
        <v>132772.05887221618</v>
      </c>
      <c r="G25" s="107">
        <f>SUM(B25/C25)*G12</f>
        <v>126240.41032070223</v>
      </c>
      <c r="H25" s="108">
        <f>SUM(B25/C25)*H12</f>
        <v>83334.84219047178</v>
      </c>
      <c r="I25" s="108">
        <f>SUM(B25/C25)*I12</f>
        <v>82347.77056034697</v>
      </c>
      <c r="J25" s="108">
        <f>SUM(B25/C25)*J12+50000+2000</f>
        <v>136346.58716535184</v>
      </c>
      <c r="K25" s="108">
        <f>SUM(B25/C25)*K12</f>
        <v>84164.5006378564</v>
      </c>
      <c r="L25" s="109">
        <f>SUM(B25/C25)*L12</f>
        <v>66117.67194832684</v>
      </c>
      <c r="M25" s="132">
        <f t="shared" si="1"/>
        <v>952655.0000000001</v>
      </c>
    </row>
    <row r="26" spans="1:13" ht="15.75" customHeight="1" thickBot="1">
      <c r="A26" s="142" t="s">
        <v>113</v>
      </c>
      <c r="B26" s="91">
        <v>0</v>
      </c>
      <c r="C26" s="114">
        <v>64034.79</v>
      </c>
      <c r="D26" s="175">
        <f>SUM(B26)/C26*D12+18000</f>
        <v>18000</v>
      </c>
      <c r="E26" s="175">
        <f>SUM(B26/C26)*E12</f>
        <v>0</v>
      </c>
      <c r="F26" s="106">
        <f>SUM(B26/C26)*F12</f>
        <v>0</v>
      </c>
      <c r="G26" s="107">
        <f>SUM(B26/C26)*G12</f>
        <v>0</v>
      </c>
      <c r="H26" s="108">
        <f>SUM(B26/C26)*H12</f>
        <v>0</v>
      </c>
      <c r="I26" s="108">
        <f>SUM(B26/C26)*I12</f>
        <v>0</v>
      </c>
      <c r="J26" s="108">
        <f>SUM(B26/C26)*J12</f>
        <v>0</v>
      </c>
      <c r="K26" s="108">
        <f>SUM(B26/C26)*K12</f>
        <v>0</v>
      </c>
      <c r="L26" s="109">
        <f>SUM(B26/C26)*L12+12200</f>
        <v>12200</v>
      </c>
      <c r="M26" s="132">
        <f t="shared" si="1"/>
        <v>30200</v>
      </c>
    </row>
    <row r="27" spans="1:13" ht="17.25" customHeight="1" thickBot="1">
      <c r="A27" s="142" t="s">
        <v>114</v>
      </c>
      <c r="B27" s="91">
        <v>0</v>
      </c>
      <c r="C27" s="114">
        <v>64034.79</v>
      </c>
      <c r="D27" s="175">
        <f>SUM(B27)/C27*D12</f>
        <v>0</v>
      </c>
      <c r="E27" s="175">
        <f>SUM(B27/C27)*E12</f>
        <v>0</v>
      </c>
      <c r="F27" s="106">
        <f>SUM(B27/C27)*F12</f>
        <v>0</v>
      </c>
      <c r="G27" s="107">
        <f>SUM(B27/C27)*G12</f>
        <v>0</v>
      </c>
      <c r="H27" s="108">
        <f>SUM(B27/C27)*H12</f>
        <v>0</v>
      </c>
      <c r="I27" s="108">
        <f>SUM(B27/C27)*I12</f>
        <v>0</v>
      </c>
      <c r="J27" s="108">
        <f>SUM(B27/C27)*J12</f>
        <v>0</v>
      </c>
      <c r="K27" s="108">
        <f>SUM(B27/C27)*K12</f>
        <v>0</v>
      </c>
      <c r="L27" s="109">
        <f>SUM(B27/C27)*L12</f>
        <v>0</v>
      </c>
      <c r="M27" s="132">
        <f t="shared" si="1"/>
        <v>0</v>
      </c>
    </row>
    <row r="28" spans="1:13" ht="60.75" customHeight="1" thickBot="1">
      <c r="A28" s="143" t="s">
        <v>191</v>
      </c>
      <c r="B28" s="91">
        <v>20000</v>
      </c>
      <c r="C28" s="114">
        <v>64034.79</v>
      </c>
      <c r="D28" s="175">
        <f>SUM(B28)/C28*D12+11100</f>
        <v>13421.641095410792</v>
      </c>
      <c r="E28" s="175">
        <f>SUM(B28/C28)*E12+11100</f>
        <v>13974.752927275938</v>
      </c>
      <c r="F28" s="106">
        <f>SUM(B28/C28)*F12+11100</f>
        <v>13972.516642906145</v>
      </c>
      <c r="G28" s="107">
        <f>SUM(B28/C28)*G12+11100</f>
        <v>13960.47006634987</v>
      </c>
      <c r="H28" s="108">
        <f>SUM(B28/C28)*H12+11100</f>
        <v>12988.276669604133</v>
      </c>
      <c r="I28" s="108">
        <f>SUM(B28/C28)*I12+11100+55000</f>
        <v>67965.910702604</v>
      </c>
      <c r="J28" s="108">
        <f>SUM(B28/C28)*J12+11100+55000</f>
        <v>68011.2017076967</v>
      </c>
      <c r="K28" s="108">
        <f>SUM(B28/C28)*K12+11100+55000</f>
        <v>68007.07582550048</v>
      </c>
      <c r="L28" s="109">
        <f>SUM(B28/C28)*L12+11200+55000</f>
        <v>67698.15436265193</v>
      </c>
      <c r="M28" s="132">
        <f t="shared" si="1"/>
        <v>340000</v>
      </c>
    </row>
    <row r="29" spans="1:13" ht="30" customHeight="1" thickBot="1">
      <c r="A29" s="143" t="s">
        <v>174</v>
      </c>
      <c r="B29" s="91">
        <v>12000</v>
      </c>
      <c r="C29" s="114">
        <v>64034.79</v>
      </c>
      <c r="D29" s="175">
        <f>SUM(B29)/C29*D12+21900</f>
        <v>23292.984657246474</v>
      </c>
      <c r="E29" s="175">
        <f>SUM(B29/C29)*E12+21900</f>
        <v>23624.851756365562</v>
      </c>
      <c r="F29" s="106">
        <f>SUM(B29/C29)*F12+21900</f>
        <v>23623.509985743687</v>
      </c>
      <c r="G29" s="107">
        <f>SUM(B29/C29)*G12+21900</f>
        <v>23616.28203980992</v>
      </c>
      <c r="H29" s="107">
        <f>SUM(B29/C29)*H12+14600</f>
        <v>15732.96600176248</v>
      </c>
      <c r="I29" s="107">
        <f>SUM(B29/C29)*I12+14600</f>
        <v>15719.546421562403</v>
      </c>
      <c r="J29" s="108">
        <f>SUM(B29/C29)*J12+14600</f>
        <v>15746.721024618024</v>
      </c>
      <c r="K29" s="108">
        <f>SUM(B29/C29)*K12+14600</f>
        <v>15744.245495300289</v>
      </c>
      <c r="L29" s="109">
        <f>SUM(B29/C29)*L12+14600</f>
        <v>15498.892617591157</v>
      </c>
      <c r="M29" s="132">
        <f t="shared" si="1"/>
        <v>172600.00000000003</v>
      </c>
    </row>
    <row r="30" spans="1:13" ht="60" customHeight="1" thickBot="1">
      <c r="A30" s="144" t="s">
        <v>115</v>
      </c>
      <c r="B30" s="91">
        <v>0</v>
      </c>
      <c r="C30" s="114">
        <v>64034.79</v>
      </c>
      <c r="D30" s="175">
        <f>SUM(B30)/C30*D12</f>
        <v>0</v>
      </c>
      <c r="E30" s="175">
        <f>SUM(B30/C30)*E12</f>
        <v>0</v>
      </c>
      <c r="F30" s="106">
        <f>SUM(B30/C30)*F12</f>
        <v>0</v>
      </c>
      <c r="G30" s="107">
        <f>SUM(B30/C30)*G12</f>
        <v>0</v>
      </c>
      <c r="H30" s="108">
        <f>SUM(B30/C30)*H24</f>
        <v>0</v>
      </c>
      <c r="I30" s="108">
        <f>SUM(B30/C30)*I12</f>
        <v>0</v>
      </c>
      <c r="J30" s="108">
        <f>SUM(B30/C30)*J12</f>
        <v>0</v>
      </c>
      <c r="K30" s="108">
        <f>SUM(B30/C30)*K12</f>
        <v>0</v>
      </c>
      <c r="L30" s="109">
        <f>SUM(B30/C30)*L12</f>
        <v>0</v>
      </c>
      <c r="M30" s="132">
        <f t="shared" si="1"/>
        <v>0</v>
      </c>
    </row>
    <row r="31" spans="1:13" ht="15" customHeight="1" thickBot="1">
      <c r="A31" s="142" t="s">
        <v>116</v>
      </c>
      <c r="B31" s="91">
        <v>50000</v>
      </c>
      <c r="C31" s="114">
        <v>64034.79</v>
      </c>
      <c r="D31" s="175">
        <f>SUM(B31)/C31*D12+36000+28125</f>
        <v>69929.10273852697</v>
      </c>
      <c r="E31" s="175">
        <f>SUM(B31/C31)*E12+26667+28125</f>
        <v>61978.88231818985</v>
      </c>
      <c r="F31" s="106">
        <f>SUM(B31/C31)*F12+26667+28125</f>
        <v>61973.29160726536</v>
      </c>
      <c r="G31" s="107">
        <f>SUM(B31/C31)*G12+26666+28125</f>
        <v>61942.17516587467</v>
      </c>
      <c r="H31" s="108">
        <f>SUM(B31/C31)*H12+18750</f>
        <v>23470.69167401033</v>
      </c>
      <c r="I31" s="108">
        <f>SUM(B31/C31)*I12+18750</f>
        <v>23414.776756510015</v>
      </c>
      <c r="J31" s="108">
        <f>SUM(B31/C31)*J12</f>
        <v>4778.004269241766</v>
      </c>
      <c r="K31" s="108">
        <f>SUM(B31/C31)*K12</f>
        <v>4767.689563751204</v>
      </c>
      <c r="L31" s="109">
        <f>SUM(B31/C31)*L12+24000</f>
        <v>27745.385906629817</v>
      </c>
      <c r="M31" s="132">
        <f t="shared" si="1"/>
        <v>340000</v>
      </c>
    </row>
    <row r="32" spans="1:13" ht="15" customHeight="1" thickBot="1">
      <c r="A32" s="145" t="s">
        <v>117</v>
      </c>
      <c r="B32" s="91">
        <f>SUM(B17+B20+B25+B26+B27+B28+B29+B30+B31)</f>
        <v>964655</v>
      </c>
      <c r="C32" s="114"/>
      <c r="D32" s="91">
        <f aca="true" t="shared" si="6" ref="D32:M32">SUM(D17+D20+D25+D26+D27+D28+D29+D30+D31)</f>
        <v>289146.88439987076</v>
      </c>
      <c r="E32" s="91">
        <f t="shared" si="6"/>
        <v>327507.7119676663</v>
      </c>
      <c r="F32" s="168">
        <f t="shared" si="6"/>
        <v>374863.3983875015</v>
      </c>
      <c r="G32" s="91">
        <f t="shared" si="6"/>
        <v>368084.99967423955</v>
      </c>
      <c r="H32" s="91">
        <f t="shared" si="6"/>
        <v>224505.6862503961</v>
      </c>
      <c r="I32" s="91">
        <f t="shared" si="6"/>
        <v>278062.3488934687</v>
      </c>
      <c r="J32" s="91">
        <f t="shared" si="6"/>
        <v>294235.10200236464</v>
      </c>
      <c r="K32" s="91">
        <f t="shared" si="6"/>
        <v>241968.8474780662</v>
      </c>
      <c r="L32" s="91">
        <f t="shared" si="6"/>
        <v>251880.02094642614</v>
      </c>
      <c r="M32" s="91">
        <f t="shared" si="6"/>
        <v>2650255</v>
      </c>
    </row>
    <row r="33" spans="1:13" ht="18" customHeight="1" thickBot="1">
      <c r="A33" s="145" t="s">
        <v>118</v>
      </c>
      <c r="B33" s="91"/>
      <c r="C33" s="114"/>
      <c r="D33" s="175"/>
      <c r="E33" s="175"/>
      <c r="F33" s="106"/>
      <c r="G33" s="107"/>
      <c r="H33" s="108"/>
      <c r="I33" s="108"/>
      <c r="J33" s="108"/>
      <c r="K33" s="108"/>
      <c r="L33" s="109"/>
      <c r="M33" s="132"/>
    </row>
    <row r="34" spans="1:13" ht="45.75" customHeight="1" thickBot="1">
      <c r="A34" s="146" t="s">
        <v>188</v>
      </c>
      <c r="B34" s="91">
        <v>0</v>
      </c>
      <c r="C34" s="114">
        <v>64034.79</v>
      </c>
      <c r="D34" s="175">
        <f>SUM(B34)/C34*D12+80000</f>
        <v>80000</v>
      </c>
      <c r="E34" s="175">
        <f>SUM(B34/C34)*E12</f>
        <v>0</v>
      </c>
      <c r="F34" s="106">
        <f>SUM(B34/C34)*F12</f>
        <v>0</v>
      </c>
      <c r="G34" s="107">
        <f>SUM(B34/C34)*G12</f>
        <v>0</v>
      </c>
      <c r="H34" s="108">
        <f>SUM(B34/C34)*H12</f>
        <v>0</v>
      </c>
      <c r="I34" s="108">
        <f>SUM(B34/C34)*I12</f>
        <v>0</v>
      </c>
      <c r="J34" s="108">
        <f>SUM(B34/C34)*J12</f>
        <v>0</v>
      </c>
      <c r="K34" s="108">
        <f>SUM(B34/C34)*K12</f>
        <v>0</v>
      </c>
      <c r="L34" s="109">
        <f>SUM(B34/C34)*L12</f>
        <v>0</v>
      </c>
      <c r="M34" s="132">
        <f aca="true" t="shared" si="7" ref="M34:M51">SUM(D34:L34)</f>
        <v>80000</v>
      </c>
    </row>
    <row r="35" spans="1:13" ht="30.75" customHeight="1" thickBot="1">
      <c r="A35" s="147" t="s">
        <v>179</v>
      </c>
      <c r="B35" s="91">
        <v>0</v>
      </c>
      <c r="C35" s="114">
        <v>64034.79</v>
      </c>
      <c r="D35" s="175">
        <f>SUM(B35)/C35*D12</f>
        <v>0</v>
      </c>
      <c r="E35" s="175">
        <f>SUM(B35/C35)*E12+277500</f>
        <v>277500</v>
      </c>
      <c r="F35" s="106">
        <f>SUM(B35/C35)*F12+277500</f>
        <v>277500</v>
      </c>
      <c r="G35" s="107">
        <f>SUM(B35/C35)*G12</f>
        <v>0</v>
      </c>
      <c r="H35" s="107">
        <f>SUM(B35/C35)*H12</f>
        <v>0</v>
      </c>
      <c r="I35" s="108">
        <f>SUM(B35/C35)*I12</f>
        <v>0</v>
      </c>
      <c r="J35" s="108">
        <f>SUM(B35/C35)*J12</f>
        <v>0</v>
      </c>
      <c r="K35" s="108">
        <f>SUM(B35/C35)*K12</f>
        <v>0</v>
      </c>
      <c r="L35" s="109">
        <f>SUM(B35/C35)*L12</f>
        <v>0</v>
      </c>
      <c r="M35" s="132">
        <f t="shared" si="7"/>
        <v>555000</v>
      </c>
    </row>
    <row r="36" spans="1:13" ht="55.5" customHeight="1" thickBot="1">
      <c r="A36" s="147" t="s">
        <v>173</v>
      </c>
      <c r="B36" s="91">
        <v>0</v>
      </c>
      <c r="C36" s="114">
        <v>64034.79</v>
      </c>
      <c r="D36" s="175">
        <f>SUM(B36)/C36*D12</f>
        <v>0</v>
      </c>
      <c r="E36" s="175">
        <f>SUM(B36/C36)*E12+175000</f>
        <v>175000</v>
      </c>
      <c r="F36" s="106">
        <f>SUM(B36/C36)*F12+175000</f>
        <v>175000</v>
      </c>
      <c r="G36" s="107">
        <f>SUM(B36/C36)*G12</f>
        <v>0</v>
      </c>
      <c r="H36" s="108">
        <f>SUM(B36/C36)*H12</f>
        <v>0</v>
      </c>
      <c r="I36" s="108">
        <f>SUM(B36/C36)*I12</f>
        <v>0</v>
      </c>
      <c r="J36" s="108">
        <f>SUM(B36/C36)*J12</f>
        <v>0</v>
      </c>
      <c r="K36" s="108">
        <f>SUM(B36/C36)*K12</f>
        <v>0</v>
      </c>
      <c r="L36" s="109">
        <f>SUM(B36/C36)*L12</f>
        <v>0</v>
      </c>
      <c r="M36" s="132">
        <f t="shared" si="7"/>
        <v>350000</v>
      </c>
    </row>
    <row r="37" spans="1:13" ht="71.25" customHeight="1" thickBot="1">
      <c r="A37" s="147" t="s">
        <v>189</v>
      </c>
      <c r="B37" s="91">
        <v>100000</v>
      </c>
      <c r="C37" s="114">
        <v>64034.79</v>
      </c>
      <c r="D37" s="175">
        <f>SUM(B37)/C37*D12</f>
        <v>11608.205477053956</v>
      </c>
      <c r="E37" s="175">
        <f>SUM(B37/C37)*E12+93750</f>
        <v>108123.7646363797</v>
      </c>
      <c r="F37" s="106">
        <f>SUM(B37/C37)*F12+93750</f>
        <v>108112.58321453072</v>
      </c>
      <c r="G37" s="107">
        <f>SUM(B37/C37)*G12+66668+364284</f>
        <v>445254.35033174936</v>
      </c>
      <c r="H37" s="108">
        <f>SUM(B37/C37)*H12</f>
        <v>9441.383348020661</v>
      </c>
      <c r="I37" s="108">
        <f>SUM(B37/C37)*I12+44444+242858+62500</f>
        <v>359131.55351302004</v>
      </c>
      <c r="J37" s="108">
        <f>SUM(B37/C37)*J12+44444+242858</f>
        <v>296858.0085384835</v>
      </c>
      <c r="K37" s="108">
        <f>SUM(B37/C37)*K12</f>
        <v>9535.379127502409</v>
      </c>
      <c r="L37" s="109">
        <f>SUM(B37/C37)*L12+44444</f>
        <v>51934.771813259635</v>
      </c>
      <c r="M37" s="132">
        <f t="shared" si="7"/>
        <v>1400000</v>
      </c>
    </row>
    <row r="38" spans="1:13" ht="29.25" customHeight="1" thickBot="1">
      <c r="A38" s="147" t="s">
        <v>119</v>
      </c>
      <c r="B38" s="91">
        <v>0</v>
      </c>
      <c r="C38" s="114">
        <v>64034.79</v>
      </c>
      <c r="D38" s="175">
        <f>SUM(B38)/C38*D12</f>
        <v>0</v>
      </c>
      <c r="E38" s="175">
        <f>SUM(B38/C38)*E12</f>
        <v>0</v>
      </c>
      <c r="F38" s="106">
        <f>SUM(B38/C38)*F12</f>
        <v>0</v>
      </c>
      <c r="G38" s="107">
        <f>SUM(B38/C38)*G12</f>
        <v>0</v>
      </c>
      <c r="H38" s="108">
        <f>SUM(B38/C38)*H12</f>
        <v>0</v>
      </c>
      <c r="I38" s="108">
        <f>SUM(B38/C38)*I1</f>
        <v>0</v>
      </c>
      <c r="J38" s="108">
        <f>SUM(B38/C38)*J1</f>
        <v>0</v>
      </c>
      <c r="K38" s="108">
        <f>SUM(B38/C38)*K12</f>
        <v>0</v>
      </c>
      <c r="L38" s="109">
        <f>SUM(B38/C38)*L12</f>
        <v>0</v>
      </c>
      <c r="M38" s="102">
        <f t="shared" si="7"/>
        <v>0</v>
      </c>
    </row>
    <row r="39" spans="1:13" ht="42.75" customHeight="1" thickBot="1">
      <c r="A39" s="147" t="s">
        <v>187</v>
      </c>
      <c r="B39" s="91">
        <v>0</v>
      </c>
      <c r="C39" s="114">
        <v>64034.79</v>
      </c>
      <c r="D39" s="175">
        <f>SUM(B39)/C39*D12</f>
        <v>0</v>
      </c>
      <c r="E39" s="175">
        <f>SUM(B39/C39)*E12+18000+168750</f>
        <v>186750</v>
      </c>
      <c r="F39" s="106">
        <f>SUM(B39/C39)*F12+168750</f>
        <v>168750</v>
      </c>
      <c r="G39" s="107">
        <f>SUM(B39/C39)*G12+18000</f>
        <v>18000</v>
      </c>
      <c r="H39" s="108">
        <f>SUM(B39/C39)*H12</f>
        <v>0</v>
      </c>
      <c r="I39" s="108">
        <f>SUM(B39/C39)*I12+112500</f>
        <v>112500</v>
      </c>
      <c r="J39" s="108">
        <f>SUM(B39/C39)*J12+12000</f>
        <v>12000</v>
      </c>
      <c r="K39" s="108">
        <f>SUM(B39/C39)*K12+12000</f>
        <v>12000</v>
      </c>
      <c r="L39" s="109">
        <f>SUM(B39/C39)*L12</f>
        <v>0</v>
      </c>
      <c r="M39" s="132">
        <f t="shared" si="7"/>
        <v>510000</v>
      </c>
    </row>
    <row r="40" spans="1:13" ht="19.5" customHeight="1" thickBot="1">
      <c r="A40" s="147" t="s">
        <v>120</v>
      </c>
      <c r="B40" s="91">
        <v>0</v>
      </c>
      <c r="C40" s="114">
        <v>64034.79</v>
      </c>
      <c r="D40" s="175">
        <f>SUM(B40)/C40*D12</f>
        <v>0</v>
      </c>
      <c r="E40" s="175">
        <f>SUM(B40/C40)*E12</f>
        <v>0</v>
      </c>
      <c r="F40" s="106">
        <f>SUM(B40/C40)*F12</f>
        <v>0</v>
      </c>
      <c r="G40" s="107">
        <f>SUM(B40/C40)*G12</f>
        <v>0</v>
      </c>
      <c r="H40" s="108">
        <f>SUM(B40/C40)*H12</f>
        <v>0</v>
      </c>
      <c r="I40" s="108">
        <f>SUM(B40/C40)*I12</f>
        <v>0</v>
      </c>
      <c r="J40" s="108">
        <f>SUM(B40/C40)*J12</f>
        <v>0</v>
      </c>
      <c r="K40" s="108">
        <f>SUM(B40/C40)*K12</f>
        <v>0</v>
      </c>
      <c r="L40" s="109">
        <f>SUM(B40/C40)*L12</f>
        <v>0</v>
      </c>
      <c r="M40" s="132">
        <f t="shared" si="7"/>
        <v>0</v>
      </c>
    </row>
    <row r="41" spans="1:13" ht="72.75" customHeight="1" thickBot="1">
      <c r="A41" s="147" t="s">
        <v>186</v>
      </c>
      <c r="B41" s="91">
        <v>70000</v>
      </c>
      <c r="C41" s="114">
        <v>64034.79</v>
      </c>
      <c r="D41" s="175">
        <f>SUM(B41)/C41*D12</f>
        <v>8125.74383393777</v>
      </c>
      <c r="E41" s="175">
        <f>SUM(B41/C41)*E12</f>
        <v>10061.635245465784</v>
      </c>
      <c r="F41" s="106">
        <f>SUM(B41/C41)*F12</f>
        <v>10053.808250171507</v>
      </c>
      <c r="G41" s="107">
        <f>SUM(B41/C41)*G12</f>
        <v>10011.645232224544</v>
      </c>
      <c r="H41" s="108">
        <f>SUM(B41/C41)*H12</f>
        <v>6608.968343614463</v>
      </c>
      <c r="I41" s="108">
        <f>SUM(B41/C41)*I12</f>
        <v>6530.687459114022</v>
      </c>
      <c r="J41" s="108">
        <f>SUM(B41/C41)*J12</f>
        <v>6689.205976938473</v>
      </c>
      <c r="K41" s="108">
        <f>SUM(B41/C41)*K12</f>
        <v>6674.765389251686</v>
      </c>
      <c r="L41" s="109">
        <f>SUM(B41/C41)*L12</f>
        <v>5243.540269281745</v>
      </c>
      <c r="M41" s="132">
        <f t="shared" si="7"/>
        <v>70000</v>
      </c>
    </row>
    <row r="42" spans="1:13" ht="72" customHeight="1" thickBot="1">
      <c r="A42" s="148" t="s">
        <v>190</v>
      </c>
      <c r="B42" s="91">
        <v>70000</v>
      </c>
      <c r="C42" s="114">
        <v>64034.79</v>
      </c>
      <c r="D42" s="175">
        <f>SUM(B42)/C42*D12</f>
        <v>8125.74383393777</v>
      </c>
      <c r="E42" s="175">
        <f>SUM(B42/C42)*E12+16365</f>
        <v>26426.635245465783</v>
      </c>
      <c r="F42" s="106">
        <f>SUM(B42/C42)*F12+16365</f>
        <v>26418.808250171507</v>
      </c>
      <c r="G42" s="107">
        <f>SUM(B42/C42)*G12+16365</f>
        <v>26376.645232224546</v>
      </c>
      <c r="H42" s="108">
        <f>SUM(B42/C42)*H12+10905</f>
        <v>17513.968343614462</v>
      </c>
      <c r="I42" s="108">
        <f>SUM(B42/C42)*I12</f>
        <v>6530.687459114022</v>
      </c>
      <c r="J42" s="108">
        <f>SUM(B42/C42)*J12</f>
        <v>6689.205976938473</v>
      </c>
      <c r="K42" s="108">
        <f>SUM(B42/C42)*K12</f>
        <v>6674.765389251686</v>
      </c>
      <c r="L42" s="109">
        <f>SUM(B42/C42)*L12</f>
        <v>5243.540269281745</v>
      </c>
      <c r="M42" s="132">
        <f t="shared" si="7"/>
        <v>130000</v>
      </c>
    </row>
    <row r="43" spans="1:13" ht="57" customHeight="1" thickBot="1">
      <c r="A43" s="148" t="s">
        <v>181</v>
      </c>
      <c r="B43" s="91">
        <f>SUM(B44:B47)</f>
        <v>500000</v>
      </c>
      <c r="C43" s="114">
        <v>64034.79</v>
      </c>
      <c r="D43" s="91">
        <f aca="true" t="shared" si="8" ref="D43:L43">SUM(D44:D47)</f>
        <v>58041.02738526979</v>
      </c>
      <c r="E43" s="91">
        <f t="shared" si="8"/>
        <v>371868.8231818984</v>
      </c>
      <c r="F43" s="168">
        <f t="shared" si="8"/>
        <v>151812.9160726536</v>
      </c>
      <c r="G43" s="91">
        <f t="shared" si="8"/>
        <v>71511.75165874675</v>
      </c>
      <c r="H43" s="91">
        <f t="shared" si="8"/>
        <v>287206.9167401033</v>
      </c>
      <c r="I43" s="91">
        <f t="shared" si="8"/>
        <v>46647.767565100155</v>
      </c>
      <c r="J43" s="91">
        <f t="shared" si="8"/>
        <v>47780.04269241767</v>
      </c>
      <c r="K43" s="91">
        <f t="shared" si="8"/>
        <v>47676.89563751204</v>
      </c>
      <c r="L43" s="91">
        <f t="shared" si="8"/>
        <v>37453.85906629817</v>
      </c>
      <c r="M43" s="132">
        <f t="shared" si="7"/>
        <v>1119999.9999999998</v>
      </c>
    </row>
    <row r="44" spans="1:13" ht="18" customHeight="1" thickBot="1">
      <c r="A44" s="146" t="s">
        <v>122</v>
      </c>
      <c r="B44" s="91">
        <v>125000</v>
      </c>
      <c r="C44" s="114">
        <v>64034.79</v>
      </c>
      <c r="D44" s="175">
        <f>SUM(B44)/C44*D12</f>
        <v>14510.256846317447</v>
      </c>
      <c r="E44" s="175">
        <f>SUM(B44/C44)*E12</f>
        <v>17967.205795474612</v>
      </c>
      <c r="F44" s="106">
        <f>SUM(B44/C44)*F12</f>
        <v>17953.229018163405</v>
      </c>
      <c r="G44" s="107">
        <f>SUM(B44/C44)*G12</f>
        <v>17877.93791468669</v>
      </c>
      <c r="H44" s="108">
        <f>SUM(B44/C44)*H12</f>
        <v>11801.729185025828</v>
      </c>
      <c r="I44" s="108">
        <f>SUM(B44/C44)*I12</f>
        <v>11661.941891275039</v>
      </c>
      <c r="J44" s="108">
        <f>SUM(B44/C44)*J12</f>
        <v>11945.010673104416</v>
      </c>
      <c r="K44" s="108">
        <f>SUM(B44/C44)*K12</f>
        <v>11919.223909378012</v>
      </c>
      <c r="L44" s="109">
        <f>SUM(B44/C44)*L12</f>
        <v>9363.464766574545</v>
      </c>
      <c r="M44" s="132">
        <f t="shared" si="7"/>
        <v>125000</v>
      </c>
    </row>
    <row r="45" spans="1:13" ht="18" customHeight="1" thickBot="1">
      <c r="A45" s="147" t="s">
        <v>123</v>
      </c>
      <c r="B45" s="91">
        <v>125000</v>
      </c>
      <c r="C45" s="114">
        <v>64034.79</v>
      </c>
      <c r="D45" s="175">
        <f>SUM(B45)/C45*D12</f>
        <v>14510.256846317447</v>
      </c>
      <c r="E45" s="175">
        <f>SUM(B45/C45)*E12+300000</f>
        <v>317967.2057954746</v>
      </c>
      <c r="F45" s="106">
        <f>SUM(B45/C45)*F12+80000</f>
        <v>97953.2290181634</v>
      </c>
      <c r="G45" s="107">
        <f>SUM(B45/C45)*G12</f>
        <v>17877.93791468669</v>
      </c>
      <c r="H45" s="108">
        <f>SUM(B45/C45)*H12+240000</f>
        <v>251801.72918502582</v>
      </c>
      <c r="I45" s="108">
        <f>SUM(B45/C45)*I12</f>
        <v>11661.941891275039</v>
      </c>
      <c r="J45" s="108">
        <f>SUM(B45/C45)*J12</f>
        <v>11945.010673104416</v>
      </c>
      <c r="K45" s="108">
        <f>SUM(B45/C45)*K12</f>
        <v>11919.223909378012</v>
      </c>
      <c r="L45" s="109">
        <f>SUM(B45/C45)*L12</f>
        <v>9363.464766574545</v>
      </c>
      <c r="M45" s="132">
        <f t="shared" si="7"/>
        <v>745000</v>
      </c>
    </row>
    <row r="46" spans="1:13" ht="18" customHeight="1" thickBot="1">
      <c r="A46" s="147" t="s">
        <v>124</v>
      </c>
      <c r="B46" s="91">
        <v>100000</v>
      </c>
      <c r="C46" s="114">
        <v>64034.79</v>
      </c>
      <c r="D46" s="175">
        <f>SUM(B46)/C46*D12</f>
        <v>11608.205477053956</v>
      </c>
      <c r="E46" s="175">
        <f>SUM(B46/C46)*E12</f>
        <v>14373.76463637969</v>
      </c>
      <c r="F46" s="106">
        <f>SUM(B46/C46)*F12</f>
        <v>14362.583214530725</v>
      </c>
      <c r="G46" s="107">
        <f>SUM(B46/C46)*G12</f>
        <v>14302.350331749349</v>
      </c>
      <c r="H46" s="108">
        <f>SUM(B46/C46)*H12</f>
        <v>9441.383348020661</v>
      </c>
      <c r="I46" s="108">
        <f>SUM(B46/C46)*I12</f>
        <v>9329.553513020031</v>
      </c>
      <c r="J46" s="108">
        <f>SUM(B46/C46)*J12</f>
        <v>9556.008538483533</v>
      </c>
      <c r="K46" s="108">
        <f>SUM(B46/C46)*K12</f>
        <v>9535.379127502409</v>
      </c>
      <c r="L46" s="109">
        <f>SUM(B46/C46)*L12</f>
        <v>7490.771813259636</v>
      </c>
      <c r="M46" s="132">
        <f t="shared" si="7"/>
        <v>100000</v>
      </c>
    </row>
    <row r="47" spans="1:13" ht="21.75" customHeight="1" thickBot="1">
      <c r="A47" s="147" t="s">
        <v>172</v>
      </c>
      <c r="B47" s="91">
        <v>150000</v>
      </c>
      <c r="C47" s="114">
        <v>64034.79</v>
      </c>
      <c r="D47" s="175">
        <f>SUM(B47/C47)*D12</f>
        <v>17412.308215580935</v>
      </c>
      <c r="E47" s="175">
        <f>SUM(B47/C47)*E12</f>
        <v>21560.646954569536</v>
      </c>
      <c r="F47" s="106">
        <f>SUM(B47/C47)*F12</f>
        <v>21543.874821796086</v>
      </c>
      <c r="G47" s="107">
        <f>SUM(B47/C47)*G12</f>
        <v>21453.52549762402</v>
      </c>
      <c r="H47" s="108">
        <f>SUM(B47/C47)*H12</f>
        <v>14162.075022030993</v>
      </c>
      <c r="I47" s="108">
        <f>SUM(B47/C47)*I12</f>
        <v>13994.330269530046</v>
      </c>
      <c r="J47" s="108">
        <f>SUM(B47/C47)*J12</f>
        <v>14334.0128077253</v>
      </c>
      <c r="K47" s="108">
        <f>SUM(B47/C47)*K12</f>
        <v>14303.068691253613</v>
      </c>
      <c r="L47" s="109">
        <f>SUM(B47/C47)*L12</f>
        <v>11236.157719889452</v>
      </c>
      <c r="M47" s="132">
        <f t="shared" si="7"/>
        <v>149999.99999999997</v>
      </c>
    </row>
    <row r="48" spans="1:13" ht="18" customHeight="1" thickBot="1">
      <c r="A48" s="147" t="s">
        <v>125</v>
      </c>
      <c r="B48" s="91">
        <v>0</v>
      </c>
      <c r="C48" s="114">
        <v>64034.79</v>
      </c>
      <c r="D48" s="175">
        <f>SUM(B48)/C48*D12</f>
        <v>0</v>
      </c>
      <c r="E48" s="175">
        <f>SUM(B48/C48)*E12</f>
        <v>0</v>
      </c>
      <c r="F48" s="106">
        <f>SUM(B48/C48)*F12</f>
        <v>0</v>
      </c>
      <c r="G48" s="107">
        <f>SUM(B48/C48)*G12</f>
        <v>0</v>
      </c>
      <c r="H48" s="108">
        <f>SUM(B48/C48)*H12</f>
        <v>0</v>
      </c>
      <c r="I48" s="108">
        <f>SUM(B48/C48)*I43</f>
        <v>0</v>
      </c>
      <c r="J48" s="108">
        <f>SUM(B48/C48)*J12</f>
        <v>0</v>
      </c>
      <c r="K48" s="108">
        <f>SUM(B48/C48)*K12</f>
        <v>0</v>
      </c>
      <c r="L48" s="109">
        <f>SUM(B48/C48)*L12</f>
        <v>0</v>
      </c>
      <c r="M48" s="132">
        <f t="shared" si="7"/>
        <v>0</v>
      </c>
    </row>
    <row r="49" spans="1:13" ht="17.25" customHeight="1" thickBot="1">
      <c r="A49" s="149" t="s">
        <v>126</v>
      </c>
      <c r="B49" s="91">
        <v>0</v>
      </c>
      <c r="C49" s="114">
        <v>64034.79</v>
      </c>
      <c r="D49" s="175">
        <f>SUM(B49)/C49*D12</f>
        <v>0</v>
      </c>
      <c r="E49" s="175">
        <f>SUM(B49/C49)*E12</f>
        <v>0</v>
      </c>
      <c r="F49" s="106">
        <f>SUM(B49/C49)*F12</f>
        <v>0</v>
      </c>
      <c r="G49" s="107">
        <f>SUM(B49/C49)*G12</f>
        <v>0</v>
      </c>
      <c r="H49" s="108">
        <f>SUM(B49/C49)*H44</f>
        <v>0</v>
      </c>
      <c r="I49" s="108">
        <f>SUM(B49/C49)*I12</f>
        <v>0</v>
      </c>
      <c r="J49" s="108">
        <f>SUM(B49/C49)*J12</f>
        <v>0</v>
      </c>
      <c r="K49" s="108">
        <f>SUM(B49/C49)*K12</f>
        <v>0</v>
      </c>
      <c r="L49" s="109">
        <f>SUM(B49/C49)*L12</f>
        <v>0</v>
      </c>
      <c r="M49" s="132">
        <f t="shared" si="7"/>
        <v>0</v>
      </c>
    </row>
    <row r="50" spans="1:13" ht="17.25" customHeight="1" thickBot="1">
      <c r="A50" s="150" t="s">
        <v>161</v>
      </c>
      <c r="B50" s="91">
        <v>20000</v>
      </c>
      <c r="C50" s="114">
        <v>64034.79</v>
      </c>
      <c r="D50" s="175">
        <f>SUM(B50)/C50*D12</f>
        <v>2321.6410954107914</v>
      </c>
      <c r="E50" s="175">
        <f>SUM(B50/C50)*E12</f>
        <v>2874.7529272759384</v>
      </c>
      <c r="F50" s="106">
        <f>SUM(B50/C50)*F12</f>
        <v>2872.516642906145</v>
      </c>
      <c r="G50" s="107">
        <f>SUM(B50/C50)*G12</f>
        <v>2860.47006634987</v>
      </c>
      <c r="H50" s="108">
        <f>SUM(B50/C50)*H12</f>
        <v>1888.2766696041326</v>
      </c>
      <c r="I50" s="108">
        <f>SUM(B50/C50)*I12</f>
        <v>1865.9107026040062</v>
      </c>
      <c r="J50" s="108">
        <f>SUM(B50/C50)*J12</f>
        <v>1911.2017076967068</v>
      </c>
      <c r="K50" s="108">
        <f>SUM(B50/C50)*K12</f>
        <v>1907.0758255004819</v>
      </c>
      <c r="L50" s="109">
        <f>SUM(B50/C50)*L12</f>
        <v>1498.1543626519272</v>
      </c>
      <c r="M50" s="132">
        <f t="shared" si="7"/>
        <v>19999.999999999996</v>
      </c>
    </row>
    <row r="51" spans="1:13" ht="30" customHeight="1" thickBot="1">
      <c r="A51" s="141" t="s">
        <v>159</v>
      </c>
      <c r="B51" s="91">
        <v>150000</v>
      </c>
      <c r="C51" s="114">
        <v>64034.79</v>
      </c>
      <c r="D51" s="111">
        <f>SUM(B51/C51)*D12</f>
        <v>17412.308215580935</v>
      </c>
      <c r="E51" s="111">
        <f>SUM(B51/C51)*E12</f>
        <v>21560.646954569536</v>
      </c>
      <c r="F51" s="112">
        <f>SUM(B51/C51)*F12</f>
        <v>21543.874821796086</v>
      </c>
      <c r="G51" s="107">
        <f>SUM(B51/C51)*G12</f>
        <v>21453.52549762402</v>
      </c>
      <c r="H51" s="108">
        <f>SUM(B51/C51)*H12</f>
        <v>14162.075022030993</v>
      </c>
      <c r="I51" s="108">
        <f>SUM(B51/C51)*I12</f>
        <v>13994.330269530046</v>
      </c>
      <c r="J51" s="108">
        <f>SUM(B51/C51)*J12</f>
        <v>14334.0128077253</v>
      </c>
      <c r="K51" s="108">
        <f>SUM(B51/C51)*K12</f>
        <v>14303.068691253613</v>
      </c>
      <c r="L51" s="109">
        <f>SUM(B51/C51)*L12</f>
        <v>11236.157719889452</v>
      </c>
      <c r="M51" s="132">
        <f t="shared" si="7"/>
        <v>149999.99999999997</v>
      </c>
    </row>
    <row r="52" spans="1:13" ht="18" customHeight="1" thickBot="1">
      <c r="A52" s="151" t="s">
        <v>121</v>
      </c>
      <c r="B52" s="91">
        <f>SUM(B34+B35+B36+B37+B38+B39+B40+B41+B42+B43+B48+B49+B50+B51)</f>
        <v>910000</v>
      </c>
      <c r="C52" s="114"/>
      <c r="D52" s="91">
        <f aca="true" t="shared" si="9" ref="D52:M52">SUM(D34+D35+D36+D37+D38+D39+D40+D41+D42+D43+D48+D49+D50+D51)</f>
        <v>185634.66984119103</v>
      </c>
      <c r="E52" s="91">
        <f t="shared" si="9"/>
        <v>1180166.258191055</v>
      </c>
      <c r="F52" s="168">
        <f t="shared" si="9"/>
        <v>942064.5072522295</v>
      </c>
      <c r="G52" s="91">
        <f t="shared" si="9"/>
        <v>595468.3880189192</v>
      </c>
      <c r="H52" s="91">
        <f t="shared" si="9"/>
        <v>336821.58846698795</v>
      </c>
      <c r="I52" s="91">
        <f t="shared" si="9"/>
        <v>547200.9369684822</v>
      </c>
      <c r="J52" s="91">
        <f t="shared" si="9"/>
        <v>386261.6777002002</v>
      </c>
      <c r="K52" s="91">
        <f t="shared" si="9"/>
        <v>98771.9500602719</v>
      </c>
      <c r="L52" s="91">
        <f t="shared" si="9"/>
        <v>112610.02350066268</v>
      </c>
      <c r="M52" s="91">
        <f t="shared" si="9"/>
        <v>4385000</v>
      </c>
    </row>
    <row r="53" spans="1:13" ht="33" customHeight="1" thickBot="1">
      <c r="A53" s="152" t="s">
        <v>127</v>
      </c>
      <c r="B53" s="91"/>
      <c r="C53" s="114">
        <v>64034.79</v>
      </c>
      <c r="D53" s="176"/>
      <c r="E53" s="176"/>
      <c r="F53" s="92"/>
      <c r="G53" s="93"/>
      <c r="H53" s="98"/>
      <c r="I53" s="98"/>
      <c r="J53" s="98"/>
      <c r="K53" s="98"/>
      <c r="L53" s="99"/>
      <c r="M53" s="102"/>
    </row>
    <row r="54" spans="1:13" ht="226.5" customHeight="1">
      <c r="A54" s="127" t="s">
        <v>139</v>
      </c>
      <c r="B54" s="205">
        <f>SUM(B56:B79)</f>
        <v>7734485</v>
      </c>
      <c r="C54" s="219"/>
      <c r="D54" s="205">
        <f aca="true" t="shared" si="10" ref="D54:L54">SUM(D56:D79)</f>
        <v>1081334.2213919167</v>
      </c>
      <c r="E54" s="205">
        <f t="shared" si="10"/>
        <v>928237.3597360917</v>
      </c>
      <c r="F54" s="207">
        <f t="shared" si="10"/>
        <v>1110871.8443403968</v>
      </c>
      <c r="G54" s="205">
        <f t="shared" si="10"/>
        <v>1082401.7300832875</v>
      </c>
      <c r="H54" s="205">
        <f t="shared" si="10"/>
        <v>714523.7973643702</v>
      </c>
      <c r="I54" s="205">
        <f t="shared" si="10"/>
        <v>721592.9170315075</v>
      </c>
      <c r="J54" s="205">
        <f t="shared" si="10"/>
        <v>739108.0470077281</v>
      </c>
      <c r="K54" s="205">
        <f t="shared" si="10"/>
        <v>737512.4683098048</v>
      </c>
      <c r="L54" s="205">
        <f t="shared" si="10"/>
        <v>579372.6222807945</v>
      </c>
      <c r="M54" s="217">
        <f>SUM(D54:L54)</f>
        <v>7694955.007545897</v>
      </c>
    </row>
    <row r="55" spans="1:13" ht="200.25" customHeight="1" thickBot="1">
      <c r="A55" s="130" t="s">
        <v>140</v>
      </c>
      <c r="B55" s="206"/>
      <c r="C55" s="220"/>
      <c r="D55" s="206"/>
      <c r="E55" s="206"/>
      <c r="F55" s="208"/>
      <c r="G55" s="206"/>
      <c r="H55" s="206"/>
      <c r="I55" s="206"/>
      <c r="J55" s="206"/>
      <c r="K55" s="206"/>
      <c r="L55" s="206"/>
      <c r="M55" s="218"/>
    </row>
    <row r="56" spans="1:13" ht="22.5" customHeight="1" thickBot="1">
      <c r="A56" s="153" t="s">
        <v>128</v>
      </c>
      <c r="B56" s="91">
        <v>0</v>
      </c>
      <c r="C56" s="114">
        <v>64034.79</v>
      </c>
      <c r="D56" s="175">
        <f>SUM(B56)/C56*D12</f>
        <v>0</v>
      </c>
      <c r="E56" s="175">
        <f>SUM(B56/C56)*E12</f>
        <v>0</v>
      </c>
      <c r="F56" s="106">
        <f>SUM(B56/C56)*F12</f>
        <v>0</v>
      </c>
      <c r="G56" s="107">
        <f>SUM(B56/C56)*G12</f>
        <v>0</v>
      </c>
      <c r="H56" s="110">
        <f>SUM(B56/C56)*H12</f>
        <v>0</v>
      </c>
      <c r="I56" s="111">
        <f>SUM(B56/C56)*I12</f>
        <v>0</v>
      </c>
      <c r="J56" s="112">
        <f>SUM(B56/C56)*J12</f>
        <v>0</v>
      </c>
      <c r="K56" s="108">
        <f>SUM(B56/C56)*K12</f>
        <v>0</v>
      </c>
      <c r="L56" s="109">
        <f>SUM(B56/C56)*L12</f>
        <v>0</v>
      </c>
      <c r="M56" s="132">
        <f aca="true" t="shared" si="11" ref="M56:M79">SUM(D56:L56)</f>
        <v>0</v>
      </c>
    </row>
    <row r="57" spans="1:13" ht="32.25" customHeight="1" thickBot="1">
      <c r="A57" s="154" t="s">
        <v>129</v>
      </c>
      <c r="B57" s="91">
        <v>0</v>
      </c>
      <c r="C57" s="114">
        <v>64034.79</v>
      </c>
      <c r="D57" s="175">
        <f>SUM(B57)/C57*D12</f>
        <v>0</v>
      </c>
      <c r="E57" s="175">
        <f>SUM(B57/C57)*E12</f>
        <v>0</v>
      </c>
      <c r="F57" s="106">
        <f>SUM(B57/C57)*F12</f>
        <v>0</v>
      </c>
      <c r="G57" s="107">
        <f>SUM(B57/C57)*G12</f>
        <v>0</v>
      </c>
      <c r="H57" s="110">
        <f>SUM(B57/C57)*H12</f>
        <v>0</v>
      </c>
      <c r="I57" s="111">
        <f>SUM(B57/C57)*I12</f>
        <v>0</v>
      </c>
      <c r="J57" s="112">
        <f>SUM(B57/C57)*J12</f>
        <v>0</v>
      </c>
      <c r="K57" s="108">
        <f>SUM(B57/C57)*K49</f>
        <v>0</v>
      </c>
      <c r="L57" s="109">
        <f>SUM(B57/C57)*L12</f>
        <v>0</v>
      </c>
      <c r="M57" s="132">
        <f t="shared" si="11"/>
        <v>0</v>
      </c>
    </row>
    <row r="58" spans="1:13" ht="28.5" customHeight="1" thickBot="1">
      <c r="A58" s="154" t="s">
        <v>130</v>
      </c>
      <c r="B58" s="91">
        <v>0</v>
      </c>
      <c r="C58" s="114">
        <v>64034.79</v>
      </c>
      <c r="D58" s="175">
        <f>SUM(B58)/C58*D12</f>
        <v>0</v>
      </c>
      <c r="E58" s="175">
        <f>SUM(B58/C58)*E12</f>
        <v>0</v>
      </c>
      <c r="F58" s="106">
        <f>SUM(B58/C58)*F12</f>
        <v>0</v>
      </c>
      <c r="G58" s="107">
        <f>SUM(B58/C58)*G12</f>
        <v>0</v>
      </c>
      <c r="H58" s="110">
        <f>SUM(B58/C58)*H12</f>
        <v>0</v>
      </c>
      <c r="I58" s="111">
        <f>SUM(B58/C58)*I12</f>
        <v>0</v>
      </c>
      <c r="J58" s="112">
        <f>SUM(B58/C58)*J12</f>
        <v>0</v>
      </c>
      <c r="K58" s="108">
        <f>SUM(B58/C58)*K12</f>
        <v>0</v>
      </c>
      <c r="L58" s="109">
        <f>SUM(B58/C58)*L12</f>
        <v>0</v>
      </c>
      <c r="M58" s="132">
        <f t="shared" si="11"/>
        <v>0</v>
      </c>
    </row>
    <row r="59" spans="1:13" ht="33.75" customHeight="1" thickBot="1">
      <c r="A59" s="154" t="s">
        <v>131</v>
      </c>
      <c r="B59" s="91">
        <v>0</v>
      </c>
      <c r="C59" s="114">
        <v>64034.79</v>
      </c>
      <c r="D59" s="175">
        <f>SUM(B59)/C59*D12</f>
        <v>0</v>
      </c>
      <c r="E59" s="175">
        <f>SUM(B59/C59)*E12</f>
        <v>0</v>
      </c>
      <c r="F59" s="106">
        <f>SUM(B59/C59)*F12</f>
        <v>0</v>
      </c>
      <c r="G59" s="107">
        <f>SUM(B59/C59)*G12</f>
        <v>0</v>
      </c>
      <c r="H59" s="110">
        <f>SUM(B59/C59)*H12</f>
        <v>0</v>
      </c>
      <c r="I59" s="111">
        <f>SUM(B59/C59)*I12</f>
        <v>0</v>
      </c>
      <c r="J59" s="112">
        <f>SUM(B59/C59)*J12</f>
        <v>0</v>
      </c>
      <c r="K59" s="108">
        <f>SUM(B59/C59)*K12</f>
        <v>0</v>
      </c>
      <c r="L59" s="109">
        <f>SUM(B59/C59)*L53</f>
        <v>0</v>
      </c>
      <c r="M59" s="132">
        <f t="shared" si="11"/>
        <v>0</v>
      </c>
    </row>
    <row r="60" spans="1:13" ht="60" customHeight="1" thickBot="1">
      <c r="A60" s="154" t="s">
        <v>182</v>
      </c>
      <c r="B60" s="91">
        <v>6083</v>
      </c>
      <c r="C60" s="114">
        <v>64034.79</v>
      </c>
      <c r="D60" s="175">
        <f>SUM(B60)/C60*D12</f>
        <v>706.1271391691923</v>
      </c>
      <c r="E60" s="175">
        <f>SUM(B60/C60)*E12</f>
        <v>874.3561028309767</v>
      </c>
      <c r="F60" s="106">
        <f>SUM(B60/C60)*F12</f>
        <v>873.6759369399041</v>
      </c>
      <c r="G60" s="107">
        <f>SUM(B60/C60)*G12</f>
        <v>870.011970680313</v>
      </c>
      <c r="H60" s="110">
        <f>SUM(B60/C60)*H12</f>
        <v>574.3193490600969</v>
      </c>
      <c r="I60" s="111">
        <f>SUM(B60/C60)*I12</f>
        <v>567.5167401970085</v>
      </c>
      <c r="J60" s="112">
        <f>SUM(B60/C60)*J12</f>
        <v>581.2919993959534</v>
      </c>
      <c r="K60" s="108">
        <f>SUM(B60/C60)*K12</f>
        <v>580.0371123259716</v>
      </c>
      <c r="L60" s="109">
        <f>SUM(B60/C60)*L12</f>
        <v>455.66364940058367</v>
      </c>
      <c r="M60" s="132">
        <f t="shared" si="11"/>
        <v>6083</v>
      </c>
    </row>
    <row r="61" spans="1:13" ht="66.75" customHeight="1" thickBot="1">
      <c r="A61" s="154" t="s">
        <v>138</v>
      </c>
      <c r="B61" s="91">
        <v>0</v>
      </c>
      <c r="C61" s="114">
        <v>64034.79</v>
      </c>
      <c r="D61" s="175">
        <f>SUM(B61)/C61*D12</f>
        <v>0</v>
      </c>
      <c r="E61" s="175">
        <f>SUM(B61/C61)*E12</f>
        <v>0</v>
      </c>
      <c r="F61" s="106">
        <f>SUM(B61/C61)*F12</f>
        <v>0</v>
      </c>
      <c r="G61" s="107">
        <f>SUM(B61/C61)*G12</f>
        <v>0</v>
      </c>
      <c r="H61" s="110">
        <f>SUM(B61/C61)*H12</f>
        <v>0</v>
      </c>
      <c r="I61" s="111">
        <f>SUM(B61/C61)*I12</f>
        <v>0</v>
      </c>
      <c r="J61" s="112">
        <f>SUM(B61/C61)*J12</f>
        <v>0</v>
      </c>
      <c r="K61" s="108">
        <f>SUM(B61/C61)*K12</f>
        <v>0</v>
      </c>
      <c r="L61" s="109">
        <f>SUM(B61/C61)*L12</f>
        <v>0</v>
      </c>
      <c r="M61" s="132">
        <f t="shared" si="11"/>
        <v>0</v>
      </c>
    </row>
    <row r="62" spans="1:13" ht="45" thickBot="1">
      <c r="A62" s="154" t="s">
        <v>167</v>
      </c>
      <c r="B62" s="91">
        <v>32000</v>
      </c>
      <c r="C62" s="114">
        <v>64034.79</v>
      </c>
      <c r="D62" s="175">
        <f>SUM(B62)/C62*D12</f>
        <v>3714.6257526572663</v>
      </c>
      <c r="E62" s="175">
        <f>SUM(B62/C62)*E12</f>
        <v>4599.604683641502</v>
      </c>
      <c r="F62" s="106">
        <f>SUM(B62/C62)*F12</f>
        <v>4596.026628649832</v>
      </c>
      <c r="G62" s="107">
        <f>SUM(B62/C62)*G12</f>
        <v>4576.752106159792</v>
      </c>
      <c r="H62" s="110">
        <f>SUM(B62/C62)*H12</f>
        <v>3021.2426713666123</v>
      </c>
      <c r="I62" s="111">
        <f>SUM(B62/C62)*I12</f>
        <v>2985.4571241664103</v>
      </c>
      <c r="J62" s="112">
        <f>SUM(B62/C62)*J12</f>
        <v>3057.922732314731</v>
      </c>
      <c r="K62" s="108">
        <f>SUM(B62/C62)*K12</f>
        <v>3051.321320800771</v>
      </c>
      <c r="L62" s="109">
        <f>SUM(B62/C62)*L12</f>
        <v>2397.0469802430835</v>
      </c>
      <c r="M62" s="132">
        <f t="shared" si="11"/>
        <v>32000</v>
      </c>
    </row>
    <row r="63" spans="1:13" ht="27" customHeight="1" thickBot="1">
      <c r="A63" s="155" t="s">
        <v>166</v>
      </c>
      <c r="B63" s="91">
        <v>133000</v>
      </c>
      <c r="C63" s="114">
        <v>64034.79</v>
      </c>
      <c r="D63" s="175">
        <f>SUM(B63)/C63*D12</f>
        <v>15438.913284481765</v>
      </c>
      <c r="E63" s="175">
        <f>SUM(B63/C63)*E12</f>
        <v>19117.106966384992</v>
      </c>
      <c r="F63" s="106">
        <f>SUM(B63/C63)*F12</f>
        <v>19102.235675325865</v>
      </c>
      <c r="G63" s="107">
        <f>SUM(B63/C63)*G12</f>
        <v>19022.125941226637</v>
      </c>
      <c r="H63" s="110">
        <f>SUM(B63/C63)*H12</f>
        <v>12557.039852867481</v>
      </c>
      <c r="I63" s="111">
        <f>SUM(B63/C63)*I12</f>
        <v>12408.306172316643</v>
      </c>
      <c r="J63" s="112">
        <f>SUM(B63/C63)*J12</f>
        <v>12709.491356183102</v>
      </c>
      <c r="K63" s="108">
        <f>SUM(B63/C63)*K12</f>
        <v>12682.054239578205</v>
      </c>
      <c r="L63" s="109">
        <f>SUM(B63/C63)*L12</f>
        <v>9962.726511635316</v>
      </c>
      <c r="M63" s="132">
        <f t="shared" si="11"/>
        <v>133000.00000000003</v>
      </c>
    </row>
    <row r="64" spans="1:13" ht="25.5" customHeight="1" thickBot="1">
      <c r="A64" s="154" t="s">
        <v>132</v>
      </c>
      <c r="B64" s="91">
        <v>0</v>
      </c>
      <c r="C64" s="114">
        <v>64034.79</v>
      </c>
      <c r="D64" s="175">
        <f>SUM(B64)/C64*D12</f>
        <v>0</v>
      </c>
      <c r="E64" s="175">
        <f>SUM(B64/C64)*E12</f>
        <v>0</v>
      </c>
      <c r="F64" s="106">
        <f>SUM(B64/C64)*F12</f>
        <v>0</v>
      </c>
      <c r="G64" s="107">
        <f>SUM(B64/C64)*G12</f>
        <v>0</v>
      </c>
      <c r="H64" s="110">
        <f>SUM(B64/C64)*H12</f>
        <v>0</v>
      </c>
      <c r="I64" s="111">
        <f>SUM(B64/C64)*I12</f>
        <v>0</v>
      </c>
      <c r="J64" s="112">
        <f>SUM(B64/C64)*J12</f>
        <v>0</v>
      </c>
      <c r="K64" s="108">
        <f>SUM(B64/C64)*K12</f>
        <v>0</v>
      </c>
      <c r="L64" s="109">
        <f>SUM(B64/C64)*L12</f>
        <v>0</v>
      </c>
      <c r="M64" s="132">
        <f t="shared" si="11"/>
        <v>0</v>
      </c>
    </row>
    <row r="65" spans="1:13" ht="48" customHeight="1" thickBot="1">
      <c r="A65" s="154" t="s">
        <v>176</v>
      </c>
      <c r="B65" s="91">
        <v>0</v>
      </c>
      <c r="C65" s="114">
        <v>64034.79</v>
      </c>
      <c r="D65" s="175">
        <f>SUM(B65)/C65*D12</f>
        <v>0</v>
      </c>
      <c r="E65" s="175">
        <f>SUM(B65/C65)*E12</f>
        <v>0</v>
      </c>
      <c r="F65" s="106">
        <f>SUM(B65/C65)*F12</f>
        <v>0</v>
      </c>
      <c r="G65" s="107">
        <f>SUM(B65/C65)*G12</f>
        <v>0</v>
      </c>
      <c r="H65" s="110">
        <f>SUM(B65/C65)*H12</f>
        <v>0</v>
      </c>
      <c r="I65" s="111">
        <f>SUM(B65/C65)*I12</f>
        <v>0</v>
      </c>
      <c r="J65" s="112">
        <f>SUM(B65/C65)*J12</f>
        <v>0</v>
      </c>
      <c r="K65" s="108">
        <f>SUM(B65/C65)*K12</f>
        <v>0</v>
      </c>
      <c r="L65" s="109">
        <f>SUM(B65/C65)*L12</f>
        <v>0</v>
      </c>
      <c r="M65" s="132">
        <f t="shared" si="11"/>
        <v>0</v>
      </c>
    </row>
    <row r="66" spans="1:13" ht="30.75" customHeight="1" thickBot="1">
      <c r="A66" s="156" t="s">
        <v>141</v>
      </c>
      <c r="B66" s="91">
        <v>344832</v>
      </c>
      <c r="C66" s="114">
        <v>64034.79</v>
      </c>
      <c r="D66" s="175">
        <f>SUM(B66)/C66*D12</f>
        <v>40028.8071106347</v>
      </c>
      <c r="E66" s="175">
        <f>SUM(B66/C66)*E12</f>
        <v>49565.340070920814</v>
      </c>
      <c r="F66" s="106">
        <f>SUM(B66/C66)*F12</f>
        <v>49526.78295033059</v>
      </c>
      <c r="G66" s="107">
        <f>SUM(B66/C66)*G12</f>
        <v>49319.080695977915</v>
      </c>
      <c r="H66" s="110">
        <f>SUM(B66/C66)*H12</f>
        <v>32556.91102664661</v>
      </c>
      <c r="I66" s="111">
        <f>SUM(B66/C66)*I12</f>
        <v>32171.285970017234</v>
      </c>
      <c r="J66" s="112">
        <f>SUM(B66/C66)*J12</f>
        <v>32952.175363423536</v>
      </c>
      <c r="K66" s="108">
        <f>SUM(B66/C66)*K12</f>
        <v>32881.0385529491</v>
      </c>
      <c r="L66" s="109">
        <f>SUM(B66/C66)*L12</f>
        <v>25830.578259099464</v>
      </c>
      <c r="M66" s="132">
        <f t="shared" si="11"/>
        <v>344831.99999999994</v>
      </c>
    </row>
    <row r="67" spans="1:13" ht="30.75" customHeight="1" thickBot="1">
      <c r="A67" s="154" t="s">
        <v>168</v>
      </c>
      <c r="B67" s="91">
        <v>0</v>
      </c>
      <c r="C67" s="114">
        <v>64034.79</v>
      </c>
      <c r="D67" s="175">
        <f>SUM(B67)/C67*D12</f>
        <v>0</v>
      </c>
      <c r="E67" s="175">
        <f>SUM(B67/C67)*E12</f>
        <v>0</v>
      </c>
      <c r="F67" s="106">
        <f>SUM(B67/C67)*F12</f>
        <v>0</v>
      </c>
      <c r="G67" s="107">
        <f>SUM(B67/C67)*G12</f>
        <v>0</v>
      </c>
      <c r="H67" s="110">
        <f>SUM(B67/C67)*H12</f>
        <v>0</v>
      </c>
      <c r="I67" s="111">
        <f>SUM(B67/C67)*I12</f>
        <v>0</v>
      </c>
      <c r="J67" s="112">
        <f>SUM(B67/C67)*J12</f>
        <v>0</v>
      </c>
      <c r="K67" s="108">
        <f>SUM(B67/C67)*K12</f>
        <v>0</v>
      </c>
      <c r="L67" s="109">
        <f>SUM(B67/C67)*L12</f>
        <v>0</v>
      </c>
      <c r="M67" s="132">
        <f t="shared" si="11"/>
        <v>0</v>
      </c>
    </row>
    <row r="68" spans="1:13" ht="32.25" customHeight="1" thickBot="1">
      <c r="A68" s="154" t="s">
        <v>133</v>
      </c>
      <c r="B68" s="91">
        <v>0</v>
      </c>
      <c r="C68" s="114">
        <v>64034.79</v>
      </c>
      <c r="D68" s="175">
        <f>SUM(B68)/C68*D12</f>
        <v>0</v>
      </c>
      <c r="E68" s="175">
        <f>SUM(B68/C68)*E12</f>
        <v>0</v>
      </c>
      <c r="F68" s="106">
        <f>SUM(B68/C68)*F12</f>
        <v>0</v>
      </c>
      <c r="G68" s="107">
        <f>SUM(B68/C68)*G12</f>
        <v>0</v>
      </c>
      <c r="H68" s="110">
        <f>SUM(B68/C68)*H12</f>
        <v>0</v>
      </c>
      <c r="I68" s="111">
        <f>SUM(B68/C68)*I12</f>
        <v>0</v>
      </c>
      <c r="J68" s="112">
        <f>SUM(B68/C68)*J12</f>
        <v>0</v>
      </c>
      <c r="K68" s="108">
        <f>SUM(B68/C68)*K12</f>
        <v>0</v>
      </c>
      <c r="L68" s="109">
        <f>SUM(B68/C68)*L12</f>
        <v>0</v>
      </c>
      <c r="M68" s="132">
        <f t="shared" si="11"/>
        <v>0</v>
      </c>
    </row>
    <row r="69" spans="1:13" ht="27" customHeight="1" thickBot="1">
      <c r="A69" s="154" t="s">
        <v>134</v>
      </c>
      <c r="B69" s="91">
        <v>0</v>
      </c>
      <c r="C69" s="114">
        <v>64034.79</v>
      </c>
      <c r="D69" s="175">
        <f>SUM(B69)/C69*D12</f>
        <v>0</v>
      </c>
      <c r="E69" s="175">
        <f>SUM(B69/C69)*E12</f>
        <v>0</v>
      </c>
      <c r="F69" s="106">
        <f>SUM(B69/C69)*F12</f>
        <v>0</v>
      </c>
      <c r="G69" s="107">
        <f>SUM(B69/C69)*G12</f>
        <v>0</v>
      </c>
      <c r="H69" s="110">
        <f>SUM(B69/C69)*H12</f>
        <v>0</v>
      </c>
      <c r="I69" s="111">
        <f>SUM(B69/C69)*I12</f>
        <v>0</v>
      </c>
      <c r="J69" s="112">
        <f>SUM(B69/C69)*J12</f>
        <v>0</v>
      </c>
      <c r="K69" s="108">
        <f>SUM(B69/C69)*K12</f>
        <v>0</v>
      </c>
      <c r="L69" s="109">
        <f>SUM(B69/C69)*L12</f>
        <v>0</v>
      </c>
      <c r="M69" s="132">
        <f t="shared" si="11"/>
        <v>0</v>
      </c>
    </row>
    <row r="70" spans="1:13" ht="44.25" customHeight="1" thickBot="1">
      <c r="A70" s="154" t="s">
        <v>135</v>
      </c>
      <c r="B70" s="91">
        <v>0</v>
      </c>
      <c r="C70" s="114">
        <v>64034.79</v>
      </c>
      <c r="D70" s="175">
        <f>SUM(B70/C70)*D12</f>
        <v>0</v>
      </c>
      <c r="E70" s="175">
        <f>SUM(B70/C70)*E12</f>
        <v>0</v>
      </c>
      <c r="F70" s="106">
        <f>SUM(B70/C70)*F12</f>
        <v>0</v>
      </c>
      <c r="G70" s="107">
        <f>SUM(B70/C70)*G12</f>
        <v>0</v>
      </c>
      <c r="H70" s="110">
        <f>SUM(B70/C70)*H12</f>
        <v>0</v>
      </c>
      <c r="I70" s="111">
        <f>SUM(B70/C70)*I12</f>
        <v>0</v>
      </c>
      <c r="J70" s="112">
        <f>SUM(B70/C70)*J12</f>
        <v>0</v>
      </c>
      <c r="K70" s="108">
        <f>SUM(B70/C70)*K12</f>
        <v>0</v>
      </c>
      <c r="L70" s="109">
        <f>SUM(B70/C70)*L12</f>
        <v>0</v>
      </c>
      <c r="M70" s="132">
        <f t="shared" si="11"/>
        <v>0</v>
      </c>
    </row>
    <row r="71" spans="1:13" ht="26.25" customHeight="1" thickBot="1">
      <c r="A71" s="155" t="s">
        <v>165</v>
      </c>
      <c r="B71" s="91">
        <v>116800</v>
      </c>
      <c r="C71" s="114">
        <v>64034.79</v>
      </c>
      <c r="D71" s="175">
        <f>SUM(B71/C71)*D12</f>
        <v>13558.383997199022</v>
      </c>
      <c r="E71" s="175">
        <f>SUM(B71/C71)*E12</f>
        <v>16788.55709529148</v>
      </c>
      <c r="F71" s="106">
        <f>SUM(B71/C71)*F12</f>
        <v>16775.497194571886</v>
      </c>
      <c r="G71" s="107">
        <f>SUM(B71/C71)*G12</f>
        <v>16705.145187483242</v>
      </c>
      <c r="H71" s="110">
        <f>SUM(B71/C71)*H12</f>
        <v>11027.535750488134</v>
      </c>
      <c r="I71" s="111">
        <f>SUM(B71/C71)*I12</f>
        <v>10896.918503207396</v>
      </c>
      <c r="J71" s="112">
        <f>SUM(B71/C71)*J12</f>
        <v>11161.417972948768</v>
      </c>
      <c r="K71" s="108">
        <f>SUM(B71/C71)*K12</f>
        <v>11137.322820922815</v>
      </c>
      <c r="L71" s="109">
        <f>SUM(B71/C71)*L12</f>
        <v>8749.221477887255</v>
      </c>
      <c r="M71" s="132">
        <f t="shared" si="11"/>
        <v>116800</v>
      </c>
    </row>
    <row r="72" spans="1:13" ht="25.5" customHeight="1" thickBot="1">
      <c r="A72" s="157" t="s">
        <v>169</v>
      </c>
      <c r="B72" s="91">
        <v>20000</v>
      </c>
      <c r="C72" s="114">
        <v>64034.79</v>
      </c>
      <c r="D72" s="175">
        <f>SUM(B72/C72)*D12</f>
        <v>2321.6410954107914</v>
      </c>
      <c r="E72" s="175">
        <f>SUM(B72/C72)*E12</f>
        <v>2874.7529272759384</v>
      </c>
      <c r="F72" s="106">
        <f>SUM(B72/C72)*F12</f>
        <v>2872.516642906145</v>
      </c>
      <c r="G72" s="107">
        <f>SUM(B72/C72)*G12</f>
        <v>2860.47006634987</v>
      </c>
      <c r="H72" s="110">
        <f>SUM(B72/C72)*H12</f>
        <v>1888.2766696041326</v>
      </c>
      <c r="I72" s="111">
        <f>SUM(B72/C72)*I12</f>
        <v>1865.9107026040062</v>
      </c>
      <c r="J72" s="112">
        <f>SUM(B72/C72)*J12</f>
        <v>1911.2017076967068</v>
      </c>
      <c r="K72" s="108">
        <f>SUM(B72/C72)*K12</f>
        <v>1907.0758255004819</v>
      </c>
      <c r="L72" s="109">
        <f>SUM(B72/C72)*L12</f>
        <v>1498.1543626519272</v>
      </c>
      <c r="M72" s="132">
        <f t="shared" si="11"/>
        <v>19999.999999999996</v>
      </c>
    </row>
    <row r="73" spans="1:13" ht="29.25" customHeight="1" thickBot="1">
      <c r="A73" s="158" t="s">
        <v>142</v>
      </c>
      <c r="B73" s="91">
        <v>25000</v>
      </c>
      <c r="C73" s="114">
        <v>64034.79</v>
      </c>
      <c r="D73" s="175">
        <f>SUM(B73/C73)*D12</f>
        <v>2902.051369263489</v>
      </c>
      <c r="E73" s="175">
        <f>SUM(B73/C73)*E12</f>
        <v>3593.4411590949226</v>
      </c>
      <c r="F73" s="106">
        <f>SUM(B73/C73)*F12</f>
        <v>3590.6458036326812</v>
      </c>
      <c r="G73" s="107">
        <f>SUM(B73/C73)*G12</f>
        <v>3575.587582937337</v>
      </c>
      <c r="H73" s="110">
        <f>SUM(B73/C73)*H12</f>
        <v>2360.3458370051653</v>
      </c>
      <c r="I73" s="111">
        <f>SUM(B73/C73)*I12</f>
        <v>2332.388378255008</v>
      </c>
      <c r="J73" s="112">
        <f>SUM(B73/C73)*J12</f>
        <v>2389.002134620883</v>
      </c>
      <c r="K73" s="108">
        <f>SUM(B73/C73)*K12</f>
        <v>2383.844781875602</v>
      </c>
      <c r="L73" s="109">
        <f>SUM(B73/C73)*L12</f>
        <v>1872.692953314909</v>
      </c>
      <c r="M73" s="132">
        <f t="shared" si="11"/>
        <v>25000</v>
      </c>
    </row>
    <row r="74" spans="1:13" ht="18" customHeight="1" thickBot="1">
      <c r="A74" s="157" t="s">
        <v>171</v>
      </c>
      <c r="B74" s="91">
        <v>207500</v>
      </c>
      <c r="C74" s="114">
        <v>64034.79</v>
      </c>
      <c r="D74" s="175">
        <f>SUM(B74/C74)*D12</f>
        <v>24087.026364886962</v>
      </c>
      <c r="E74" s="175">
        <f>SUM(B74/C74)*E12</f>
        <v>29825.561620487857</v>
      </c>
      <c r="F74" s="106">
        <f>SUM(B74/C74)*F12</f>
        <v>29802.360170151253</v>
      </c>
      <c r="G74" s="107">
        <f>SUM(B74/C74)*G12</f>
        <v>29677.3769383799</v>
      </c>
      <c r="H74" s="110">
        <f>SUM(B74/C74)*H12</f>
        <v>19590.870447142875</v>
      </c>
      <c r="I74" s="111">
        <f>SUM(B74/C74)*I12</f>
        <v>19358.823539516565</v>
      </c>
      <c r="J74" s="112">
        <f>SUM(B74/C74)*J12</f>
        <v>19828.71771735333</v>
      </c>
      <c r="K74" s="108">
        <f>SUM(B74/C74)*K12</f>
        <v>19785.9116895675</v>
      </c>
      <c r="L74" s="109">
        <f>SUM(B74/C74)*L12</f>
        <v>15543.351512513744</v>
      </c>
      <c r="M74" s="132">
        <f t="shared" si="11"/>
        <v>207499.99999999997</v>
      </c>
    </row>
    <row r="75" spans="1:13" ht="17.25" customHeight="1" thickBot="1">
      <c r="A75" s="157" t="s">
        <v>170</v>
      </c>
      <c r="B75" s="91">
        <v>166486</v>
      </c>
      <c r="C75" s="114">
        <v>64034.79</v>
      </c>
      <c r="D75" s="175">
        <f>SUM(B75)/C75*D12</f>
        <v>19326.03697052805</v>
      </c>
      <c r="E75" s="175">
        <f>SUM(B75/C75)*E12</f>
        <v>23930.305792523093</v>
      </c>
      <c r="F75" s="106">
        <f>SUM(B75/C75)*F12</f>
        <v>23911.69029054362</v>
      </c>
      <c r="G75" s="107">
        <f>SUM(B75/C75)*G65</f>
        <v>0</v>
      </c>
      <c r="H75" s="110">
        <f>SUM(B75/C75)*H65</f>
        <v>0</v>
      </c>
      <c r="I75" s="111">
        <f>SUM(B75/C75)*I12</f>
        <v>15532.40046168653</v>
      </c>
      <c r="J75" s="112">
        <f>SUM(B75/C75)*J12</f>
        <v>15909.416375379695</v>
      </c>
      <c r="K75" s="108">
        <f>SUM(B75/C75)*K12</f>
        <v>15875.07129421366</v>
      </c>
      <c r="L75" s="109">
        <f>SUM(B75/C75)*L12</f>
        <v>12471.086361023436</v>
      </c>
      <c r="M75" s="132">
        <f t="shared" si="11"/>
        <v>126956.00754589807</v>
      </c>
    </row>
    <row r="76" spans="1:13" ht="19.5" customHeight="1" thickBot="1">
      <c r="A76" s="158" t="s">
        <v>177</v>
      </c>
      <c r="B76" s="91">
        <v>3307</v>
      </c>
      <c r="C76" s="114">
        <v>64034.79</v>
      </c>
      <c r="D76" s="175">
        <f>SUM(B76/C76)*D12</f>
        <v>383.88335512617437</v>
      </c>
      <c r="E76" s="175">
        <f>SUM(B76/C76)*E12</f>
        <v>475.3403965250764</v>
      </c>
      <c r="F76" s="106">
        <f>SUM(B76/C76)*F12</f>
        <v>474.97062690453106</v>
      </c>
      <c r="G76" s="107">
        <f>SUM(B76/C76)*G12</f>
        <v>472.978725470951</v>
      </c>
      <c r="H76" s="110">
        <f>SUM(B76/C76)*H12</f>
        <v>312.22654731904333</v>
      </c>
      <c r="I76" s="111">
        <f>SUM(B76/C76)*I12</f>
        <v>308.52833467557247</v>
      </c>
      <c r="J76" s="112">
        <f>SUM(B76/C76)*J12</f>
        <v>316.01720236765044</v>
      </c>
      <c r="K76" s="108">
        <f>SUM(B76/C76)*K12</f>
        <v>315.3349877465047</v>
      </c>
      <c r="L76" s="109">
        <f>SUM(B76/C76)*L12</f>
        <v>247.71982386449614</v>
      </c>
      <c r="M76" s="132">
        <f t="shared" si="11"/>
        <v>3307</v>
      </c>
    </row>
    <row r="77" spans="1:13" ht="18.75" customHeight="1" thickBot="1">
      <c r="A77" s="159" t="s">
        <v>163</v>
      </c>
      <c r="B77" s="91">
        <v>5266428</v>
      </c>
      <c r="C77" s="114">
        <v>64034.79</v>
      </c>
      <c r="D77" s="177">
        <f>SUM(B77/C77)*D12+145646.19</f>
        <v>756983.9735411031</v>
      </c>
      <c r="E77" s="177">
        <f>SUM(B77/C77)*E12-145646.19</f>
        <v>611337.7754643981</v>
      </c>
      <c r="F77" s="115">
        <f>SUM(B77/C77)*F12</f>
        <v>756395.1039333461</v>
      </c>
      <c r="G77" s="116">
        <f>SUM(B77/C77)*G12</f>
        <v>753222.9825293405</v>
      </c>
      <c r="H77" s="117">
        <f>SUM(B77/C77)*H12</f>
        <v>497223.65622749756</v>
      </c>
      <c r="I77" s="118">
        <f>SUM(B77/C77)*I12</f>
        <v>491334.21848467056</v>
      </c>
      <c r="J77" s="119">
        <f>SUM(B77/C77)*J12</f>
        <v>503260.30935308756</v>
      </c>
      <c r="K77" s="120">
        <f>SUM(B77/C77)*K12</f>
        <v>502173.87627694255</v>
      </c>
      <c r="L77" s="121">
        <f>SUM(B77/C77)*L12</f>
        <v>394496.10418961314</v>
      </c>
      <c r="M77" s="132">
        <f t="shared" si="11"/>
        <v>5266427.999999999</v>
      </c>
    </row>
    <row r="78" spans="1:13" ht="19.5" customHeight="1" thickBot="1">
      <c r="A78" s="159" t="s">
        <v>136</v>
      </c>
      <c r="B78" s="91">
        <v>1368733</v>
      </c>
      <c r="C78" s="114">
        <v>64034.79</v>
      </c>
      <c r="D78" s="177">
        <f>SUM(B78/C78)*D12+37853.12</f>
        <v>196738.45907224494</v>
      </c>
      <c r="E78" s="177">
        <f>SUM(B78/C78)*E12-37853.12</f>
        <v>158885.33992045885</v>
      </c>
      <c r="F78" s="115">
        <f>SUM(B78/C78)*F12</f>
        <v>196585.41610974283</v>
      </c>
      <c r="G78" s="116">
        <f>SUM(B78/C78)*G12</f>
        <v>195760.98876626283</v>
      </c>
      <c r="H78" s="117">
        <f>SUM(B78/C78)*H12</f>
        <v>129227.32954086366</v>
      </c>
      <c r="I78" s="118">
        <f>SUM(B78/C78)*I12</f>
        <v>127696.67768536447</v>
      </c>
      <c r="J78" s="119">
        <f>SUM(B78/C78)*J12</f>
        <v>130796.24234904183</v>
      </c>
      <c r="K78" s="120">
        <f>SUM(B78/C78)*K12</f>
        <v>130513.88079323755</v>
      </c>
      <c r="L78" s="121">
        <f>SUM(B78/C78)*L12</f>
        <v>102528.66576278301</v>
      </c>
      <c r="M78" s="132">
        <f t="shared" si="11"/>
        <v>1368733</v>
      </c>
    </row>
    <row r="79" spans="1:13" ht="19.5" customHeight="1" thickBot="1">
      <c r="A79" s="159" t="s">
        <v>164</v>
      </c>
      <c r="B79" s="91">
        <v>44316</v>
      </c>
      <c r="C79" s="114">
        <v>64034.79</v>
      </c>
      <c r="D79" s="177">
        <f>SUM(B79/C79)*D12</f>
        <v>5144.292339211232</v>
      </c>
      <c r="E79" s="177">
        <f>SUM(B79/C79)*E12</f>
        <v>6369.877536258024</v>
      </c>
      <c r="F79" s="115">
        <f>SUM(B79/C79)*F12</f>
        <v>6364.922377351436</v>
      </c>
      <c r="G79" s="116">
        <f>SUM(B79/C79)*G12</f>
        <v>6338.229573018041</v>
      </c>
      <c r="H79" s="117">
        <f>SUM(B79/C79)*H12</f>
        <v>4184.043444508837</v>
      </c>
      <c r="I79" s="118">
        <f>SUM(B79/C79)*I12</f>
        <v>4134.484934829957</v>
      </c>
      <c r="J79" s="119">
        <f>SUM(B79/C79)*J12</f>
        <v>4234.840743914363</v>
      </c>
      <c r="K79" s="120">
        <f>SUM(B79/C79)*K12</f>
        <v>4225.6986141439675</v>
      </c>
      <c r="L79" s="121">
        <f>SUM(B79/C79)*L12</f>
        <v>3319.61043676414</v>
      </c>
      <c r="M79" s="132">
        <f t="shared" si="11"/>
        <v>44316</v>
      </c>
    </row>
    <row r="80" spans="1:13" ht="20.25" customHeight="1" thickBot="1">
      <c r="A80" s="160" t="s">
        <v>105</v>
      </c>
      <c r="B80" s="91">
        <f>SUM(B56:B79)</f>
        <v>7734485</v>
      </c>
      <c r="C80" s="122"/>
      <c r="D80" s="131">
        <f aca="true" t="shared" si="12" ref="D80:M80">SUM(D56:D79)</f>
        <v>1081334.2213919167</v>
      </c>
      <c r="E80" s="131">
        <f t="shared" si="12"/>
        <v>928237.3597360917</v>
      </c>
      <c r="F80" s="170">
        <f t="shared" si="12"/>
        <v>1110871.8443403968</v>
      </c>
      <c r="G80" s="100">
        <f t="shared" si="12"/>
        <v>1082401.7300832875</v>
      </c>
      <c r="H80" s="100">
        <f t="shared" si="12"/>
        <v>714523.7973643702</v>
      </c>
      <c r="I80" s="100">
        <f t="shared" si="12"/>
        <v>721592.9170315075</v>
      </c>
      <c r="J80" s="100">
        <f t="shared" si="12"/>
        <v>739108.0470077281</v>
      </c>
      <c r="K80" s="100">
        <f t="shared" si="12"/>
        <v>737512.4683098048</v>
      </c>
      <c r="L80" s="101">
        <f t="shared" si="12"/>
        <v>579372.6222807945</v>
      </c>
      <c r="M80" s="101">
        <f t="shared" si="12"/>
        <v>7694955.007545897</v>
      </c>
    </row>
    <row r="81" spans="1:13" ht="27.75" customHeight="1" thickBot="1">
      <c r="A81" s="161" t="s">
        <v>137</v>
      </c>
      <c r="B81" s="123">
        <f>SUM(B32+B52+B80)</f>
        <v>9609140</v>
      </c>
      <c r="C81" s="123"/>
      <c r="D81" s="131">
        <f aca="true" t="shared" si="13" ref="D81:M81">SUM(D32+D52+D80)</f>
        <v>1556115.7756329784</v>
      </c>
      <c r="E81" s="131">
        <f t="shared" si="13"/>
        <v>2435911.329894813</v>
      </c>
      <c r="F81" s="169">
        <f t="shared" si="13"/>
        <v>2427799.7499801274</v>
      </c>
      <c r="G81" s="131">
        <f t="shared" si="13"/>
        <v>2045955.117776446</v>
      </c>
      <c r="H81" s="131">
        <f t="shared" si="13"/>
        <v>1275851.0720817542</v>
      </c>
      <c r="I81" s="131">
        <f t="shared" si="13"/>
        <v>1546856.2028934583</v>
      </c>
      <c r="J81" s="131">
        <f t="shared" si="13"/>
        <v>1419604.826710293</v>
      </c>
      <c r="K81" s="131">
        <f t="shared" si="13"/>
        <v>1078253.265848143</v>
      </c>
      <c r="L81" s="131">
        <f t="shared" si="13"/>
        <v>943862.6667278834</v>
      </c>
      <c r="M81" s="131">
        <f t="shared" si="13"/>
        <v>14730210.007545896</v>
      </c>
    </row>
    <row r="82" spans="1:13" ht="16.5" thickBot="1">
      <c r="A82" s="162"/>
      <c r="B82" s="124"/>
      <c r="C82" s="125"/>
      <c r="D82" s="178">
        <f aca="true" t="shared" si="14" ref="D82:M82">SUM(D9-D15)</f>
        <v>156205.73884095065</v>
      </c>
      <c r="E82" s="178">
        <f t="shared" si="14"/>
        <v>-315643.3453635918</v>
      </c>
      <c r="F82" s="171">
        <f t="shared" si="14"/>
        <v>-309181.1322896504</v>
      </c>
      <c r="G82" s="126">
        <f t="shared" si="14"/>
        <v>63778.572672761045</v>
      </c>
      <c r="H82" s="126">
        <f t="shared" si="14"/>
        <v>116843.42020376748</v>
      </c>
      <c r="I82" s="126">
        <f t="shared" si="14"/>
        <v>-170657.68260034896</v>
      </c>
      <c r="J82" s="126">
        <f t="shared" si="14"/>
        <v>-10002.020722173154</v>
      </c>
      <c r="K82" s="126">
        <f t="shared" si="14"/>
        <v>328306.50439050375</v>
      </c>
      <c r="L82" s="126">
        <f t="shared" si="14"/>
        <v>161097.93732188374</v>
      </c>
      <c r="M82" s="163">
        <f t="shared" si="14"/>
        <v>20747.9924541004</v>
      </c>
    </row>
    <row r="83" spans="1:13" ht="33" customHeight="1" thickBot="1">
      <c r="A83" s="201" t="s">
        <v>104</v>
      </c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3"/>
    </row>
    <row r="93" spans="1:5" ht="15.75">
      <c r="A93" s="69"/>
      <c r="B93" s="69"/>
      <c r="C93" s="69"/>
      <c r="D93" s="69"/>
      <c r="E93" s="69"/>
    </row>
  </sheetData>
  <sheetProtection/>
  <mergeCells count="23">
    <mergeCell ref="A3:M3"/>
    <mergeCell ref="A2:M2"/>
    <mergeCell ref="A1:M1"/>
    <mergeCell ref="B54:B55"/>
    <mergeCell ref="A4:M4"/>
    <mergeCell ref="K54:K55"/>
    <mergeCell ref="L54:L55"/>
    <mergeCell ref="M54:M55"/>
    <mergeCell ref="G54:G55"/>
    <mergeCell ref="H54:H55"/>
    <mergeCell ref="I54:I55"/>
    <mergeCell ref="J54:J55"/>
    <mergeCell ref="C54:C55"/>
    <mergeCell ref="D54:D55"/>
    <mergeCell ref="A83:M83"/>
    <mergeCell ref="A6:M6"/>
    <mergeCell ref="A7:M7"/>
    <mergeCell ref="A8:M8"/>
    <mergeCell ref="E54:E55"/>
    <mergeCell ref="F54:F55"/>
    <mergeCell ref="M10:M11"/>
    <mergeCell ref="C10:C12"/>
    <mergeCell ref="D10:L10"/>
  </mergeCells>
  <printOptions/>
  <pageMargins left="0.53" right="0.36" top="0.21" bottom="0.18" header="0.22" footer="0.17"/>
  <pageSetup horizontalDpi="360" verticalDpi="360" orientation="portrait" paperSize="9" scale="79" r:id="rId3"/>
  <colBreaks count="1" manualBreakCount="1">
    <brk id="4" max="8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</cp:lastModifiedBy>
  <cp:lastPrinted>2017-03-14T08:02:44Z</cp:lastPrinted>
  <dcterms:created xsi:type="dcterms:W3CDTF">1996-10-08T23:32:33Z</dcterms:created>
  <dcterms:modified xsi:type="dcterms:W3CDTF">2017-03-14T12:23:06Z</dcterms:modified>
  <cp:category/>
  <cp:version/>
  <cp:contentType/>
  <cp:contentStatus/>
</cp:coreProperties>
</file>