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omments1.xml" ContentType="application/vnd.openxmlformats-officedocument.spreadsheetml.comments+xml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omments2.xml" ContentType="application/vnd.openxmlformats-officedocument.spreadsheetml.comments+xml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omments3.xml" ContentType="application/vnd.openxmlformats-officedocument.spreadsheetml.comments+xml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customProperty64.bin" ContentType="application/vnd.openxmlformats-officedocument.spreadsheetml.customProperty"/>
  <Override PartName="/xl/customProperty65.bin" ContentType="application/vnd.openxmlformats-officedocument.spreadsheetml.customProperty"/>
  <Override PartName="/xl/customProperty66.bin" ContentType="application/vnd.openxmlformats-officedocument.spreadsheetml.customProperty"/>
  <Override PartName="/xl/customProperty67.bin" ContentType="application/vnd.openxmlformats-officedocument.spreadsheetml.customProperty"/>
  <Override PartName="/xl/customProperty68.bin" ContentType="application/vnd.openxmlformats-officedocument.spreadsheetml.customProperty"/>
  <Override PartName="/xl/customProperty69.bin" ContentType="application/vnd.openxmlformats-officedocument.spreadsheetml.customProperty"/>
  <Override PartName="/xl/customProperty70.bin" ContentType="application/vnd.openxmlformats-officedocument.spreadsheetml.customProperty"/>
  <Override PartName="/xl/customProperty71.bin" ContentType="application/vnd.openxmlformats-officedocument.spreadsheetml.customProperty"/>
  <Override PartName="/xl/customProperty72.bin" ContentType="application/vnd.openxmlformats-officedocument.spreadsheetml.customProperty"/>
  <Override PartName="/xl/comments4.xml" ContentType="application/vnd.openxmlformats-officedocument.spreadsheetml.comments+xml"/>
  <Override PartName="/xl/customProperty73.bin" ContentType="application/vnd.openxmlformats-officedocument.spreadsheetml.customProperty"/>
  <Override PartName="/xl/customProperty74.bin" ContentType="application/vnd.openxmlformats-officedocument.spreadsheetml.customProperty"/>
  <Override PartName="/xl/customProperty75.bin" ContentType="application/vnd.openxmlformats-officedocument.spreadsheetml.customProperty"/>
  <Override PartName="/xl/customProperty76.bin" ContentType="application/vnd.openxmlformats-officedocument.spreadsheetml.customProperty"/>
  <Override PartName="/xl/customProperty77.bin" ContentType="application/vnd.openxmlformats-officedocument.spreadsheetml.customProperty"/>
  <Override PartName="/xl/customProperty78.bin" ContentType="application/vnd.openxmlformats-officedocument.spreadsheetml.customProperty"/>
  <Override PartName="/xl/customProperty79.bin" ContentType="application/vnd.openxmlformats-officedocument.spreadsheetml.customProperty"/>
  <Override PartName="/xl/customProperty80.bin" ContentType="application/vnd.openxmlformats-officedocument.spreadsheetml.customProperty"/>
  <Override PartName="/xl/customProperty81.bin" ContentType="application/vnd.openxmlformats-officedocument.spreadsheetml.customProperty"/>
  <Override PartName="/xl/customProperty82.bin" ContentType="application/vnd.openxmlformats-officedocument.spreadsheetml.customProperty"/>
  <Override PartName="/xl/customProperty83.bin" ContentType="application/vnd.openxmlformats-officedocument.spreadsheetml.customProperty"/>
  <Override PartName="/xl/customProperty84.bin" ContentType="application/vnd.openxmlformats-officedocument.spreadsheetml.customProperty"/>
  <Override PartName="/xl/customProperty85.bin" ContentType="application/vnd.openxmlformats-officedocument.spreadsheetml.customProperty"/>
  <Override PartName="/xl/comments5.xml" ContentType="application/vnd.openxmlformats-officedocument.spreadsheetml.comments+xml"/>
  <Override PartName="/xl/customProperty86.bin" ContentType="application/vnd.openxmlformats-officedocument.spreadsheetml.customProperty"/>
  <Override PartName="/xl/customProperty87.bin" ContentType="application/vnd.openxmlformats-officedocument.spreadsheetml.customProperty"/>
  <Override PartName="/xl/customProperty88.bin" ContentType="application/vnd.openxmlformats-officedocument.spreadsheetml.customProperty"/>
  <Override PartName="/xl/customProperty89.bin" ContentType="application/vnd.openxmlformats-officedocument.spreadsheetml.customProperty"/>
  <Override PartName="/xl/customProperty90.bin" ContentType="application/vnd.openxmlformats-officedocument.spreadsheetml.customProperty"/>
  <Override PartName="/xl/customProperty91.bin" ContentType="application/vnd.openxmlformats-officedocument.spreadsheetml.customProperty"/>
  <Override PartName="/xl/customProperty92.bin" ContentType="application/vnd.openxmlformats-officedocument.spreadsheetml.customProperty"/>
  <Override PartName="/xl/customProperty93.bin" ContentType="application/vnd.openxmlformats-officedocument.spreadsheetml.customProperty"/>
  <Override PartName="/xl/customProperty94.bin" ContentType="application/vnd.openxmlformats-officedocument.spreadsheetml.customProperty"/>
  <Override PartName="/xl/customProperty95.bin" ContentType="application/vnd.openxmlformats-officedocument.spreadsheetml.customProperty"/>
  <Override PartName="/xl/customProperty96.bin" ContentType="application/vnd.openxmlformats-officedocument.spreadsheetml.customProperty"/>
  <Override PartName="/xl/customProperty97.bin" ContentType="application/vnd.openxmlformats-officedocument.spreadsheetml.customProperty"/>
  <Override PartName="/xl/customProperty98.bin" ContentType="application/vnd.openxmlformats-officedocument.spreadsheetml.customProperty"/>
  <Override PartName="/xl/comments6.xml" ContentType="application/vnd.openxmlformats-officedocument.spreadsheetml.comments+xml"/>
  <Override PartName="/xl/customProperty99.bin" ContentType="application/vnd.openxmlformats-officedocument.spreadsheetml.customProperty"/>
  <Override PartName="/xl/customProperty100.bin" ContentType="application/vnd.openxmlformats-officedocument.spreadsheetml.customProperty"/>
  <Override PartName="/xl/customProperty101.bin" ContentType="application/vnd.openxmlformats-officedocument.spreadsheetml.customProperty"/>
  <Override PartName="/xl/customProperty102.bin" ContentType="application/vnd.openxmlformats-officedocument.spreadsheetml.customProperty"/>
  <Override PartName="/xl/customProperty103.bin" ContentType="application/vnd.openxmlformats-officedocument.spreadsheetml.customProperty"/>
  <Override PartName="/xl/customProperty104.bin" ContentType="application/vnd.openxmlformats-officedocument.spreadsheetml.customProperty"/>
  <Override PartName="/xl/customProperty105.bin" ContentType="application/vnd.openxmlformats-officedocument.spreadsheetml.customProperty"/>
  <Override PartName="/xl/customProperty106.bin" ContentType="application/vnd.openxmlformats-officedocument.spreadsheetml.customProperty"/>
  <Override PartName="/xl/customProperty107.bin" ContentType="application/vnd.openxmlformats-officedocument.spreadsheetml.customProperty"/>
  <Override PartName="/xl/customProperty108.bin" ContentType="application/vnd.openxmlformats-officedocument.spreadsheetml.customProperty"/>
  <Override PartName="/xl/customProperty109.bin" ContentType="application/vnd.openxmlformats-officedocument.spreadsheetml.customProperty"/>
  <Override PartName="/xl/customProperty110.bin" ContentType="application/vnd.openxmlformats-officedocument.spreadsheetml.customProperty"/>
  <Override PartName="/xl/customProperty111.bin" ContentType="application/vnd.openxmlformats-officedocument.spreadsheetml.customProperty"/>
  <Override PartName="/xl/customProperty112.bin" ContentType="application/vnd.openxmlformats-officedocument.spreadsheetml.customProperty"/>
  <Override PartName="/xl/customProperty113.bin" ContentType="application/vnd.openxmlformats-officedocument.spreadsheetml.customProperty"/>
  <Override PartName="/xl/customProperty114.bin" ContentType="application/vnd.openxmlformats-officedocument.spreadsheetml.customProperty"/>
  <Override PartName="/xl/customProperty115.bin" ContentType="application/vnd.openxmlformats-officedocument.spreadsheetml.customProperty"/>
  <Override PartName="/xl/comments7.xml" ContentType="application/vnd.openxmlformats-officedocument.spreadsheetml.comments+xml"/>
  <Override PartName="/xl/customProperty116.bin" ContentType="application/vnd.openxmlformats-officedocument.spreadsheetml.customProperty"/>
  <Override PartName="/xl/customProperty117.bin" ContentType="application/vnd.openxmlformats-officedocument.spreadsheetml.customProperty"/>
  <Override PartName="/xl/customProperty118.bin" ContentType="application/vnd.openxmlformats-officedocument.spreadsheetml.customProperty"/>
  <Override PartName="/xl/customProperty119.bin" ContentType="application/vnd.openxmlformats-officedocument.spreadsheetml.customProperty"/>
  <Override PartName="/xl/customProperty120.bin" ContentType="application/vnd.openxmlformats-officedocument.spreadsheetml.customProperty"/>
  <Override PartName="/xl/customProperty121.bin" ContentType="application/vnd.openxmlformats-officedocument.spreadsheetml.customProperty"/>
  <Override PartName="/xl/customProperty122.bin" ContentType="application/vnd.openxmlformats-officedocument.spreadsheetml.customProperty"/>
  <Override PartName="/xl/customProperty123.bin" ContentType="application/vnd.openxmlformats-officedocument.spreadsheetml.customProperty"/>
  <Override PartName="/xl/customProperty124.bin" ContentType="application/vnd.openxmlformats-officedocument.spreadsheetml.customProperty"/>
  <Override PartName="/xl/customProperty125.bin" ContentType="application/vnd.openxmlformats-officedocument.spreadsheetml.customProperty"/>
  <Override PartName="/xl/comments8.xml" ContentType="application/vnd.openxmlformats-officedocument.spreadsheetml.comments+xml"/>
  <Override PartName="/xl/customProperty126.bin" ContentType="application/vnd.openxmlformats-officedocument.spreadsheetml.customProperty"/>
  <Override PartName="/xl/customProperty127.bin" ContentType="application/vnd.openxmlformats-officedocument.spreadsheetml.customProperty"/>
  <Override PartName="/xl/customProperty128.bin" ContentType="application/vnd.openxmlformats-officedocument.spreadsheetml.customProperty"/>
  <Override PartName="/xl/customProperty129.bin" ContentType="application/vnd.openxmlformats-officedocument.spreadsheetml.customProperty"/>
  <Override PartName="/xl/customProperty130.bin" ContentType="application/vnd.openxmlformats-officedocument.spreadsheetml.customProperty"/>
  <Override PartName="/xl/customProperty131.bin" ContentType="application/vnd.openxmlformats-officedocument.spreadsheetml.customProperty"/>
  <Override PartName="/xl/customProperty132.bin" ContentType="application/vnd.openxmlformats-officedocument.spreadsheetml.customProperty"/>
  <Override PartName="/xl/customProperty133.bin" ContentType="application/vnd.openxmlformats-officedocument.spreadsheetml.customProperty"/>
  <Override PartName="/xl/customProperty134.bin" ContentType="application/vnd.openxmlformats-officedocument.spreadsheetml.customProperty"/>
  <Override PartName="/xl/customProperty135.bin" ContentType="application/vnd.openxmlformats-officedocument.spreadsheetml.customProperty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Krista\FM\Krista.FM.Client\Workplace\TasksDocuments\"/>
    </mc:Choice>
  </mc:AlternateContent>
  <bookViews>
    <workbookView xWindow="3555" yWindow="885" windowWidth="21600" windowHeight="11295" tabRatio="680" firstSheet="2" activeTab="7"/>
  </bookViews>
  <sheets>
    <sheet name="1. Управление расходами" sheetId="88" r:id="rId1"/>
    <sheet name="2. Управление доходами" sheetId="94" r:id="rId2"/>
    <sheet name="3. Вед учета и сост отчетности" sheetId="90" r:id="rId3"/>
    <sheet name="4. Внутр фин аудит" sheetId="91" r:id="rId4"/>
    <sheet name="5. Исполн бюджет процедур" sheetId="92" r:id="rId5"/>
    <sheet name="6. Управл активами" sheetId="93" r:id="rId6"/>
    <sheet name="Итог" sheetId="96" r:id="rId7"/>
    <sheet name="Рейтинг" sheetId="89" r:id="rId8"/>
    <sheet name="Уровень качества" sheetId="95" r:id="rId9"/>
  </sheets>
  <definedNames>
    <definedName name="_FilterDatabase" localSheetId="6" hidden="1">Итог!$A$16:$S$16</definedName>
    <definedName name="_FilterDatabase" localSheetId="7" hidden="1">Рейтинг!$A$6:$BG$6</definedName>
    <definedName name="_FilterDatabase" localSheetId="8" hidden="1">'Уровень качества'!$A$6:$BH$6</definedName>
    <definedName name="krista_columnsbreak" localSheetId="0" hidden="1">'1. Управление расходами'!$26:$26</definedName>
    <definedName name="krista_columnsbreak" localSheetId="6" hidden="1">Итог!$16:$16</definedName>
    <definedName name="krista_columnsbreak" localSheetId="7" hidden="1">Рейтинг!$6:$6</definedName>
    <definedName name="krista_columnsbreak" localSheetId="8" hidden="1">'Уровень качества'!$6:$6</definedName>
    <definedName name="krista_r" localSheetId="0" hidden="1">'1. Управление расходами'!$B$27:$B$47</definedName>
    <definedName name="krista_r" localSheetId="1" hidden="1">'2. Управление доходами'!$B$16:$B$36</definedName>
    <definedName name="krista_r" localSheetId="2" hidden="1">'3. Вед учета и сост отчетности'!$B$14:$B$34</definedName>
    <definedName name="krista_r" localSheetId="3" hidden="1">'4. Внутр фин аудит'!$B$15:$B$35</definedName>
    <definedName name="krista_r" localSheetId="4" hidden="1">'5. Исполн бюджет процедур'!$B$13:$B$33</definedName>
    <definedName name="krista_r" localSheetId="5" hidden="1">'6. Управл активами'!$B$13:$B$33</definedName>
    <definedName name="krista_r" localSheetId="6" hidden="1">Итог!$B$17:$B$37</definedName>
    <definedName name="krista_r" localSheetId="7" hidden="1">Рейтинг!$B$7:$B$27</definedName>
    <definedName name="krista_r" localSheetId="8" hidden="1">'Уровень качества'!$B$7:$B$27</definedName>
    <definedName name="krista_rd_15236" localSheetId="6" hidden="1">Итог!$B$17:$B$37</definedName>
    <definedName name="krista_rd_40601" localSheetId="0" hidden="1">'1. Управление расходами'!$B$27:$B$47</definedName>
    <definedName name="krista_rd_40601" localSheetId="2" hidden="1">'3. Вед учета и сост отчетности'!$B$14:$B$34</definedName>
    <definedName name="krista_rd_40601" localSheetId="3" hidden="1">'4. Внутр фин аудит'!$B$15:$B$35</definedName>
    <definedName name="krista_rd_40601" localSheetId="4" hidden="1">'5. Исполн бюджет процедур'!$B$13:$B$33</definedName>
    <definedName name="krista_rd_40601" localSheetId="5" hidden="1">'6. Управл активами'!$B$13:$B$33</definedName>
    <definedName name="krista_rd_46383" localSheetId="1" hidden="1">'2. Управление доходами'!$B$16:$B$36</definedName>
    <definedName name="krista_rd_94" localSheetId="7" hidden="1">Рейтинг!$B$7:$B$27</definedName>
    <definedName name="krista_rd_94" localSheetId="8" hidden="1">'Уровень качества'!$B$7:$B$27</definedName>
    <definedName name="krista_rl_15238" localSheetId="6" hidden="1">Итог!$B$17:$B$37</definedName>
    <definedName name="krista_rl_40603" localSheetId="0" hidden="1">'1. Управление расходами'!$B$27:$B$47</definedName>
    <definedName name="krista_rl_40603" localSheetId="2" hidden="1">'3. Вед учета и сост отчетности'!$B$14:$B$34</definedName>
    <definedName name="krista_rl_40603" localSheetId="3" hidden="1">'4. Внутр фин аудит'!$B$15:$B$35</definedName>
    <definedName name="krista_rl_40603" localSheetId="4" hidden="1">'5. Исполн бюджет процедур'!$B$13:$B$33</definedName>
    <definedName name="krista_rl_40603" localSheetId="5" hidden="1">'6. Управл активами'!$B$13:$B$33</definedName>
    <definedName name="krista_rl_46385" localSheetId="1" hidden="1">'2. Управление доходами'!$B$16:$B$36</definedName>
    <definedName name="krista_rl_96" localSheetId="7" hidden="1">Рейтинг!$B$7:$B$27</definedName>
    <definedName name="krista_rl_96" localSheetId="8" hidden="1">'Уровень качества'!$B$7:$B$27</definedName>
    <definedName name="krista_rmp_15236_0" localSheetId="6" hidden="1">Итог!$A$17:$A$37</definedName>
    <definedName name="krista_rmp_40601_0" localSheetId="0" hidden="1">'1. Управление расходами'!$A$27:$A$47</definedName>
    <definedName name="krista_rmp_40601_0" localSheetId="2" hidden="1">'3. Вед учета и сост отчетности'!$A$14:$A$34</definedName>
    <definedName name="krista_rmp_40601_0" localSheetId="3" hidden="1">'4. Внутр фин аудит'!$A$15:$A$35</definedName>
    <definedName name="krista_rmp_40601_0" localSheetId="4" hidden="1">'5. Исполн бюджет процедур'!$A$13:$A$33</definedName>
    <definedName name="krista_rmp_40601_0" localSheetId="5" hidden="1">'6. Управл активами'!$A$13:$A$33</definedName>
    <definedName name="krista_rmp_46383_0" localSheetId="1" hidden="1">'2. Управление доходами'!$A$16:$A$36</definedName>
    <definedName name="krista_rmp_94_0" localSheetId="7" hidden="1">Рейтинг!$A$7:$A$27</definedName>
    <definedName name="krista_rmp_94_0" localSheetId="8" hidden="1">'Уровень качества'!$A$7:$A$27</definedName>
    <definedName name="krista_rmpa" localSheetId="0" hidden="1">'1. Управление расходами'!$A$27:$A$47</definedName>
    <definedName name="krista_rmpa" localSheetId="1" hidden="1">'2. Управление доходами'!$A$16:$A$36</definedName>
    <definedName name="krista_rmpa" localSheetId="2" hidden="1">'3. Вед учета и сост отчетности'!$A$14:$A$34</definedName>
    <definedName name="krista_rmpa" localSheetId="3" hidden="1">'4. Внутр фин аудит'!$A$15:$A$35</definedName>
    <definedName name="krista_rmpa" localSheetId="4" hidden="1">'5. Исполн бюджет процедур'!$A$13:$A$33</definedName>
    <definedName name="krista_rmpa" localSheetId="5" hidden="1">'6. Управл активами'!$A$13:$A$33</definedName>
    <definedName name="krista_rmpa" localSheetId="6" hidden="1">Итог!$A$17:$A$37</definedName>
    <definedName name="krista_rmpa" localSheetId="7" hidden="1">Рейтинг!$A$7:$A$27</definedName>
    <definedName name="krista_rmpa" localSheetId="8" hidden="1">'Уровень качества'!$A$7:$A$27</definedName>
    <definedName name="krista_rowtitlesbreak" localSheetId="1" hidden="1">'2. Управление доходами'!$14:$15</definedName>
    <definedName name="krista_rowtitlesbreak" localSheetId="2" hidden="1">'3. Вед учета и сост отчетности'!$12:$13</definedName>
    <definedName name="krista_rowtitlesbreak" localSheetId="3" hidden="1">'4. Внутр фин аудит'!$13:$14</definedName>
    <definedName name="krista_rowtitlesbreak" localSheetId="4" hidden="1">'5. Исполн бюджет процедур'!$11:$12</definedName>
    <definedName name="krista_rowtitlesbreak" localSheetId="5" hidden="1">'6. Управл активами'!$11:$12</definedName>
    <definedName name="krista_rta" localSheetId="0" hidden="1">'1. Управление расходами'!$27:$47</definedName>
    <definedName name="krista_rta" localSheetId="1" hidden="1">'2. Управление доходами'!$16:$36</definedName>
    <definedName name="krista_rta" localSheetId="2" hidden="1">'3. Вед учета и сост отчетности'!$14:$34</definedName>
    <definedName name="krista_rta" localSheetId="3" hidden="1">'4. Внутр фин аудит'!$15:$35</definedName>
    <definedName name="krista_rta" localSheetId="4" hidden="1">'5. Исполн бюджет процедур'!$13:$33</definedName>
    <definedName name="krista_rta" localSheetId="5" hidden="1">'6. Управл активами'!$13:$33</definedName>
    <definedName name="krista_rta" localSheetId="6" hidden="1">Итог!$17:$37</definedName>
    <definedName name="krista_rta" localSheetId="7" hidden="1">Рейтинг!$7:$27</definedName>
    <definedName name="krista_rta" localSheetId="8" hidden="1">'Уровень качества'!$7:$27</definedName>
    <definedName name="krista_t" localSheetId="0" hidden="1">'1. Управление расходами'!$C$27:$DM$47</definedName>
    <definedName name="krista_t" localSheetId="1" hidden="1">'2. Управление доходами'!$C$16:$AN$36</definedName>
    <definedName name="krista_t" localSheetId="2" hidden="1">'3. Вед учета и сост отчетности'!$C$14:$Z$34</definedName>
    <definedName name="krista_t" localSheetId="3" hidden="1">'4. Внутр фин аудит'!$C$15:$AG$35</definedName>
    <definedName name="krista_t" localSheetId="4" hidden="1">'5. Исполн бюджет процедур'!$C$13:$S$33</definedName>
    <definedName name="krista_t" localSheetId="5" hidden="1">'6. Управл активами'!$C$13:$S$33</definedName>
    <definedName name="krista_t" localSheetId="6" hidden="1">Итог!$C$17:$AU$37</definedName>
    <definedName name="krista_t" localSheetId="7" hidden="1">Рейтинг!$C$7:$D$27</definedName>
    <definedName name="krista_t" localSheetId="8" hidden="1">'Уровень качества'!$C$7:$D$27</definedName>
    <definedName name="krista_table" localSheetId="0" hidden="1">'1. Управление расходами'!$A$26:$DM$47</definedName>
    <definedName name="krista_table" localSheetId="1" hidden="1">'2. Управление доходами'!$A$14:$AN$36</definedName>
    <definedName name="krista_table" localSheetId="2" hidden="1">'3. Вед учета и сост отчетности'!$A$12:$Z$34</definedName>
    <definedName name="krista_table" localSheetId="3" hidden="1">'4. Внутр фин аудит'!$A$13:$AG$35</definedName>
    <definedName name="krista_table" localSheetId="4" hidden="1">'5. Исполн бюджет процедур'!$A$11:$S$33</definedName>
    <definedName name="krista_table" localSheetId="5" hidden="1">'6. Управл активами'!$A$11:$S$33</definedName>
    <definedName name="krista_table" localSheetId="6" hidden="1">Итог!$A$16:$AU$37</definedName>
    <definedName name="krista_table" localSheetId="7" hidden="1">Рейтинг!$A$6:$D$27</definedName>
    <definedName name="krista_table" localSheetId="8" hidden="1">'Уровень качества'!$A$6:$D$27</definedName>
    <definedName name="krista_tablewitoutid" localSheetId="0" hidden="1">'1. Управление расходами'!$A$26:$DM$47</definedName>
    <definedName name="krista_tablewitoutid" localSheetId="1" hidden="1">'2. Управление доходами'!$A$14:$AN$36</definedName>
    <definedName name="krista_tablewitoutid" localSheetId="2" hidden="1">'3. Вед учета и сост отчетности'!$A$12:$Z$34</definedName>
    <definedName name="krista_tablewitoutid" localSheetId="3" hidden="1">'4. Внутр фин аудит'!$A$13:$AG$35</definedName>
    <definedName name="krista_tablewitoutid" localSheetId="4" hidden="1">'5. Исполн бюджет процедур'!$A$11:$S$33</definedName>
    <definedName name="krista_tablewitoutid" localSheetId="5" hidden="1">'6. Управл активами'!$A$11:$S$33</definedName>
    <definedName name="krista_tablewitoutid" localSheetId="6" hidden="1">Итог!$A$16:$AU$37</definedName>
    <definedName name="krista_tablewitoutid" localSheetId="7" hidden="1">Рейтинг!$A$6:$D$27</definedName>
    <definedName name="krista_tablewitoutid" localSheetId="8" hidden="1">'Уровень качества'!$A$6:$D$27</definedName>
    <definedName name="krista_tf_16747" localSheetId="6" hidden="1">Итог!$G$17:$G$37</definedName>
    <definedName name="krista_tf_16747_0_4" localSheetId="6" hidden="1">Итог!$G$17:$G$37</definedName>
    <definedName name="krista_tf_16748" localSheetId="6" hidden="1">Итог!$M$17:$M$37</definedName>
    <definedName name="krista_tf_16748_0_4" localSheetId="6" hidden="1">Итог!$M$17:$M$37</definedName>
    <definedName name="krista_tf_25801" localSheetId="6" hidden="1">Итог!$S$17:$S$37</definedName>
    <definedName name="krista_tf_25801_0_0" localSheetId="6" hidden="1">Итог!$S$17:$S$37</definedName>
    <definedName name="krista_tf_25803" localSheetId="6" hidden="1">Итог!$T$17:$T$37</definedName>
    <definedName name="krista_tf_25803_0_0" localSheetId="6" hidden="1">Итог!$T$17:$T$37</definedName>
    <definedName name="krista_tf_25804" localSheetId="6" hidden="1">Итог!$U$17:$U$37</definedName>
    <definedName name="krista_tf_25804_0_0" localSheetId="6" hidden="1">Итог!$U$17:$U$37</definedName>
    <definedName name="krista_tf_25806" localSheetId="6" hidden="1">Итог!$AQ$17:$AQ$37</definedName>
    <definedName name="krista_tf_25806_0_0" localSheetId="6" hidden="1">Итог!$AQ$17:$AQ$37</definedName>
    <definedName name="krista_tf_25808" localSheetId="6" hidden="1">Итог!$Y$17:$Y$37</definedName>
    <definedName name="krista_tf_25808_0_0" localSheetId="6" hidden="1">Итог!$Y$17:$Y$37</definedName>
    <definedName name="krista_tf_25810" localSheetId="6" hidden="1">Итог!$Z$17:$Z$37</definedName>
    <definedName name="krista_tf_25810_0_0" localSheetId="6" hidden="1">Итог!$Z$17:$Z$37</definedName>
    <definedName name="krista_tf_25811" localSheetId="6" hidden="1">Итог!$AA$17:$AA$37</definedName>
    <definedName name="krista_tf_25811_0_0" localSheetId="6" hidden="1">Итог!$AA$17:$AA$37</definedName>
    <definedName name="krista_tf_25813" localSheetId="6" hidden="1">Итог!$AR$17:$AR$37</definedName>
    <definedName name="krista_tf_25813_0_0" localSheetId="6" hidden="1">Итог!$AR$17:$AR$37</definedName>
    <definedName name="krista_tf_25814" localSheetId="6" hidden="1">Итог!$AS$17:$AS$37</definedName>
    <definedName name="krista_tf_25814_0_0" localSheetId="6" hidden="1">Итог!$AS$17:$AS$37</definedName>
    <definedName name="krista_tf_25815" localSheetId="6" hidden="1">Итог!$AT$17:$AT$37</definedName>
    <definedName name="krista_tf_25815_0_0" localSheetId="6" hidden="1">Итог!$AT$17:$AT$37</definedName>
    <definedName name="krista_tf_25817" localSheetId="6" hidden="1">Итог!$AE$17:$AE$37</definedName>
    <definedName name="krista_tf_25817_0_0" localSheetId="6" hidden="1">Итог!$AE$17:$AE$37</definedName>
    <definedName name="krista_tf_25819" localSheetId="6" hidden="1">Итог!$AF$17:$AF$37</definedName>
    <definedName name="krista_tf_25819_0_0" localSheetId="6" hidden="1">Итог!$AF$17:$AF$37</definedName>
    <definedName name="krista_tf_25820" localSheetId="6" hidden="1">Итог!$AG$17:$AG$37</definedName>
    <definedName name="krista_tf_25820_0_0" localSheetId="6" hidden="1">Итог!$AG$17:$AG$37</definedName>
    <definedName name="krista_tf_25823" localSheetId="6" hidden="1">Итог!$AK$17:$AK$37</definedName>
    <definedName name="krista_tf_25823_0_0" localSheetId="6" hidden="1">Итог!$AK$17:$AK$37</definedName>
    <definedName name="krista_tf_25825" localSheetId="6" hidden="1">Итог!$AL$17:$AL$37</definedName>
    <definedName name="krista_tf_25825_0_0" localSheetId="6" hidden="1">Итог!$AL$17:$AL$37</definedName>
    <definedName name="krista_tf_25826" localSheetId="6" hidden="1">Итог!$AM$17:$AM$37</definedName>
    <definedName name="krista_tf_25826_0_0" localSheetId="6" hidden="1">Итог!$AM$17:$AM$37</definedName>
    <definedName name="krista_tf_40535" localSheetId="0" hidden="1">'1. Управление расходами'!$H$27:$H$47</definedName>
    <definedName name="krista_tf_40535" localSheetId="1" hidden="1">'2. Управление доходами'!$H$16:$H$36</definedName>
    <definedName name="krista_tf_40535" localSheetId="2" hidden="1">'3. Вед учета и сост отчетности'!$H$14:$H$34</definedName>
    <definedName name="krista_tf_40535" localSheetId="3" hidden="1">'4. Внутр фин аудит'!$H$15:$H$35</definedName>
    <definedName name="krista_tf_40535" localSheetId="4" hidden="1">'5. Исполн бюджет процедур'!$H$13:$H$33</definedName>
    <definedName name="krista_tf_40535" localSheetId="5" hidden="1">'6. Управл активами'!$H$13:$H$33</definedName>
    <definedName name="krista_tf_40535_0_0" localSheetId="0" hidden="1">'1. Управление расходами'!$H$27:$H$47</definedName>
    <definedName name="krista_tf_40535_0_0" localSheetId="1" hidden="1">'2. Управление доходами'!$H$16:$H$36</definedName>
    <definedName name="krista_tf_40535_0_0" localSheetId="2" hidden="1">'3. Вед учета и сост отчетности'!$H$14:$H$34</definedName>
    <definedName name="krista_tf_40535_0_0" localSheetId="3" hidden="1">'4. Внутр фин аудит'!$H$15:$H$35</definedName>
    <definedName name="krista_tf_40535_0_0" localSheetId="4" hidden="1">'5. Исполн бюджет процедур'!$H$13:$H$33</definedName>
    <definedName name="krista_tf_40535_0_0" localSheetId="5" hidden="1">'6. Управл активами'!$H$13:$H$33</definedName>
    <definedName name="krista_tf_40536" localSheetId="0" hidden="1">'1. Управление расходами'!$I$27:$I$47</definedName>
    <definedName name="krista_tf_40536" localSheetId="1" hidden="1">'2. Управление доходами'!$I$16:$I$36</definedName>
    <definedName name="krista_tf_40536" localSheetId="2" hidden="1">'3. Вед учета и сост отчетности'!$I$14:$I$34</definedName>
    <definedName name="krista_tf_40536" localSheetId="3" hidden="1">'4. Внутр фин аудит'!$I$15:$I$35</definedName>
    <definedName name="krista_tf_40536" localSheetId="4" hidden="1">'5. Исполн бюджет процедур'!$I$13:$I$33</definedName>
    <definedName name="krista_tf_40536" localSheetId="5" hidden="1">'6. Управл активами'!$I$13:$I$33</definedName>
    <definedName name="krista_tf_40536_0_0" localSheetId="0" hidden="1">'1. Управление расходами'!$I$27:$I$47</definedName>
    <definedName name="krista_tf_40536_0_0" localSheetId="1" hidden="1">'2. Управление доходами'!$I$16:$I$36</definedName>
    <definedName name="krista_tf_40536_0_0" localSheetId="2" hidden="1">'3. Вед учета и сост отчетности'!$I$14:$I$34</definedName>
    <definedName name="krista_tf_40536_0_0" localSheetId="3" hidden="1">'4. Внутр фин аудит'!$I$15:$I$35</definedName>
    <definedName name="krista_tf_40536_0_0" localSheetId="4" hidden="1">'5. Исполн бюджет процедур'!$I$13:$I$33</definedName>
    <definedName name="krista_tf_40536_0_0" localSheetId="5" hidden="1">'6. Управл активами'!$I$13:$I$33</definedName>
    <definedName name="krista_tf_40541" localSheetId="1" hidden="1">'2. Управление доходами'!$N$16:$N$36</definedName>
    <definedName name="krista_tf_40541" localSheetId="2" hidden="1">'3. Вед учета и сост отчетности'!$N$14:$N$34</definedName>
    <definedName name="krista_tf_40541" localSheetId="3" hidden="1">'4. Внутр фин аудит'!$N$15:$N$35</definedName>
    <definedName name="krista_tf_40541" localSheetId="4" hidden="1">'5. Исполн бюджет процедур'!$N$13:$N$33</definedName>
    <definedName name="krista_tf_40541" localSheetId="5" hidden="1">'6. Управл активами'!$N$13:$N$33</definedName>
    <definedName name="krista_tf_40541_0_0" localSheetId="1" hidden="1">'2. Управление доходами'!$N$16:$N$36</definedName>
    <definedName name="krista_tf_40541_0_0" localSheetId="2" hidden="1">'3. Вед учета и сост отчетности'!$N$14:$N$34</definedName>
    <definedName name="krista_tf_40541_0_0" localSheetId="3" hidden="1">'4. Внутр фин аудит'!$N$15:$N$35</definedName>
    <definedName name="krista_tf_40541_0_0" localSheetId="4" hidden="1">'5. Исполн бюджет процедур'!$N$13:$N$33</definedName>
    <definedName name="krista_tf_40541_0_0" localSheetId="5" hidden="1">'6. Управл активами'!$N$13:$N$33</definedName>
    <definedName name="krista_tf_40542" localSheetId="1" hidden="1">'2. Управление доходами'!$O$16:$O$36</definedName>
    <definedName name="krista_tf_40542" localSheetId="2" hidden="1">'3. Вед учета и сост отчетности'!$O$14:$O$34</definedName>
    <definedName name="krista_tf_40542" localSheetId="3" hidden="1">'4. Внутр фин аудит'!$O$15:$O$35</definedName>
    <definedName name="krista_tf_40542" localSheetId="4" hidden="1">'5. Исполн бюджет процедур'!$O$13:$O$33</definedName>
    <definedName name="krista_tf_40542" localSheetId="5" hidden="1">'6. Управл активами'!$O$13:$O$33</definedName>
    <definedName name="krista_tf_40542_0_0" localSheetId="1" hidden="1">'2. Управление доходами'!$O$16:$O$36</definedName>
    <definedName name="krista_tf_40542_0_0" localSheetId="2" hidden="1">'3. Вед учета и сост отчетности'!$O$14:$O$34</definedName>
    <definedName name="krista_tf_40542_0_0" localSheetId="3" hidden="1">'4. Внутр фин аудит'!$O$15:$O$35</definedName>
    <definedName name="krista_tf_40542_0_0" localSheetId="4" hidden="1">'5. Исполн бюджет процедур'!$O$13:$O$33</definedName>
    <definedName name="krista_tf_40542_0_0" localSheetId="5" hidden="1">'6. Управл активами'!$O$13:$O$33</definedName>
    <definedName name="krista_tf_40547" localSheetId="0" hidden="1">'1. Управление расходами'!$N$27:$N$47</definedName>
    <definedName name="krista_tf_40547" localSheetId="1" hidden="1">'2. Управление доходами'!$T$16:$T$36</definedName>
    <definedName name="krista_tf_40547" localSheetId="2" hidden="1">'3. Вед учета и сост отчетности'!$T$14:$T$34</definedName>
    <definedName name="krista_tf_40547" localSheetId="3" hidden="1">'4. Внутр фин аудит'!$T$15:$T$35</definedName>
    <definedName name="krista_tf_40547_0_0" localSheetId="0" hidden="1">'1. Управление расходами'!$N$27:$N$47</definedName>
    <definedName name="krista_tf_40547_0_0" localSheetId="1" hidden="1">'2. Управление доходами'!$T$16:$T$36</definedName>
    <definedName name="krista_tf_40547_0_0" localSheetId="2" hidden="1">'3. Вед учета и сост отчетности'!$T$14:$T$34</definedName>
    <definedName name="krista_tf_40547_0_0" localSheetId="3" hidden="1">'4. Внутр фин аудит'!$T$15:$T$35</definedName>
    <definedName name="krista_tf_40548" localSheetId="0" hidden="1">'1. Управление расходами'!$O$27:$O$47</definedName>
    <definedName name="krista_tf_40548" localSheetId="1" hidden="1">'2. Управление доходами'!$U$16:$U$36</definedName>
    <definedName name="krista_tf_40548" localSheetId="2" hidden="1">'3. Вед учета и сост отчетности'!$U$14:$U$34</definedName>
    <definedName name="krista_tf_40548" localSheetId="3" hidden="1">'4. Внутр фин аудит'!$U$15:$U$35</definedName>
    <definedName name="krista_tf_40548_0_0" localSheetId="0" hidden="1">'1. Управление расходами'!$O$27:$O$47</definedName>
    <definedName name="krista_tf_40548_0_0" localSheetId="1" hidden="1">'2. Управление доходами'!$U$16:$U$36</definedName>
    <definedName name="krista_tf_40548_0_0" localSheetId="2" hidden="1">'3. Вед учета и сост отчетности'!$U$14:$U$34</definedName>
    <definedName name="krista_tf_40548_0_0" localSheetId="3" hidden="1">'4. Внутр фин аудит'!$U$15:$U$35</definedName>
    <definedName name="krista_tf_40553" localSheetId="0" hidden="1">'1. Управление расходами'!$T$27:$T$47</definedName>
    <definedName name="krista_tf_40553" localSheetId="3" hidden="1">'4. Внутр фин аудит'!$Z$15:$Z$35</definedName>
    <definedName name="krista_tf_40553_0_0" localSheetId="0" hidden="1">'1. Управление расходами'!$T$27:$T$47</definedName>
    <definedName name="krista_tf_40553_0_0" localSheetId="3" hidden="1">'4. Внутр фин аудит'!$Z$15:$Z$35</definedName>
    <definedName name="krista_tf_40554" localSheetId="0" hidden="1">'1. Управление расходами'!$U$27:$U$47</definedName>
    <definedName name="krista_tf_40554" localSheetId="3" hidden="1">'4. Внутр фин аудит'!$AA$15:$AA$35</definedName>
    <definedName name="krista_tf_40554_0_0" localSheetId="0" hidden="1">'1. Управление расходами'!$U$27:$U$47</definedName>
    <definedName name="krista_tf_40554_0_0" localSheetId="3" hidden="1">'4. Внутр фин аудит'!$AA$15:$AA$35</definedName>
    <definedName name="krista_tf_40559" localSheetId="0" hidden="1">'1. Управление расходами'!$Z$27:$Z$47</definedName>
    <definedName name="krista_tf_40559_0_0" localSheetId="0" hidden="1">'1. Управление расходами'!$Z$27:$Z$47</definedName>
    <definedName name="krista_tf_40560" localSheetId="0" hidden="1">'1. Управление расходами'!$AA$27:$AA$47</definedName>
    <definedName name="krista_tf_40560_0_0" localSheetId="0" hidden="1">'1. Управление расходами'!$AA$27:$AA$47</definedName>
    <definedName name="krista_tf_40565" localSheetId="0" hidden="1">'1. Управление расходами'!$AF$27:$AF$47</definedName>
    <definedName name="krista_tf_40565_0_0" localSheetId="0" hidden="1">'1. Управление расходами'!$AF$27:$AF$47</definedName>
    <definedName name="krista_tf_40566" localSheetId="0" hidden="1">'1. Управление расходами'!$AG$27:$AG$47</definedName>
    <definedName name="krista_tf_40566_0_0" localSheetId="0" hidden="1">'1. Управление расходами'!$AG$27:$AG$47</definedName>
    <definedName name="krista_tf_40571" localSheetId="0" hidden="1">'1. Управление расходами'!$AL$27:$AL$47</definedName>
    <definedName name="krista_tf_40571_0_0" localSheetId="0" hidden="1">'1. Управление расходами'!$AL$27:$AL$47</definedName>
    <definedName name="krista_tf_40572" localSheetId="0" hidden="1">'1. Управление расходами'!$AM$27:$AM$47</definedName>
    <definedName name="krista_tf_40572_0_0" localSheetId="0" hidden="1">'1. Управление расходами'!$AM$27:$AM$47</definedName>
    <definedName name="krista_tf_40580" localSheetId="1" hidden="1">'2. Управление доходами'!$AI$16:$AI$36</definedName>
    <definedName name="krista_tf_40580" localSheetId="2" hidden="1">'3. Вед учета и сост отчетности'!$W$14:$W$34</definedName>
    <definedName name="krista_tf_40580" localSheetId="3" hidden="1">'4. Внутр фин аудит'!$AC$15:$AC$35</definedName>
    <definedName name="krista_tf_40580" localSheetId="4" hidden="1">'5. Исполн бюджет процедур'!$Q$13:$Q$33</definedName>
    <definedName name="krista_tf_40580" localSheetId="5" hidden="1">'6. Управл активами'!$Q$13:$Q$33</definedName>
    <definedName name="krista_tf_40580_0_0" localSheetId="1" hidden="1">'2. Управление доходами'!$AI$16:$AI$36</definedName>
    <definedName name="krista_tf_40580_0_0" localSheetId="2" hidden="1">'3. Вед учета и сост отчетности'!$W$14:$W$34</definedName>
    <definedName name="krista_tf_40580_0_0" localSheetId="3" hidden="1">'4. Внутр фин аудит'!$AC$15:$AC$35</definedName>
    <definedName name="krista_tf_40580_0_0" localSheetId="4" hidden="1">'5. Исполн бюджет процедур'!$Q$13:$Q$33</definedName>
    <definedName name="krista_tf_40580_0_0" localSheetId="5" hidden="1">'6. Управл активами'!$Q$13:$Q$33</definedName>
    <definedName name="krista_tf_40581" localSheetId="1" hidden="1">'2. Управление доходами'!$AJ$16:$AJ$36</definedName>
    <definedName name="krista_tf_40581" localSheetId="2" hidden="1">'3. Вед учета и сост отчетности'!$X$14:$X$34</definedName>
    <definedName name="krista_tf_40581" localSheetId="3" hidden="1">'4. Внутр фин аудит'!$AD$15:$AD$35</definedName>
    <definedName name="krista_tf_40581" localSheetId="4" hidden="1">'5. Исполн бюджет процедур'!$R$13:$R$33</definedName>
    <definedName name="krista_tf_40581" localSheetId="5" hidden="1">'6. Управл активами'!$R$13:$R$33</definedName>
    <definedName name="krista_tf_40581_0_0" localSheetId="1" hidden="1">'2. Управление доходами'!$AJ$16:$AJ$36</definedName>
    <definedName name="krista_tf_40581_0_0" localSheetId="2" hidden="1">'3. Вед учета и сост отчетности'!$X$14:$X$34</definedName>
    <definedName name="krista_tf_40581_0_0" localSheetId="3" hidden="1">'4. Внутр фин аудит'!$AD$15:$AD$35</definedName>
    <definedName name="krista_tf_40581_0_0" localSheetId="4" hidden="1">'5. Исполн бюджет процедур'!$R$13:$R$33</definedName>
    <definedName name="krista_tf_40581_0_0" localSheetId="5" hidden="1">'6. Управл активами'!$R$13:$R$33</definedName>
    <definedName name="krista_tf_40582" localSheetId="1" hidden="1">'2. Управление доходами'!$AK$16:$AK$36</definedName>
    <definedName name="krista_tf_40582" localSheetId="2" hidden="1">'3. Вед учета и сост отчетности'!$Y$14:$Y$34</definedName>
    <definedName name="krista_tf_40582" localSheetId="3" hidden="1">'4. Внутр фин аудит'!$AE$15:$AE$35</definedName>
    <definedName name="krista_tf_40582_0_0" localSheetId="1" hidden="1">'2. Управление доходами'!$AK$16:$AK$36</definedName>
    <definedName name="krista_tf_40582_0_0" localSheetId="2" hidden="1">'3. Вед учета и сост отчетности'!$Y$14:$Y$34</definedName>
    <definedName name="krista_tf_40582_0_0" localSheetId="3" hidden="1">'4. Внутр фин аудит'!$AE$15:$AE$35</definedName>
    <definedName name="krista_tf_40583" localSheetId="3" hidden="1">'4. Внутр фин аудит'!$AF$15:$AF$35</definedName>
    <definedName name="krista_tf_40583_0_0" localSheetId="3" hidden="1">'4. Внутр фин аудит'!$AF$15:$AF$35</definedName>
    <definedName name="krista_tf_40588" localSheetId="0" hidden="1">'1. Управление расходами'!$DM$27:$DM$47</definedName>
    <definedName name="krista_tf_40588" localSheetId="1" hidden="1">'2. Управление доходами'!$AN$16:$AN$36</definedName>
    <definedName name="krista_tf_40588" localSheetId="2" hidden="1">'3. Вед учета и сост отчетности'!$Z$14:$Z$34</definedName>
    <definedName name="krista_tf_40588" localSheetId="3" hidden="1">'4. Внутр фин аудит'!$AG$15:$AG$35</definedName>
    <definedName name="krista_tf_40588" localSheetId="4" hidden="1">'5. Исполн бюджет процедур'!$S$13:$S$33</definedName>
    <definedName name="krista_tf_40588" localSheetId="5" hidden="1">'6. Управл активами'!$S$13:$S$33</definedName>
    <definedName name="krista_tf_40588_0_0" localSheetId="0" hidden="1">'1. Управление расходами'!$DM$27:$DM$47</definedName>
    <definedName name="krista_tf_40588_0_0" localSheetId="1" hidden="1">'2. Управление доходами'!$AN$16:$AN$36</definedName>
    <definedName name="krista_tf_40588_0_0" localSheetId="2" hidden="1">'3. Вед учета и сост отчетности'!$Z$14:$Z$34</definedName>
    <definedName name="krista_tf_40588_0_0" localSheetId="3" hidden="1">'4. Внутр фин аудит'!$AG$15:$AG$35</definedName>
    <definedName name="krista_tf_40588_0_0" localSheetId="4" hidden="1">'5. Исполн бюджет процедур'!$S$13:$S$33</definedName>
    <definedName name="krista_tf_40588_0_0" localSheetId="5" hidden="1">'6. Управл активами'!$S$13:$S$33</definedName>
    <definedName name="krista_tf_52029" localSheetId="1" hidden="1">'2. Управление доходами'!$AL$16:$AL$36</definedName>
    <definedName name="krista_tf_52029_0_0" localSheetId="1" hidden="1">'2. Управление доходами'!$AL$16:$AL$36</definedName>
    <definedName name="krista_tf_52030" localSheetId="1" hidden="1">'2. Управление доходами'!$AM$16:$AM$36</definedName>
    <definedName name="krista_tf_52030_0_0" localSheetId="1" hidden="1">'2. Управление доходами'!$AM$16:$AM$36</definedName>
    <definedName name="krista_tf_52034" localSheetId="1" hidden="1">'2. Управление доходами'!$Z$16:$Z$36</definedName>
    <definedName name="krista_tf_52034_0_0" localSheetId="1" hidden="1">'2. Управление доходами'!$Z$16:$Z$36</definedName>
    <definedName name="krista_tf_52035" localSheetId="1" hidden="1">'2. Управление доходами'!$AA$16:$AA$36</definedName>
    <definedName name="krista_tf_52035_0_0" localSheetId="1" hidden="1">'2. Управление доходами'!$AA$16:$AA$36</definedName>
    <definedName name="krista_tf_52039" localSheetId="1" hidden="1">'2. Управление доходами'!$AF$16:$AF$36</definedName>
    <definedName name="krista_tf_52039_0_0" localSheetId="1" hidden="1">'2. Управление доходами'!$AF$16:$AF$36</definedName>
    <definedName name="krista_tf_52040" localSheetId="1" hidden="1">'2. Управление доходами'!$AG$16:$AG$36</definedName>
    <definedName name="krista_tf_52040_0_0" localSheetId="1" hidden="1">'2. Управление доходами'!$AG$16:$AG$36</definedName>
    <definedName name="krista_tf_529" localSheetId="6" hidden="1">Итог!$H$17:$H$37</definedName>
    <definedName name="krista_tf_529_0_4" localSheetId="6" hidden="1">Итог!$H$17:$H$37</definedName>
    <definedName name="krista_tf_530" localSheetId="6" hidden="1">Итог!$I$17:$I$37</definedName>
    <definedName name="krista_tf_530_0_4" localSheetId="6" hidden="1">Итог!$I$17:$I$37</definedName>
    <definedName name="krista_tf_534" localSheetId="6" hidden="1">Итог!$N$17:$N$37</definedName>
    <definedName name="krista_tf_534_0_4" localSheetId="6" hidden="1">Итог!$N$17:$N$37</definedName>
    <definedName name="krista_tf_535" localSheetId="6" hidden="1">Итог!$O$17:$O$37</definedName>
    <definedName name="krista_tf_535_0_4" localSheetId="6" hidden="1">Итог!$O$17:$O$37</definedName>
    <definedName name="krista_tf_552" localSheetId="6" hidden="1">Итог!$AO$17:$AO$37</definedName>
    <definedName name="krista_tf_552_0_4" localSheetId="6" hidden="1">Итог!$AO$17:$AO$37</definedName>
    <definedName name="krista_tf_553" localSheetId="6" hidden="1">Итог!$AP$17:$AP$37</definedName>
    <definedName name="krista_tf_553_0_4" localSheetId="6" hidden="1">Итог!$AP$17:$AP$37</definedName>
    <definedName name="krista_tf_557" localSheetId="6" hidden="1">Итог!$AU$17:$AU$37</definedName>
    <definedName name="krista_tf_557_0_4" localSheetId="6" hidden="1">Итог!$AU$17:$AU$37</definedName>
    <definedName name="krista_tf_61979" localSheetId="0" hidden="1">'1. Управление расходами'!$AR$27:$AR$47</definedName>
    <definedName name="krista_tf_61979_0_0" localSheetId="0" hidden="1">'1. Управление расходами'!$AR$27:$AR$47</definedName>
    <definedName name="krista_tf_61980" localSheetId="0" hidden="1">'1. Управление расходами'!$AS$27:$AS$47</definedName>
    <definedName name="krista_tf_61980_0_0" localSheetId="0" hidden="1">'1. Управление расходами'!$AS$27:$AS$47</definedName>
    <definedName name="krista_tf_62156" localSheetId="0" hidden="1">'1. Управление расходами'!$AX$27:$AX$47</definedName>
    <definedName name="krista_tf_62156_0_0" localSheetId="0" hidden="1">'1. Управление расходами'!$AX$27:$AX$47</definedName>
    <definedName name="krista_tf_62157" localSheetId="0" hidden="1">'1. Управление расходами'!$AY$27:$AY$47</definedName>
    <definedName name="krista_tf_62157_0_0" localSheetId="0" hidden="1">'1. Управление расходами'!$AY$27:$AY$47</definedName>
    <definedName name="krista_tf_62163" localSheetId="0" hidden="1">'1. Управление расходами'!$BD$27:$BD$47</definedName>
    <definedName name="krista_tf_62163_0_0" localSheetId="0" hidden="1">'1. Управление расходами'!$BD$27:$BD$47</definedName>
    <definedName name="krista_tf_62164" localSheetId="0" hidden="1">'1. Управление расходами'!$BE$27:$BE$47</definedName>
    <definedName name="krista_tf_62164_0_0" localSheetId="0" hidden="1">'1. Управление расходами'!$BE$27:$BE$47</definedName>
    <definedName name="krista_tf_62243" localSheetId="0" hidden="1">'1. Управление расходами'!$CW$27:$CW$47</definedName>
    <definedName name="krista_tf_62243_0_0" localSheetId="0" hidden="1">'1. Управление расходами'!$CW$27:$CW$47</definedName>
    <definedName name="krista_tf_62244" localSheetId="0" hidden="1">'1. Управление расходами'!$DL$27:$DL$47</definedName>
    <definedName name="krista_tf_62244_0_0" localSheetId="0" hidden="1">'1. Управление расходами'!$DL$27:$DL$47</definedName>
    <definedName name="krista_tf_62248" localSheetId="0" hidden="1">'1. Управление расходами'!$BJ$27:$BJ$47</definedName>
    <definedName name="krista_tf_62248_0_0" localSheetId="0" hidden="1">'1. Управление расходами'!$BJ$27:$BJ$47</definedName>
    <definedName name="krista_tf_62249" localSheetId="0" hidden="1">'1. Управление расходами'!$BK$27:$BK$47</definedName>
    <definedName name="krista_tf_62249_0_0" localSheetId="0" hidden="1">'1. Управление расходами'!$BK$27:$BK$47</definedName>
    <definedName name="krista_tf_62507" localSheetId="0" hidden="1">'1. Управление расходами'!$BP$27:$BP$47</definedName>
    <definedName name="krista_tf_62507_0_0" localSheetId="0" hidden="1">'1. Управление расходами'!$BP$27:$BP$47</definedName>
    <definedName name="krista_tf_62508" localSheetId="0" hidden="1">'1. Управление расходами'!$BQ$27:$BQ$47</definedName>
    <definedName name="krista_tf_62508_0_0" localSheetId="0" hidden="1">'1. Управление расходами'!$BQ$27:$BQ$47</definedName>
    <definedName name="krista_tf_62513" localSheetId="0" hidden="1">'1. Управление расходами'!$BV$27:$BV$47</definedName>
    <definedName name="krista_tf_62513_0_0" localSheetId="0" hidden="1">'1. Управление расходами'!$BV$27:$BV$47</definedName>
    <definedName name="krista_tf_62514" localSheetId="0" hidden="1">'1. Управление расходами'!$BW$27:$BW$47</definedName>
    <definedName name="krista_tf_62514_0_0" localSheetId="0" hidden="1">'1. Управление расходами'!$BW$27:$BW$47</definedName>
    <definedName name="krista_tf_62519" localSheetId="0" hidden="1">'1. Управление расходами'!$CB$27:$CB$47</definedName>
    <definedName name="krista_tf_62519_0_0" localSheetId="0" hidden="1">'1. Управление расходами'!$CB$27:$CB$47</definedName>
    <definedName name="krista_tf_62520" localSheetId="0" hidden="1">'1. Управление расходами'!$CC$27:$CC$47</definedName>
    <definedName name="krista_tf_62520_0_0" localSheetId="0" hidden="1">'1. Управление расходами'!$CC$27:$CC$47</definedName>
    <definedName name="krista_tf_62730" localSheetId="0" hidden="1">'1. Управление расходами'!$CH$27:$CH$47</definedName>
    <definedName name="krista_tf_62730_0_0" localSheetId="0" hidden="1">'1. Управление расходами'!$CH$27:$CH$47</definedName>
    <definedName name="krista_tf_62731" localSheetId="0" hidden="1">'1. Управление расходами'!$CI$27:$CI$47</definedName>
    <definedName name="krista_tf_62731_0_0" localSheetId="0" hidden="1">'1. Управление расходами'!$CI$27:$CI$47</definedName>
    <definedName name="krista_tf_62736" localSheetId="0" hidden="1">'1. Управление расходами'!$CN$27:$CN$47</definedName>
    <definedName name="krista_tf_62736_0_0" localSheetId="0" hidden="1">'1. Управление расходами'!$CN$27:$CN$47</definedName>
    <definedName name="krista_tf_62737" localSheetId="0" hidden="1">'1. Управление расходами'!$CO$27:$CO$47</definedName>
    <definedName name="krista_tf_62737_0_0" localSheetId="0" hidden="1">'1. Управление расходами'!$CO$27:$CO$47</definedName>
    <definedName name="krista_tf_62742" localSheetId="0" hidden="1">'1. Управление расходами'!$CT$27:$CT$47</definedName>
    <definedName name="krista_tf_62742_0_0" localSheetId="0" hidden="1">'1. Управление расходами'!$CT$27:$CT$47</definedName>
    <definedName name="krista_tf_62743" localSheetId="0" hidden="1">'1. Управление расходами'!$CU$27:$CU$47</definedName>
    <definedName name="krista_tf_62743_0_0" localSheetId="0" hidden="1">'1. Управление расходами'!$CU$27:$CU$47</definedName>
    <definedName name="krista_tf_62746" localSheetId="0" hidden="1">'1. Управление расходами'!$CX$27:$CX$47</definedName>
    <definedName name="krista_tf_62746_0_0" localSheetId="0" hidden="1">'1. Управление расходами'!$CX$27:$CX$47</definedName>
    <definedName name="krista_tf_62747" localSheetId="0" hidden="1">'1. Управление расходами'!$CY$27:$CY$47</definedName>
    <definedName name="krista_tf_62747_0_0" localSheetId="0" hidden="1">'1. Управление расходами'!$CY$27:$CY$47</definedName>
    <definedName name="krista_tf_62748" localSheetId="0" hidden="1">'1. Управление расходами'!$CZ$27:$CZ$47</definedName>
    <definedName name="krista_tf_62748_0_0" localSheetId="0" hidden="1">'1. Управление расходами'!$CZ$27:$CZ$47</definedName>
    <definedName name="krista_tf_62749" localSheetId="0" hidden="1">'1. Управление расходами'!$DA$27:$DA$47</definedName>
    <definedName name="krista_tf_62749_0_0" localSheetId="0" hidden="1">'1. Управление расходами'!$DA$27:$DA$47</definedName>
    <definedName name="krista_tf_62750" localSheetId="0" hidden="1">'1. Управление расходами'!$DB$27:$DB$47</definedName>
    <definedName name="krista_tf_62750_0_0" localSheetId="0" hidden="1">'1. Управление расходами'!$DB$27:$DB$47</definedName>
    <definedName name="krista_tf_62751" localSheetId="0" hidden="1">'1. Управление расходами'!$DC$27:$DC$47</definedName>
    <definedName name="krista_tf_62751_0_0" localSheetId="0" hidden="1">'1. Управление расходами'!$DC$27:$DC$47</definedName>
    <definedName name="krista_tf_62752" localSheetId="0" hidden="1">'1. Управление расходами'!$DD$27:$DD$47</definedName>
    <definedName name="krista_tf_62752_0_0" localSheetId="0" hidden="1">'1. Управление расходами'!$DD$27:$DD$47</definedName>
    <definedName name="krista_tf_62753" localSheetId="0" hidden="1">'1. Управление расходами'!$DE$27:$DE$47</definedName>
    <definedName name="krista_tf_62753_0_0" localSheetId="0" hidden="1">'1. Управление расходами'!$DE$27:$DE$47</definedName>
    <definedName name="krista_tf_62754" localSheetId="0" hidden="1">'1. Управление расходами'!$DF$27:$DF$47</definedName>
    <definedName name="krista_tf_62754_0_0" localSheetId="0" hidden="1">'1. Управление расходами'!$DF$27:$DF$47</definedName>
    <definedName name="krista_tf_62755" localSheetId="0" hidden="1">'1. Управление расходами'!$DG$27:$DG$47</definedName>
    <definedName name="krista_tf_62755_0_0" localSheetId="0" hidden="1">'1. Управление расходами'!$DG$27:$DG$47</definedName>
    <definedName name="krista_tf_62756" localSheetId="0" hidden="1">'1. Управление расходами'!$DH$27:$DH$47</definedName>
    <definedName name="krista_tf_62756_0_0" localSheetId="0" hidden="1">'1. Управление расходами'!$DH$27:$DH$47</definedName>
    <definedName name="krista_tf_62757" localSheetId="0" hidden="1">'1. Управление расходами'!$DI$27:$DI$47</definedName>
    <definedName name="krista_tf_62757_0_0" localSheetId="0" hidden="1">'1. Управление расходами'!$DI$27:$DI$47</definedName>
    <definedName name="krista_tf_62758" localSheetId="0" hidden="1">'1. Управление расходами'!$DJ$27:$DJ$47</definedName>
    <definedName name="krista_tf_62758_0_0" localSheetId="0" hidden="1">'1. Управление расходами'!$DJ$27:$DJ$47</definedName>
    <definedName name="krista_tf_62759" localSheetId="0" hidden="1">'1. Управление расходами'!$DK$27:$DK$47</definedName>
    <definedName name="krista_tf_62759_0_0" localSheetId="0" hidden="1">'1. Управление расходами'!$DK$27:$DK$47</definedName>
    <definedName name="krista_tf_8792" localSheetId="7" hidden="1">Рейтинг!$D$7:$D$27</definedName>
    <definedName name="krista_tf_8792" localSheetId="8" hidden="1">'Уровень качества'!$D$7:$D$27</definedName>
    <definedName name="krista_tf_8792_0_0" localSheetId="7" hidden="1">Рейтинг!$D$7:$D$27</definedName>
    <definedName name="krista_tf_8792_0_0" localSheetId="8" hidden="1">'Уровень качества'!$D$7:$D$27</definedName>
    <definedName name="krista_tm_11230" localSheetId="7" hidden="1">Рейтинг!$C$7:$C$27</definedName>
    <definedName name="krista_tm_11230" localSheetId="8" hidden="1">'Уровень качества'!$C$7:$C$27</definedName>
    <definedName name="krista_tm_11230_0_4" localSheetId="7" hidden="1">Рейтинг!$C$7:$C$27</definedName>
    <definedName name="krista_tm_11230_0_4" localSheetId="8" hidden="1">'Уровень качества'!$C$7:$C$27</definedName>
    <definedName name="krista_tm_25800" localSheetId="6" hidden="1">Итог!$Q$17:$Q$37</definedName>
    <definedName name="krista_tm_25800_0_0" localSheetId="6" hidden="1">Итог!$Q$17:$Q$37</definedName>
    <definedName name="krista_tm_25807" localSheetId="6" hidden="1">Итог!$W$17:$W$37</definedName>
    <definedName name="krista_tm_25807_0_0" localSheetId="6" hidden="1">Итог!$W$17:$W$37</definedName>
    <definedName name="krista_tm_25816" localSheetId="6" hidden="1">Итог!$AC$17:$AC$37</definedName>
    <definedName name="krista_tm_25816_0_0" localSheetId="6" hidden="1">Итог!$AC$17:$AC$37</definedName>
    <definedName name="krista_tm_25822" localSheetId="6" hidden="1">Итог!$AI$17:$AI$37</definedName>
    <definedName name="krista_tm_25822_0_0" localSheetId="6" hidden="1">Итог!$AI$17:$AI$37</definedName>
    <definedName name="krista_tm_29989" localSheetId="6" hidden="1">Итог!$F$17:$F$37</definedName>
    <definedName name="krista_tm_29989_0_4" localSheetId="6" hidden="1">Итог!$F$17:$F$37</definedName>
    <definedName name="krista_tm_30329" localSheetId="6" hidden="1">Итог!$L$17:$L$37</definedName>
    <definedName name="krista_tm_30329_0_4" localSheetId="6" hidden="1">Итог!$L$17:$L$37</definedName>
    <definedName name="krista_tm_30330" localSheetId="6" hidden="1">Итог!$R$17:$R$37</definedName>
    <definedName name="krista_tm_30330_0_0" localSheetId="6" hidden="1">Итог!$R$17:$R$37</definedName>
    <definedName name="krista_tm_30331" localSheetId="6" hidden="1">Итог!$X$17:$X$37</definedName>
    <definedName name="krista_tm_30331_0_0" localSheetId="6" hidden="1">Итог!$X$17:$X$37</definedName>
    <definedName name="krista_tm_30332" localSheetId="6" hidden="1">Итог!$AD$17:$AD$37</definedName>
    <definedName name="krista_tm_30332_0_0" localSheetId="6" hidden="1">Итог!$AD$17:$AD$37</definedName>
    <definedName name="krista_tm_30333" localSheetId="6" hidden="1">Итог!$AJ$17:$AJ$37</definedName>
    <definedName name="krista_tm_30333_0_0" localSheetId="6" hidden="1">Итог!$AJ$17:$AJ$37</definedName>
    <definedName name="krista_tm_40532" localSheetId="0" hidden="1">'1. Управление расходами'!$E$27:$E$47</definedName>
    <definedName name="krista_tm_40532" localSheetId="1" hidden="1">'2. Управление доходами'!$E$16:$E$36</definedName>
    <definedName name="krista_tm_40532" localSheetId="2" hidden="1">'3. Вед учета и сост отчетности'!$E$14:$E$34</definedName>
    <definedName name="krista_tm_40532" localSheetId="3" hidden="1">'4. Внутр фин аудит'!$E$15:$E$35</definedName>
    <definedName name="krista_tm_40532" localSheetId="4" hidden="1">'5. Исполн бюджет процедур'!$E$13:$E$33</definedName>
    <definedName name="krista_tm_40532" localSheetId="5" hidden="1">'6. Управл активами'!$E$13:$E$33</definedName>
    <definedName name="krista_tm_40532_0_0" localSheetId="0" hidden="1">'1. Управление расходами'!$E$27:$E$47</definedName>
    <definedName name="krista_tm_40532_0_0" localSheetId="1" hidden="1">'2. Управление доходами'!$E$16:$E$36</definedName>
    <definedName name="krista_tm_40532_0_0" localSheetId="2" hidden="1">'3. Вед учета и сост отчетности'!$E$14:$E$34</definedName>
    <definedName name="krista_tm_40532_0_0" localSheetId="3" hidden="1">'4. Внутр фин аудит'!$E$15:$E$35</definedName>
    <definedName name="krista_tm_40532_0_0" localSheetId="4" hidden="1">'5. Исполн бюджет процедур'!$E$13:$E$33</definedName>
    <definedName name="krista_tm_40532_0_0" localSheetId="5" hidden="1">'6. Управл активами'!$E$13:$E$33</definedName>
    <definedName name="krista_tm_40533" localSheetId="1" hidden="1">'2. Управление доходами'!$F$16:$F$36</definedName>
    <definedName name="krista_tm_40533" localSheetId="2" hidden="1">'3. Вед учета и сост отчетности'!$F$14:$F$34</definedName>
    <definedName name="krista_tm_40533" localSheetId="3" hidden="1">'4. Внутр фин аудит'!$F$15:$F$35</definedName>
    <definedName name="krista_tm_40533" localSheetId="4" hidden="1">'5. Исполн бюджет процедур'!$F$13:$F$33</definedName>
    <definedName name="krista_tm_40533" localSheetId="5" hidden="1">'6. Управл активами'!$F$13:$F$33</definedName>
    <definedName name="krista_tm_40533_0_0" localSheetId="1" hidden="1">'2. Управление доходами'!$F$16:$F$36</definedName>
    <definedName name="krista_tm_40533_0_0" localSheetId="2" hidden="1">'3. Вед учета и сост отчетности'!$F$14:$F$34</definedName>
    <definedName name="krista_tm_40533_0_0" localSheetId="3" hidden="1">'4. Внутр фин аудит'!$F$15:$F$35</definedName>
    <definedName name="krista_tm_40533_0_0" localSheetId="4" hidden="1">'5. Исполн бюджет процедур'!$F$13:$F$33</definedName>
    <definedName name="krista_tm_40533_0_0" localSheetId="5" hidden="1">'6. Управл активами'!$F$13:$F$33</definedName>
    <definedName name="krista_tm_40534" localSheetId="1" hidden="1">'2. Управление доходами'!$G$16:$G$36</definedName>
    <definedName name="krista_tm_40534" localSheetId="2" hidden="1">'3. Вед учета и сост отчетности'!$G$14:$G$34</definedName>
    <definedName name="krista_tm_40534" localSheetId="3" hidden="1">'4. Внутр фин аудит'!$G$15:$G$35</definedName>
    <definedName name="krista_tm_40534" localSheetId="4" hidden="1">'5. Исполн бюджет процедур'!$G$13:$G$33</definedName>
    <definedName name="krista_tm_40534" localSheetId="5" hidden="1">'6. Управл активами'!$G$13:$G$33</definedName>
    <definedName name="krista_tm_40534_0_0" localSheetId="1" hidden="1">'2. Управление доходами'!$G$16:$G$36</definedName>
    <definedName name="krista_tm_40534_0_0" localSheetId="2" hidden="1">'3. Вед учета и сост отчетности'!$G$14:$G$34</definedName>
    <definedName name="krista_tm_40534_0_0" localSheetId="3" hidden="1">'4. Внутр фин аудит'!$G$15:$G$35</definedName>
    <definedName name="krista_tm_40534_0_0" localSheetId="4" hidden="1">'5. Исполн бюджет процедур'!$G$13:$G$33</definedName>
    <definedName name="krista_tm_40534_0_0" localSheetId="5" hidden="1">'6. Управл активами'!$G$13:$G$33</definedName>
    <definedName name="krista_tm_40538" localSheetId="1" hidden="1">'2. Управление доходами'!$K$16:$K$36</definedName>
    <definedName name="krista_tm_40538" localSheetId="2" hidden="1">'3. Вед учета и сост отчетности'!$K$14:$K$34</definedName>
    <definedName name="krista_tm_40538" localSheetId="3" hidden="1">'4. Внутр фин аудит'!$K$15:$K$35</definedName>
    <definedName name="krista_tm_40538" localSheetId="4" hidden="1">'5. Исполн бюджет процедур'!$K$13:$K$33</definedName>
    <definedName name="krista_tm_40538" localSheetId="5" hidden="1">'6. Управл активами'!$K$13:$K$33</definedName>
    <definedName name="krista_tm_40538_0_0" localSheetId="1" hidden="1">'2. Управление доходами'!$K$16:$K$36</definedName>
    <definedName name="krista_tm_40538_0_0" localSheetId="2" hidden="1">'3. Вед учета и сост отчетности'!$K$14:$K$34</definedName>
    <definedName name="krista_tm_40538_0_0" localSheetId="3" hidden="1">'4. Внутр фин аудит'!$K$15:$K$35</definedName>
    <definedName name="krista_tm_40538_0_0" localSheetId="4" hidden="1">'5. Исполн бюджет процедур'!$K$13:$K$33</definedName>
    <definedName name="krista_tm_40538_0_0" localSheetId="5" hidden="1">'6. Управл активами'!$K$13:$K$33</definedName>
    <definedName name="krista_tm_40539" localSheetId="1" hidden="1">'2. Управление доходами'!$L$16:$L$36</definedName>
    <definedName name="krista_tm_40539" localSheetId="2" hidden="1">'3. Вед учета и сост отчетности'!$L$14:$L$34</definedName>
    <definedName name="krista_tm_40539" localSheetId="3" hidden="1">'4. Внутр фин аудит'!$L$15:$L$35</definedName>
    <definedName name="krista_tm_40539" localSheetId="4" hidden="1">'5. Исполн бюджет процедур'!$L$13:$L$33</definedName>
    <definedName name="krista_tm_40539" localSheetId="5" hidden="1">'6. Управл активами'!$L$13:$L$33</definedName>
    <definedName name="krista_tm_40539_0_0" localSheetId="1" hidden="1">'2. Управление доходами'!$L$16:$L$36</definedName>
    <definedName name="krista_tm_40539_0_0" localSheetId="2" hidden="1">'3. Вед учета и сост отчетности'!$L$14:$L$34</definedName>
    <definedName name="krista_tm_40539_0_0" localSheetId="3" hidden="1">'4. Внутр фин аудит'!$L$15:$L$35</definedName>
    <definedName name="krista_tm_40539_0_0" localSheetId="4" hidden="1">'5. Исполн бюджет процедур'!$L$13:$L$33</definedName>
    <definedName name="krista_tm_40539_0_0" localSheetId="5" hidden="1">'6. Управл активами'!$L$13:$L$33</definedName>
    <definedName name="krista_tm_40540" localSheetId="1" hidden="1">'2. Управление доходами'!$M$16:$M$36</definedName>
    <definedName name="krista_tm_40540" localSheetId="2" hidden="1">'3. Вед учета и сост отчетности'!$M$14:$M$34</definedName>
    <definedName name="krista_tm_40540" localSheetId="3" hidden="1">'4. Внутр фин аудит'!$M$15:$M$35</definedName>
    <definedName name="krista_tm_40540" localSheetId="4" hidden="1">'5. Исполн бюджет процедур'!$M$13:$M$33</definedName>
    <definedName name="krista_tm_40540" localSheetId="5" hidden="1">'6. Управл активами'!$M$13:$M$33</definedName>
    <definedName name="krista_tm_40540_0_0" localSheetId="1" hidden="1">'2. Управление доходами'!$M$16:$M$36</definedName>
    <definedName name="krista_tm_40540_0_0" localSheetId="2" hidden="1">'3. Вед учета и сост отчетности'!$M$14:$M$34</definedName>
    <definedName name="krista_tm_40540_0_0" localSheetId="3" hidden="1">'4. Внутр фин аудит'!$M$15:$M$35</definedName>
    <definedName name="krista_tm_40540_0_0" localSheetId="4" hidden="1">'5. Исполн бюджет процедур'!$M$13:$M$33</definedName>
    <definedName name="krista_tm_40540_0_0" localSheetId="5" hidden="1">'6. Управл активами'!$M$13:$M$33</definedName>
    <definedName name="krista_tm_40544" localSheetId="0" hidden="1">'1. Управление расходами'!$K$27:$K$47</definedName>
    <definedName name="krista_tm_40544" localSheetId="1" hidden="1">'2. Управление доходами'!$Q$16:$Q$36</definedName>
    <definedName name="krista_tm_40544" localSheetId="2" hidden="1">'3. Вед учета и сост отчетности'!$Q$14:$Q$34</definedName>
    <definedName name="krista_tm_40544" localSheetId="3" hidden="1">'4. Внутр фин аудит'!$Q$15:$Q$35</definedName>
    <definedName name="krista_tm_40544_0_0" localSheetId="0" hidden="1">'1. Управление расходами'!$K$27:$K$47</definedName>
    <definedName name="krista_tm_40544_0_0" localSheetId="1" hidden="1">'2. Управление доходами'!$Q$16:$Q$36</definedName>
    <definedName name="krista_tm_40544_0_0" localSheetId="2" hidden="1">'3. Вед учета и сост отчетности'!$Q$14:$Q$34</definedName>
    <definedName name="krista_tm_40544_0_0" localSheetId="3" hidden="1">'4. Внутр фин аудит'!$Q$15:$Q$35</definedName>
    <definedName name="krista_tm_40545" localSheetId="0" hidden="1">'1. Управление расходами'!$L$27:$L$47</definedName>
    <definedName name="krista_tm_40545" localSheetId="1" hidden="1">'2. Управление доходами'!$R$16:$R$36</definedName>
    <definedName name="krista_tm_40545" localSheetId="2" hidden="1">'3. Вед учета и сост отчетности'!$R$14:$R$34</definedName>
    <definedName name="krista_tm_40545" localSheetId="3" hidden="1">'4. Внутр фин аудит'!$R$15:$R$35</definedName>
    <definedName name="krista_tm_40545_0_0" localSheetId="0" hidden="1">'1. Управление расходами'!$L$27:$L$47</definedName>
    <definedName name="krista_tm_40545_0_0" localSheetId="1" hidden="1">'2. Управление доходами'!$R$16:$R$36</definedName>
    <definedName name="krista_tm_40545_0_0" localSheetId="2" hidden="1">'3. Вед учета и сост отчетности'!$R$14:$R$34</definedName>
    <definedName name="krista_tm_40545_0_0" localSheetId="3" hidden="1">'4. Внутр фин аудит'!$R$15:$R$35</definedName>
    <definedName name="krista_tm_40546" localSheetId="0" hidden="1">'1. Управление расходами'!$M$27:$M$47</definedName>
    <definedName name="krista_tm_40546" localSheetId="1" hidden="1">'2. Управление доходами'!$S$16:$S$36</definedName>
    <definedName name="krista_tm_40546" localSheetId="2" hidden="1">'3. Вед учета и сост отчетности'!$S$14:$S$34</definedName>
    <definedName name="krista_tm_40546" localSheetId="3" hidden="1">'4. Внутр фин аудит'!$S$15:$S$35</definedName>
    <definedName name="krista_tm_40546_0_0" localSheetId="0" hidden="1">'1. Управление расходами'!$M$27:$M$47</definedName>
    <definedName name="krista_tm_40546_0_0" localSheetId="1" hidden="1">'2. Управление доходами'!$S$16:$S$36</definedName>
    <definedName name="krista_tm_40546_0_0" localSheetId="2" hidden="1">'3. Вед учета и сост отчетности'!$S$14:$S$34</definedName>
    <definedName name="krista_tm_40546_0_0" localSheetId="3" hidden="1">'4. Внутр фин аудит'!$S$15:$S$35</definedName>
    <definedName name="krista_tm_40550" localSheetId="0" hidden="1">'1. Управление расходами'!$Q$27:$Q$47</definedName>
    <definedName name="krista_tm_40550" localSheetId="3" hidden="1">'4. Внутр фин аудит'!$W$15:$W$35</definedName>
    <definedName name="krista_tm_40550_0_0" localSheetId="0" hidden="1">'1. Управление расходами'!$Q$27:$Q$47</definedName>
    <definedName name="krista_tm_40550_0_0" localSheetId="3" hidden="1">'4. Внутр фин аудит'!$W$15:$W$35</definedName>
    <definedName name="krista_tm_40551" localSheetId="0" hidden="1">'1. Управление расходами'!$R$27:$R$47</definedName>
    <definedName name="krista_tm_40551" localSheetId="3" hidden="1">'4. Внутр фин аудит'!$X$15:$X$35</definedName>
    <definedName name="krista_tm_40551_0_0" localSheetId="0" hidden="1">'1. Управление расходами'!$R$27:$R$47</definedName>
    <definedName name="krista_tm_40551_0_0" localSheetId="3" hidden="1">'4. Внутр фин аудит'!$X$15:$X$35</definedName>
    <definedName name="krista_tm_40552" localSheetId="0" hidden="1">'1. Управление расходами'!$S$27:$S$47</definedName>
    <definedName name="krista_tm_40552" localSheetId="3" hidden="1">'4. Внутр фин аудит'!$Y$15:$Y$35</definedName>
    <definedName name="krista_tm_40552_0_0" localSheetId="0" hidden="1">'1. Управление расходами'!$S$27:$S$47</definedName>
    <definedName name="krista_tm_40552_0_0" localSheetId="3" hidden="1">'4. Внутр фин аудит'!$Y$15:$Y$35</definedName>
    <definedName name="krista_tm_40556" localSheetId="0" hidden="1">'1. Управление расходами'!$W$27:$W$47</definedName>
    <definedName name="krista_tm_40556_0_0" localSheetId="0" hidden="1">'1. Управление расходами'!$W$27:$W$47</definedName>
    <definedName name="krista_tm_40557" localSheetId="0" hidden="1">'1. Управление расходами'!$X$27:$X$47</definedName>
    <definedName name="krista_tm_40557_0_0" localSheetId="0" hidden="1">'1. Управление расходами'!$X$27:$X$47</definedName>
    <definedName name="krista_tm_40558" localSheetId="0" hidden="1">'1. Управление расходами'!$Y$27:$Y$47</definedName>
    <definedName name="krista_tm_40558_0_0" localSheetId="0" hidden="1">'1. Управление расходами'!$Y$27:$Y$47</definedName>
    <definedName name="krista_tm_40562" localSheetId="0" hidden="1">'1. Управление расходами'!$AC$27:$AC$47</definedName>
    <definedName name="krista_tm_40562_0_0" localSheetId="0" hidden="1">'1. Управление расходами'!$AC$27:$AC$47</definedName>
    <definedName name="krista_tm_40563" localSheetId="0" hidden="1">'1. Управление расходами'!$AD$27:$AD$47</definedName>
    <definedName name="krista_tm_40563_0_0" localSheetId="0" hidden="1">'1. Управление расходами'!$AD$27:$AD$47</definedName>
    <definedName name="krista_tm_40564" localSheetId="0" hidden="1">'1. Управление расходами'!$AE$27:$AE$47</definedName>
    <definedName name="krista_tm_40564_0_0" localSheetId="0" hidden="1">'1. Управление расходами'!$AE$27:$AE$47</definedName>
    <definedName name="krista_tm_40568" localSheetId="0" hidden="1">'1. Управление расходами'!$AI$27:$AI$47</definedName>
    <definedName name="krista_tm_40568_0_0" localSheetId="0" hidden="1">'1. Управление расходами'!$AI$27:$AI$47</definedName>
    <definedName name="krista_tm_40569" localSheetId="0" hidden="1">'1. Управление расходами'!$AJ$27:$AJ$47</definedName>
    <definedName name="krista_tm_40569_0_0" localSheetId="0" hidden="1">'1. Управление расходами'!$AJ$27:$AJ$47</definedName>
    <definedName name="krista_tm_40570" localSheetId="0" hidden="1">'1. Управление расходами'!$AK$27:$AK$47</definedName>
    <definedName name="krista_tm_40570_0_0" localSheetId="0" hidden="1">'1. Управление расходами'!$AK$27:$AK$47</definedName>
    <definedName name="krista_tm_52031" localSheetId="1" hidden="1">'2. Управление доходами'!$W$16:$W$36</definedName>
    <definedName name="krista_tm_52031_0_0" localSheetId="1" hidden="1">'2. Управление доходами'!$W$16:$W$36</definedName>
    <definedName name="krista_tm_52032" localSheetId="1" hidden="1">'2. Управление доходами'!$X$16:$X$36</definedName>
    <definedName name="krista_tm_52032_0_0" localSheetId="1" hidden="1">'2. Управление доходами'!$X$16:$X$36</definedName>
    <definedName name="krista_tm_52033" localSheetId="1" hidden="1">'2. Управление доходами'!$Y$16:$Y$36</definedName>
    <definedName name="krista_tm_52033_0_0" localSheetId="1" hidden="1">'2. Управление доходами'!$Y$16:$Y$36</definedName>
    <definedName name="krista_tm_52036" localSheetId="1" hidden="1">'2. Управление доходами'!$AC$16:$AC$36</definedName>
    <definedName name="krista_tm_52036_0_0" localSheetId="1" hidden="1">'2. Управление доходами'!$AC$16:$AC$36</definedName>
    <definedName name="krista_tm_52037" localSheetId="1" hidden="1">'2. Управление доходами'!$AD$16:$AD$36</definedName>
    <definedName name="krista_tm_52037_0_0" localSheetId="1" hidden="1">'2. Управление доходами'!$AD$16:$AD$36</definedName>
    <definedName name="krista_tm_52038" localSheetId="1" hidden="1">'2. Управление доходами'!$AE$16:$AE$36</definedName>
    <definedName name="krista_tm_52038_0_0" localSheetId="1" hidden="1">'2. Управление доходами'!$AE$16:$AE$36</definedName>
    <definedName name="krista_tm_527" localSheetId="6" hidden="1">Итог!$E$17:$E$37</definedName>
    <definedName name="krista_tm_527_0_5" localSheetId="6" hidden="1">Итог!$E$17:$E$37</definedName>
    <definedName name="krista_tm_532" localSheetId="6" hidden="1">Итог!$K$17:$K$37</definedName>
    <definedName name="krista_tm_532_0_5" localSheetId="6" hidden="1">Итог!$K$17:$K$37</definedName>
    <definedName name="krista_tm_61976" localSheetId="0" hidden="1">'1. Управление расходами'!$AO$27:$AO$47</definedName>
    <definedName name="krista_tm_61976_0_0" localSheetId="0" hidden="1">'1. Управление расходами'!$AO$27:$AO$47</definedName>
    <definedName name="krista_tm_61977" localSheetId="0" hidden="1">'1. Управление расходами'!$AP$27:$AP$47</definedName>
    <definedName name="krista_tm_61977_0_0" localSheetId="0" hidden="1">'1. Управление расходами'!$AP$27:$AP$47</definedName>
    <definedName name="krista_tm_61978" localSheetId="0" hidden="1">'1. Управление расходами'!$AQ$27:$AQ$47</definedName>
    <definedName name="krista_tm_61978_0_0" localSheetId="0" hidden="1">'1. Управление расходами'!$AQ$27:$AQ$47</definedName>
    <definedName name="krista_tm_61988" localSheetId="0" hidden="1">'1. Управление расходами'!$F$27:$F$47</definedName>
    <definedName name="krista_tm_61988_0_0" localSheetId="0" hidden="1">'1. Управление расходами'!$F$27:$F$47</definedName>
    <definedName name="krista_tm_61989" localSheetId="0" hidden="1">'1. Управление расходами'!$G$27:$G$47</definedName>
    <definedName name="krista_tm_61989_0_0" localSheetId="0" hidden="1">'1. Управление расходами'!$G$27:$G$47</definedName>
    <definedName name="krista_tm_62153" localSheetId="0" hidden="1">'1. Управление расходами'!$AU$27:$AU$47</definedName>
    <definedName name="krista_tm_62153_0_0" localSheetId="0" hidden="1">'1. Управление расходами'!$AU$27:$AU$47</definedName>
    <definedName name="krista_tm_62154" localSheetId="0" hidden="1">'1. Управление расходами'!$AV$27:$AV$47</definedName>
    <definedName name="krista_tm_62154_0_0" localSheetId="0" hidden="1">'1. Управление расходами'!$AV$27:$AV$47</definedName>
    <definedName name="krista_tm_62155" localSheetId="0" hidden="1">'1. Управление расходами'!$AW$27:$AW$47</definedName>
    <definedName name="krista_tm_62155_0_0" localSheetId="0" hidden="1">'1. Управление расходами'!$AW$27:$AW$47</definedName>
    <definedName name="krista_tm_62160" localSheetId="0" hidden="1">'1. Управление расходами'!$BA$27:$BA$47</definedName>
    <definedName name="krista_tm_62160_0_0" localSheetId="0" hidden="1">'1. Управление расходами'!$BA$27:$BA$47</definedName>
    <definedName name="krista_tm_62161" localSheetId="0" hidden="1">'1. Управление расходами'!$BB$27:$BB$47</definedName>
    <definedName name="krista_tm_62161_0_0" localSheetId="0" hidden="1">'1. Управление расходами'!$BB$27:$BB$47</definedName>
    <definedName name="krista_tm_62162" localSheetId="0" hidden="1">'1. Управление расходами'!$BC$27:$BC$47</definedName>
    <definedName name="krista_tm_62162_0_0" localSheetId="0" hidden="1">'1. Управление расходами'!$BC$27:$BC$47</definedName>
    <definedName name="krista_tm_62245" localSheetId="0" hidden="1">'1. Управление расходами'!$BG$27:$BG$47</definedName>
    <definedName name="krista_tm_62245_0_0" localSheetId="0" hidden="1">'1. Управление расходами'!$BG$27:$BG$47</definedName>
    <definedName name="krista_tm_62246" localSheetId="0" hidden="1">'1. Управление расходами'!$BH$27:$BH$47</definedName>
    <definedName name="krista_tm_62246_0_0" localSheetId="0" hidden="1">'1. Управление расходами'!$BH$27:$BH$47</definedName>
    <definedName name="krista_tm_62247" localSheetId="0" hidden="1">'1. Управление расходами'!$BI$27:$BI$47</definedName>
    <definedName name="krista_tm_62247_0_0" localSheetId="0" hidden="1">'1. Управление расходами'!$BI$27:$BI$47</definedName>
    <definedName name="krista_tm_62504" localSheetId="0" hidden="1">'1. Управление расходами'!$BM$27:$BM$47</definedName>
    <definedName name="krista_tm_62504_0_0" localSheetId="0" hidden="1">'1. Управление расходами'!$BM$27:$BM$47</definedName>
    <definedName name="krista_tm_62505" localSheetId="0" hidden="1">'1. Управление расходами'!$BN$27:$BN$47</definedName>
    <definedName name="krista_tm_62505_0_0" localSheetId="0" hidden="1">'1. Управление расходами'!$BN$27:$BN$47</definedName>
    <definedName name="krista_tm_62506" localSheetId="0" hidden="1">'1. Управление расходами'!$BO$27:$BO$47</definedName>
    <definedName name="krista_tm_62506_0_0" localSheetId="0" hidden="1">'1. Управление расходами'!$BO$27:$BO$47</definedName>
    <definedName name="krista_tm_62510" localSheetId="0" hidden="1">'1. Управление расходами'!$BS$27:$BS$47</definedName>
    <definedName name="krista_tm_62510_0_0" localSheetId="0" hidden="1">'1. Управление расходами'!$BS$27:$BS$47</definedName>
    <definedName name="krista_tm_62511" localSheetId="0" hidden="1">'1. Управление расходами'!$BT$27:$BT$47</definedName>
    <definedName name="krista_tm_62511_0_0" localSheetId="0" hidden="1">'1. Управление расходами'!$BT$27:$BT$47</definedName>
    <definedName name="krista_tm_62512" localSheetId="0" hidden="1">'1. Управление расходами'!$BU$27:$BU$47</definedName>
    <definedName name="krista_tm_62512_0_0" localSheetId="0" hidden="1">'1. Управление расходами'!$BU$27:$BU$47</definedName>
    <definedName name="krista_tm_62516" localSheetId="0" hidden="1">'1. Управление расходами'!$BY$27:$BY$47</definedName>
    <definedName name="krista_tm_62516_0_0" localSheetId="0" hidden="1">'1. Управление расходами'!$BY$27:$BY$47</definedName>
    <definedName name="krista_tm_62517" localSheetId="0" hidden="1">'1. Управление расходами'!$BZ$27:$BZ$47</definedName>
    <definedName name="krista_tm_62517_0_0" localSheetId="0" hidden="1">'1. Управление расходами'!$BZ$27:$BZ$47</definedName>
    <definedName name="krista_tm_62518" localSheetId="0" hidden="1">'1. Управление расходами'!$CA$27:$CA$47</definedName>
    <definedName name="krista_tm_62518_0_0" localSheetId="0" hidden="1">'1. Управление расходами'!$CA$27:$CA$47</definedName>
    <definedName name="krista_tm_62727" localSheetId="0" hidden="1">'1. Управление расходами'!$CE$27:$CE$47</definedName>
    <definedName name="krista_tm_62727_0_0" localSheetId="0" hidden="1">'1. Управление расходами'!$CE$27:$CE$47</definedName>
    <definedName name="krista_tm_62728" localSheetId="0" hidden="1">'1. Управление расходами'!$CF$27:$CF$47</definedName>
    <definedName name="krista_tm_62728_0_0" localSheetId="0" hidden="1">'1. Управление расходами'!$CF$27:$CF$47</definedName>
    <definedName name="krista_tm_62729" localSheetId="0" hidden="1">'1. Управление расходами'!$CG$27:$CG$47</definedName>
    <definedName name="krista_tm_62729_0_0" localSheetId="0" hidden="1">'1. Управление расходами'!$CG$27:$CG$47</definedName>
    <definedName name="krista_tm_62733" localSheetId="0" hidden="1">'1. Управление расходами'!$CK$27:$CK$47</definedName>
    <definedName name="krista_tm_62733_0_0" localSheetId="0" hidden="1">'1. Управление расходами'!$CK$27:$CK$47</definedName>
    <definedName name="krista_tm_62734" localSheetId="0" hidden="1">'1. Управление расходами'!$CL$27:$CL$47</definedName>
    <definedName name="krista_tm_62734_0_0" localSheetId="0" hidden="1">'1. Управление расходами'!$CL$27:$CL$47</definedName>
    <definedName name="krista_tm_62735" localSheetId="0" hidden="1">'1. Управление расходами'!$CM$27:$CM$47</definedName>
    <definedName name="krista_tm_62735_0_0" localSheetId="0" hidden="1">'1. Управление расходами'!$CM$27:$CM$47</definedName>
    <definedName name="krista_tm_62739" localSheetId="0" hidden="1">'1. Управление расходами'!$CQ$27:$CQ$47</definedName>
    <definedName name="krista_tm_62739_0_0" localSheetId="0" hidden="1">'1. Управление расходами'!$CQ$27:$CQ$47</definedName>
    <definedName name="krista_tm_62740" localSheetId="0" hidden="1">'1. Управление расходами'!$CR$27:$CR$47</definedName>
    <definedName name="krista_tm_62740_0_0" localSheetId="0" hidden="1">'1. Управление расходами'!$CR$27:$CR$47</definedName>
    <definedName name="krista_tm_62741" localSheetId="0" hidden="1">'1. Управление расходами'!$CS$27:$CS$47</definedName>
    <definedName name="krista_tm_62741_0_0" localSheetId="0" hidden="1">'1. Управление расходами'!$CS$27:$CS$47</definedName>
    <definedName name="krista_tr_237" localSheetId="6" hidden="1">Итог!$D$17:$D$37</definedName>
    <definedName name="krista_tr_237_0_5" localSheetId="6" hidden="1">Итог!$D$17:$D$37</definedName>
    <definedName name="krista_tr_25389" localSheetId="6" hidden="1">Итог!$C$17:$C$37</definedName>
    <definedName name="krista_tr_25389_0_0" localSheetId="6" hidden="1">Итог!$C$17:$C$37</definedName>
    <definedName name="krista_tr_25805" localSheetId="6" hidden="1">Итог!$V$17:$V$37</definedName>
    <definedName name="krista_tr_25805_0_0" localSheetId="6" hidden="1">Итог!$V$17:$V$37</definedName>
    <definedName name="krista_tr_25812" localSheetId="6" hidden="1">Итог!$AB$17:$AB$37</definedName>
    <definedName name="krista_tr_25812_0_0" localSheetId="6" hidden="1">Итог!$AB$17:$AB$37</definedName>
    <definedName name="krista_tr_25821" localSheetId="6" hidden="1">Итог!$AH$17:$AH$37</definedName>
    <definedName name="krista_tr_25821_0_0" localSheetId="6" hidden="1">Итог!$AH$17:$AH$37</definedName>
    <definedName name="krista_tr_25827" localSheetId="6" hidden="1">Итог!$AN$17:$AN$37</definedName>
    <definedName name="krista_tr_25827_0_0" localSheetId="6" hidden="1">Итог!$AN$17:$AN$37</definedName>
    <definedName name="krista_tr_40531" localSheetId="0" hidden="1">'1. Управление расходами'!$D$27:$D$47</definedName>
    <definedName name="krista_tr_40531" localSheetId="1" hidden="1">'2. Управление доходами'!$D$16:$D$36</definedName>
    <definedName name="krista_tr_40531" localSheetId="2" hidden="1">'3. Вед учета и сост отчетности'!$D$14:$D$34</definedName>
    <definedName name="krista_tr_40531" localSheetId="3" hidden="1">'4. Внутр фин аудит'!$D$15:$D$35</definedName>
    <definedName name="krista_tr_40531" localSheetId="4" hidden="1">'5. Исполн бюджет процедур'!$D$13:$D$33</definedName>
    <definedName name="krista_tr_40531" localSheetId="5" hidden="1">'6. Управл активами'!$D$13:$D$33</definedName>
    <definedName name="krista_tr_40531_0_0" localSheetId="0" hidden="1">'1. Управление расходами'!$D$27:$D$47</definedName>
    <definedName name="krista_tr_40531_0_0" localSheetId="1" hidden="1">'2. Управление доходами'!$D$16:$D$36</definedName>
    <definedName name="krista_tr_40531_0_0" localSheetId="2" hidden="1">'3. Вед учета и сост отчетности'!$D$14:$D$34</definedName>
    <definedName name="krista_tr_40531_0_0" localSheetId="3" hidden="1">'4. Внутр фин аудит'!$D$15:$D$35</definedName>
    <definedName name="krista_tr_40531_0_0" localSheetId="4" hidden="1">'5. Исполн бюджет процедур'!$D$13:$D$33</definedName>
    <definedName name="krista_tr_40531_0_0" localSheetId="5" hidden="1">'6. Управл активами'!$D$13:$D$33</definedName>
    <definedName name="krista_tr_40537" localSheetId="0" hidden="1">'1. Управление расходами'!$J$27:$J$47</definedName>
    <definedName name="krista_tr_40537" localSheetId="1" hidden="1">'2. Управление доходами'!$J$16:$J$36</definedName>
    <definedName name="krista_tr_40537" localSheetId="2" hidden="1">'3. Вед учета и сост отчетности'!$J$14:$J$34</definedName>
    <definedName name="krista_tr_40537" localSheetId="3" hidden="1">'4. Внутр фин аудит'!$J$15:$J$35</definedName>
    <definedName name="krista_tr_40537" localSheetId="4" hidden="1">'5. Исполн бюджет процедур'!$J$13:$J$33</definedName>
    <definedName name="krista_tr_40537" localSheetId="5" hidden="1">'6. Управл активами'!$J$13:$J$33</definedName>
    <definedName name="krista_tr_40537_0_0" localSheetId="0" hidden="1">'1. Управление расходами'!$J$27:$J$47</definedName>
    <definedName name="krista_tr_40537_0_0" localSheetId="1" hidden="1">'2. Управление доходами'!$J$16:$J$36</definedName>
    <definedName name="krista_tr_40537_0_0" localSheetId="2" hidden="1">'3. Вед учета и сост отчетности'!$J$14:$J$34</definedName>
    <definedName name="krista_tr_40537_0_0" localSheetId="3" hidden="1">'4. Внутр фин аудит'!$J$15:$J$35</definedName>
    <definedName name="krista_tr_40537_0_0" localSheetId="4" hidden="1">'5. Исполн бюджет процедур'!$J$13:$J$33</definedName>
    <definedName name="krista_tr_40537_0_0" localSheetId="5" hidden="1">'6. Управл активами'!$J$13:$J$33</definedName>
    <definedName name="krista_tr_40543" localSheetId="1" hidden="1">'2. Управление доходами'!$P$16:$P$36</definedName>
    <definedName name="krista_tr_40543" localSheetId="2" hidden="1">'3. Вед учета и сост отчетности'!$P$14:$P$34</definedName>
    <definedName name="krista_tr_40543" localSheetId="3" hidden="1">'4. Внутр фин аудит'!$P$15:$P$35</definedName>
    <definedName name="krista_tr_40543" localSheetId="4" hidden="1">'5. Исполн бюджет процедур'!$P$13:$P$33</definedName>
    <definedName name="krista_tr_40543" localSheetId="5" hidden="1">'6. Управл активами'!$P$13:$P$33</definedName>
    <definedName name="krista_tr_40543_0_0" localSheetId="1" hidden="1">'2. Управление доходами'!$P$16:$P$36</definedName>
    <definedName name="krista_tr_40543_0_0" localSheetId="2" hidden="1">'3. Вед учета и сост отчетности'!$P$14:$P$34</definedName>
    <definedName name="krista_tr_40543_0_0" localSheetId="3" hidden="1">'4. Внутр фин аудит'!$P$15:$P$35</definedName>
    <definedName name="krista_tr_40543_0_0" localSheetId="4" hidden="1">'5. Исполн бюджет процедур'!$P$13:$P$33</definedName>
    <definedName name="krista_tr_40543_0_0" localSheetId="5" hidden="1">'6. Управл активами'!$P$13:$P$33</definedName>
    <definedName name="krista_tr_40549" localSheetId="0" hidden="1">'1. Управление расходами'!$P$27:$P$47</definedName>
    <definedName name="krista_tr_40549" localSheetId="1" hidden="1">'2. Управление доходами'!$V$16:$V$36</definedName>
    <definedName name="krista_tr_40549" localSheetId="2" hidden="1">'3. Вед учета и сост отчетности'!$V$14:$V$34</definedName>
    <definedName name="krista_tr_40549" localSheetId="3" hidden="1">'4. Внутр фин аудит'!$V$15:$V$35</definedName>
    <definedName name="krista_tr_40549_0_0" localSheetId="0" hidden="1">'1. Управление расходами'!$P$27:$P$47</definedName>
    <definedName name="krista_tr_40549_0_0" localSheetId="1" hidden="1">'2. Управление доходами'!$V$16:$V$36</definedName>
    <definedName name="krista_tr_40549_0_0" localSheetId="2" hidden="1">'3. Вед учета и сост отчетности'!$V$14:$V$34</definedName>
    <definedName name="krista_tr_40549_0_0" localSheetId="3" hidden="1">'4. Внутр фин аудит'!$V$15:$V$35</definedName>
    <definedName name="krista_tr_40555" localSheetId="0" hidden="1">'1. Управление расходами'!$V$27:$V$47</definedName>
    <definedName name="krista_tr_40555" localSheetId="3" hidden="1">'4. Внутр фин аудит'!$AB$15:$AB$35</definedName>
    <definedName name="krista_tr_40555_0_0" localSheetId="0" hidden="1">'1. Управление расходами'!$V$27:$V$47</definedName>
    <definedName name="krista_tr_40555_0_0" localSheetId="3" hidden="1">'4. Внутр фин аудит'!$AB$15:$AB$35</definedName>
    <definedName name="krista_tr_40561" localSheetId="0" hidden="1">'1. Управление расходами'!$AB$27:$AB$47</definedName>
    <definedName name="krista_tr_40561_0_0" localSheetId="0" hidden="1">'1. Управление расходами'!$AB$27:$AB$47</definedName>
    <definedName name="krista_tr_40567" localSheetId="0" hidden="1">'1. Управление расходами'!$AH$27:$AH$47</definedName>
    <definedName name="krista_tr_40567_0_0" localSheetId="0" hidden="1">'1. Управление расходами'!$AH$27:$AH$47</definedName>
    <definedName name="krista_tr_40573" localSheetId="0" hidden="1">'1. Управление расходами'!$AN$27:$AN$47</definedName>
    <definedName name="krista_tr_40573_0_0" localSheetId="0" hidden="1">'1. Управление расходами'!$AN$27:$AN$47</definedName>
    <definedName name="krista_tr_47106" localSheetId="1" hidden="1">'2. Управление доходами'!$C$16:$C$36</definedName>
    <definedName name="krista_tr_47106_0_0" localSheetId="1" hidden="1">'2. Управление доходами'!$C$16:$C$36</definedName>
    <definedName name="krista_tr_47809" localSheetId="2" hidden="1">'3. Вед учета и сост отчетности'!$C$14:$C$34</definedName>
    <definedName name="krista_tr_47809_0_0" localSheetId="2" hidden="1">'3. Вед учета и сост отчетности'!$C$14:$C$34</definedName>
    <definedName name="krista_tr_47949" localSheetId="5" hidden="1">'6. Управл активами'!$C$13:$C$33</definedName>
    <definedName name="krista_tr_47949_0_0" localSheetId="5" hidden="1">'6. Управл активами'!$C$13:$C$33</definedName>
    <definedName name="krista_tr_48286" localSheetId="3" hidden="1">'4. Внутр фин аудит'!$C$15:$C$35</definedName>
    <definedName name="krista_tr_48286_0_0" localSheetId="3" hidden="1">'4. Внутр фин аудит'!$C$15:$C$35</definedName>
    <definedName name="krista_tr_48469" localSheetId="4" hidden="1">'5. Исполн бюджет процедур'!$C$13:$C$33</definedName>
    <definedName name="krista_tr_48469_0_0" localSheetId="4" hidden="1">'5. Исполн бюджет процедур'!$C$13:$C$33</definedName>
    <definedName name="krista_tr_51240" localSheetId="0" hidden="1">'1. Управление расходами'!$C$27:$C$47</definedName>
    <definedName name="krista_tr_51240_0_0" localSheetId="0" hidden="1">'1. Управление расходами'!$C$27:$C$47</definedName>
    <definedName name="krista_tr_52041" localSheetId="1" hidden="1">'2. Управление доходами'!$AB$16:$AB$36</definedName>
    <definedName name="krista_tr_52041_0_0" localSheetId="1" hidden="1">'2. Управление доходами'!$AB$16:$AB$36</definedName>
    <definedName name="krista_tr_52042" localSheetId="1" hidden="1">'2. Управление доходами'!$AH$16:$AH$36</definedName>
    <definedName name="krista_tr_52042_0_0" localSheetId="1" hidden="1">'2. Управление доходами'!$AH$16:$AH$36</definedName>
    <definedName name="krista_tr_531" localSheetId="6" hidden="1">Итог!$J$17:$J$37</definedName>
    <definedName name="krista_tr_531_0_4" localSheetId="6" hidden="1">Итог!$J$17:$J$37</definedName>
    <definedName name="krista_tr_536" localSheetId="6" hidden="1">Итог!$P$17:$P$37</definedName>
    <definedName name="krista_tr_536_0_4" localSheetId="6" hidden="1">Итог!$P$17:$P$37</definedName>
    <definedName name="krista_tr_61981" localSheetId="0" hidden="1">'1. Управление расходами'!$AT$27:$AT$47</definedName>
    <definedName name="krista_tr_61981_0_0" localSheetId="0" hidden="1">'1. Управление расходами'!$AT$27:$AT$47</definedName>
    <definedName name="krista_tr_62158" localSheetId="0" hidden="1">'1. Управление расходами'!$AZ$27:$AZ$47</definedName>
    <definedName name="krista_tr_62158_0_0" localSheetId="0" hidden="1">'1. Управление расходами'!$AZ$27:$AZ$47</definedName>
    <definedName name="krista_tr_62165" localSheetId="0" hidden="1">'1. Управление расходами'!$BF$27:$BF$47</definedName>
    <definedName name="krista_tr_62165_0_0" localSheetId="0" hidden="1">'1. Управление расходами'!$BF$27:$BF$47</definedName>
    <definedName name="krista_tr_62250" localSheetId="0" hidden="1">'1. Управление расходами'!$BL$27:$BL$47</definedName>
    <definedName name="krista_tr_62250_0_0" localSheetId="0" hidden="1">'1. Управление расходами'!$BL$27:$BL$47</definedName>
    <definedName name="krista_tr_62509" localSheetId="0" hidden="1">'1. Управление расходами'!$BR$27:$BR$47</definedName>
    <definedName name="krista_tr_62509_0_0" localSheetId="0" hidden="1">'1. Управление расходами'!$BR$27:$BR$47</definedName>
    <definedName name="krista_tr_62515" localSheetId="0" hidden="1">'1. Управление расходами'!$BX$27:$BX$47</definedName>
    <definedName name="krista_tr_62515_0_0" localSheetId="0" hidden="1">'1. Управление расходами'!$BX$27:$BX$47</definedName>
    <definedName name="krista_tr_62521" localSheetId="0" hidden="1">'1. Управление расходами'!$CD$27:$CD$47</definedName>
    <definedName name="krista_tr_62521_0_0" localSheetId="0" hidden="1">'1. Управление расходами'!$CD$27:$CD$47</definedName>
    <definedName name="krista_tr_62732" localSheetId="0" hidden="1">'1. Управление расходами'!$CJ$27:$CJ$47</definedName>
    <definedName name="krista_tr_62732_0_0" localSheetId="0" hidden="1">'1. Управление расходами'!$CJ$27:$CJ$47</definedName>
    <definedName name="krista_tr_62738" localSheetId="0" hidden="1">'1. Управление расходами'!$CP$27:$CP$47</definedName>
    <definedName name="krista_tr_62738_0_0" localSheetId="0" hidden="1">'1. Управление расходами'!$CP$27:$CP$47</definedName>
    <definedName name="krista_tr_62744" localSheetId="0" hidden="1">'1. Управление расходами'!$CV$27:$CV$47</definedName>
    <definedName name="krista_tr_62744_0_0" localSheetId="0" hidden="1">'1. Управление расходами'!$CV$27:$CV$47</definedName>
    <definedName name="Print_Area" localSheetId="0">'1. Управление расходами'!$A$1:$DM$47</definedName>
    <definedName name="Print_Area" localSheetId="5">'6. Управл активами'!$A$1:$S$33</definedName>
    <definedName name="Print_Area" localSheetId="6">Итог!$A$1:$AZ$37</definedName>
    <definedName name="Print_Titles" localSheetId="6">Итог!$A:$B</definedName>
    <definedName name="Вес1" localSheetId="6">Итог!$A$8</definedName>
    <definedName name="Вес1">#REF!</definedName>
    <definedName name="Вес1.1" localSheetId="0">'1. Управление расходами'!$A$8</definedName>
    <definedName name="Вес1.11">'1. Управление расходами'!$A$16</definedName>
    <definedName name="Вес1.12">'1. Управление расходами'!$A$17</definedName>
    <definedName name="Вес1.13">'1. Управление расходами'!$A$18</definedName>
    <definedName name="Вес1.14">'1. Управление расходами'!$A$19</definedName>
    <definedName name="Вес1.15">'1. Управление расходами'!$A$20</definedName>
    <definedName name="Вес1.16">'1. Управление расходами'!$A$21</definedName>
    <definedName name="Вес1.17">'1. Управление расходами'!$A$22</definedName>
    <definedName name="Вес1.18">'1. Управление расходами'!$A$23</definedName>
    <definedName name="Вес1.2" localSheetId="0">'1. Управление расходами'!#REF!</definedName>
    <definedName name="Вес1.3" localSheetId="0">'1. Управление расходами'!$A$9</definedName>
    <definedName name="Вес1.4" localSheetId="0">'1. Управление расходами'!$A$10</definedName>
    <definedName name="Вес1.5" localSheetId="0">'1. Управление расходами'!$A$11</definedName>
    <definedName name="Вес1.6" localSheetId="0">'1. Управление расходами'!$A$12</definedName>
    <definedName name="Вес1.7" localSheetId="0">'1. Управление расходами'!$A$13</definedName>
    <definedName name="Вес1.8">'1. Управление расходами'!$A$14</definedName>
    <definedName name="Вес1.9">'1. Управление расходами'!$A$15</definedName>
    <definedName name="Вес2" localSheetId="6">Итог!$A$9</definedName>
    <definedName name="Вес2.1" localSheetId="1">'2. Управление доходами'!$A$8</definedName>
    <definedName name="Вес2.2" localSheetId="1">'2. Управление доходами'!$A$9</definedName>
    <definedName name="Вес2.3" localSheetId="1">'2. Управление доходами'!$A$10</definedName>
    <definedName name="Вес2.4">'2. Управление доходами'!$A$11</definedName>
    <definedName name="Вес2.5">'2. Управление доходами'!$A$12</definedName>
    <definedName name="Вес3" localSheetId="6">Итог!$A$10</definedName>
    <definedName name="Вес3">#REF!</definedName>
    <definedName name="Вес3.1" localSheetId="2">'3. Вед учета и сост отчетности'!$A$8</definedName>
    <definedName name="Вес3.2" localSheetId="2">'3. Вед учета и сост отчетности'!$A$9</definedName>
    <definedName name="Вес3.3" localSheetId="2">'3. Вед учета и сост отчетности'!$A$10</definedName>
    <definedName name="Вес3.4" localSheetId="2">'3. Вед учета и сост отчетности'!#REF!</definedName>
    <definedName name="Вес3.5" localSheetId="2">'3. Вед учета и сост отчетности'!#REF!</definedName>
    <definedName name="Вес4" localSheetId="6">Итог!$A$11</definedName>
    <definedName name="Вес4">#REF!</definedName>
    <definedName name="Вес4.1" localSheetId="3">'4. Внутр фин аудит'!$A$8</definedName>
    <definedName name="Вес4.2" localSheetId="3">'4. Внутр фин аудит'!$A$9</definedName>
    <definedName name="Вес4.3" localSheetId="3">'4. Внутр фин аудит'!$A$10</definedName>
    <definedName name="Вес4.4" localSheetId="3">'4. Внутр фин аудит'!$A$11</definedName>
    <definedName name="Вес4.5" localSheetId="3">'4. Внутр фин аудит'!#REF!</definedName>
    <definedName name="Вес5" localSheetId="6">Итог!$A$12</definedName>
    <definedName name="Вес5">#REF!</definedName>
    <definedName name="Вес5.1" localSheetId="4">'5. Исполн бюджет процедур'!$A$8</definedName>
    <definedName name="Вес5.2" localSheetId="4">'5. Исполн бюджет процедур'!$A$9</definedName>
    <definedName name="Вес5.3" localSheetId="4">'5. Исполн бюджет процедур'!#REF!</definedName>
    <definedName name="Вес5.4" localSheetId="4">'5. Исполн бюджет процедур'!#REF!</definedName>
    <definedName name="Вес5.5" localSheetId="4">'5. Исполн бюджет процедур'!#REF!</definedName>
    <definedName name="Вес5.6" localSheetId="4">'5. Исполн бюджет процедур'!#REF!</definedName>
    <definedName name="Вес6" localSheetId="6">Итог!$A$13</definedName>
    <definedName name="Вес6">#REF!</definedName>
    <definedName name="Вес6.1" localSheetId="5">'6. Управл активами'!$A$8</definedName>
    <definedName name="Вес6.2" localSheetId="5">'6. Управл активами'!$A$9</definedName>
    <definedName name="Вес6.3" localSheetId="5">'6. Управл активами'!#REF!</definedName>
    <definedName name="Вес6.4" localSheetId="5">'6. Управл активами'!#REF!</definedName>
    <definedName name="Криста_Мера_15_0" localSheetId="6">Итог!$E$17:$E$37</definedName>
    <definedName name="Криста_Мера_16_0" localSheetId="6">Итог!$K$17:$K$37</definedName>
    <definedName name="Криста_Мера_17_0" localSheetId="6">Итог!$Q$17:$Q$37</definedName>
    <definedName name="Криста_Мера_17_0" localSheetId="7">Рейтинг!$C$7:$C$27</definedName>
    <definedName name="Криста_Мера_17_0" localSheetId="8">'Уровень качества'!$C$7:$C$27</definedName>
    <definedName name="Криста_Мера_19_0" localSheetId="6">Итог!$W$17:$W$37</definedName>
    <definedName name="Криста_Мера_21_0" localSheetId="6">Итог!$AC$17:$AC$37</definedName>
    <definedName name="Криста_Мера_23_0" localSheetId="6">Итог!$AI$17:$AI$37</definedName>
    <definedName name="Криста_Мера_25_0" localSheetId="6">Итог!$F$17:$F$37</definedName>
    <definedName name="Криста_Мера_26_0" localSheetId="6">Итог!$L$17:$L$37</definedName>
    <definedName name="Криста_Мера_27_0" localSheetId="6">Итог!$R$17:$R$37</definedName>
    <definedName name="Криста_Мера_28_0" localSheetId="1">'2. Управление доходами'!$F$16:$F$36</definedName>
    <definedName name="Криста_Мера_28_0" localSheetId="2">'3. Вед учета и сост отчетности'!$F$14:$F$34</definedName>
    <definedName name="Криста_Мера_28_0" localSheetId="3">'4. Внутр фин аудит'!$F$15:$F$35</definedName>
    <definedName name="Криста_Мера_28_0" localSheetId="4">'5. Исполн бюджет процедур'!$F$13:$F$33</definedName>
    <definedName name="Криста_Мера_28_0" localSheetId="5">'6. Управл активами'!$F$13:$F$33</definedName>
    <definedName name="Криста_Мера_28_0" localSheetId="6">Итог!$X$17:$X$37</definedName>
    <definedName name="Криста_Мера_29_0" localSheetId="1">'2. Управление доходами'!$G$16:$G$36</definedName>
    <definedName name="Криста_Мера_29_0" localSheetId="2">'3. Вед учета и сост отчетности'!$G$14:$G$34</definedName>
    <definedName name="Криста_Мера_29_0" localSheetId="3">'4. Внутр фин аудит'!$G$15:$G$35</definedName>
    <definedName name="Криста_Мера_29_0" localSheetId="4">'5. Исполн бюджет процедур'!$G$13:$G$33</definedName>
    <definedName name="Криста_Мера_29_0" localSheetId="5">'6. Управл активами'!$G$13:$G$33</definedName>
    <definedName name="Криста_Мера_29_0" localSheetId="6">Итог!$AD$17:$AD$37</definedName>
    <definedName name="Криста_Мера_30_0" localSheetId="1">'2. Управление доходами'!$L$16:$L$36</definedName>
    <definedName name="Криста_Мера_30_0" localSheetId="2">'3. Вед учета и сост отчетности'!$L$14:$L$34</definedName>
    <definedName name="Криста_Мера_30_0" localSheetId="3">'4. Внутр фин аудит'!$L$15:$L$35</definedName>
    <definedName name="Криста_Мера_30_0" localSheetId="4">'5. Исполн бюджет процедур'!$L$13:$L$33</definedName>
    <definedName name="Криста_Мера_30_0" localSheetId="5">'6. Управл активами'!$L$13:$L$33</definedName>
    <definedName name="Криста_Мера_30_0" localSheetId="6">Итог!$AJ$17:$AJ$37</definedName>
    <definedName name="Криста_Мера_31_0" localSheetId="1">'2. Управление доходами'!$M$16:$M$36</definedName>
    <definedName name="Криста_Мера_31_0" localSheetId="2">'3. Вед учета и сост отчетности'!$M$14:$M$34</definedName>
    <definedName name="Криста_Мера_31_0" localSheetId="3">'4. Внутр фин аудит'!$M$15:$M$35</definedName>
    <definedName name="Криста_Мера_31_0" localSheetId="4">'5. Исполн бюджет процедур'!$M$13:$M$33</definedName>
    <definedName name="Криста_Мера_31_0" localSheetId="5">'6. Управл активами'!$M$13:$M$33</definedName>
    <definedName name="Криста_Мера_32_0" localSheetId="0">'1. Управление расходами'!$L$27:$L$47</definedName>
    <definedName name="Криста_Мера_32_0" localSheetId="1">'2. Управление доходами'!$R$16:$R$36</definedName>
    <definedName name="Криста_Мера_32_0" localSheetId="2">'3. Вед учета и сост отчетности'!$R$14:$R$34</definedName>
    <definedName name="Криста_Мера_32_0" localSheetId="3">'4. Внутр фин аудит'!$R$15:$R$35</definedName>
    <definedName name="Криста_Мера_33_0" localSheetId="0">'1. Управление расходами'!$M$27:$M$47</definedName>
    <definedName name="Криста_Мера_33_0" localSheetId="1">'2. Управление доходами'!$S$16:$S$36</definedName>
    <definedName name="Криста_Мера_33_0" localSheetId="2">'3. Вед учета и сост отчетности'!$S$14:$S$34</definedName>
    <definedName name="Криста_Мера_33_0" localSheetId="3">'4. Внутр фин аудит'!$S$15:$S$35</definedName>
    <definedName name="Криста_Мера_34_0" localSheetId="0">'1. Управление расходами'!$R$27:$R$47</definedName>
    <definedName name="Криста_Мера_34_0" localSheetId="3">'4. Внутр фин аудит'!$X$15:$X$35</definedName>
    <definedName name="Криста_Мера_35_0" localSheetId="0">'1. Управление расходами'!$S$27:$S$47</definedName>
    <definedName name="Криста_Мера_35_0" localSheetId="3">'4. Внутр фин аудит'!$Y$15:$Y$35</definedName>
    <definedName name="Криста_Мера_36_0" localSheetId="0">'1. Управление расходами'!$X$27:$X$47</definedName>
    <definedName name="Криста_Мера_37_0" localSheetId="0">'1. Управление расходами'!$Y$27:$Y$47</definedName>
    <definedName name="Криста_Мера_38_0" localSheetId="0">'1. Управление расходами'!$AD$27:$AD$47</definedName>
    <definedName name="Криста_Мера_39_0" localSheetId="0">'1. Управление расходами'!$AE$27:$AE$47</definedName>
    <definedName name="Криста_Мера_40_0" localSheetId="0">'1. Управление расходами'!$AJ$27:$AJ$47</definedName>
    <definedName name="Криста_Мера_41_0" localSheetId="0">'1. Управление расходами'!$AK$27:$AK$47</definedName>
    <definedName name="Криста_Мера_44_0" localSheetId="0">'1. Управление расходами'!$E$27:$E$47</definedName>
    <definedName name="Криста_Мера_44_0" localSheetId="1">'2. Управление доходами'!$E$16:$E$36</definedName>
    <definedName name="Криста_Мера_44_0" localSheetId="2">'3. Вед учета и сост отчетности'!$E$14:$E$34</definedName>
    <definedName name="Криста_Мера_44_0" localSheetId="3">'4. Внутр фин аудит'!$E$15:$E$35</definedName>
    <definedName name="Криста_Мера_44_0" localSheetId="4">'5. Исполн бюджет процедур'!$E$13:$E$33</definedName>
    <definedName name="Криста_Мера_44_0" localSheetId="5">'6. Управл активами'!$E$13:$E$33</definedName>
    <definedName name="Криста_Мера_45_0" localSheetId="1">'2. Управление доходами'!$K$16:$K$36</definedName>
    <definedName name="Криста_Мера_45_0" localSheetId="2">'3. Вед учета и сост отчетности'!$K$14:$K$34</definedName>
    <definedName name="Криста_Мера_45_0" localSheetId="3">'4. Внутр фин аудит'!$K$15:$K$35</definedName>
    <definedName name="Криста_Мера_45_0" localSheetId="4">'5. Исполн бюджет процедур'!$K$13:$K$33</definedName>
    <definedName name="Криста_Мера_45_0" localSheetId="5">'6. Управл активами'!$K$13:$K$33</definedName>
    <definedName name="Криста_Мера_46_0" localSheetId="0">'1. Управление расходами'!$K$27:$K$47</definedName>
    <definedName name="Криста_Мера_46_0" localSheetId="1">'2. Управление доходами'!$Q$16:$Q$36</definedName>
    <definedName name="Криста_Мера_46_0" localSheetId="2">'3. Вед учета и сост отчетности'!$Q$14:$Q$34</definedName>
    <definedName name="Криста_Мера_46_0" localSheetId="3">'4. Внутр фин аудит'!$Q$15:$Q$35</definedName>
    <definedName name="Криста_Мера_47_0" localSheetId="0">'1. Управление расходами'!$Q$27:$Q$47</definedName>
    <definedName name="Криста_Мера_47_0" localSheetId="3">'4. Внутр фин аудит'!$W$15:$W$35</definedName>
    <definedName name="Криста_Мера_48_0" localSheetId="0">'1. Управление расходами'!$W$27:$W$47</definedName>
    <definedName name="Криста_Мера_49_0" localSheetId="0">'1. Управление расходами'!$AC$27:$AC$47</definedName>
    <definedName name="Криста_Мера_50_0" localSheetId="0">'1. Управление расходами'!$AI$27:$AI$47</definedName>
    <definedName name="Криста_Мера_52_0" localSheetId="1">'2. Управление доходами'!$W$16:$W$36</definedName>
    <definedName name="Криста_Мера_53_0" localSheetId="0">'1. Управление расходами'!$F$27:$F$47</definedName>
    <definedName name="Криста_Мера_53_0" localSheetId="1">'2. Управление доходами'!$X$16:$X$36</definedName>
    <definedName name="Криста_Мера_54_0" localSheetId="0">'1. Управление расходами'!$G$27:$G$47</definedName>
    <definedName name="Криста_Мера_54_0" localSheetId="1">'2. Управление доходами'!$Y$16:$Y$36</definedName>
    <definedName name="Криста_Мера_55_0" localSheetId="0">'1. Управление расходами'!$AO$27:$AO$47</definedName>
    <definedName name="Криста_Мера_55_0" localSheetId="1">'2. Управление доходами'!$AC$16:$AC$36</definedName>
    <definedName name="Криста_Мера_56_0" localSheetId="0">'1. Управление расходами'!$AP$27:$AP$47</definedName>
    <definedName name="Криста_Мера_56_0" localSheetId="1">'2. Управление доходами'!$AD$16:$AD$36</definedName>
    <definedName name="Криста_Мера_57_0" localSheetId="0">'1. Управление расходами'!$AQ$27:$AQ$47</definedName>
    <definedName name="Криста_Мера_57_0" localSheetId="1">'2. Управление доходами'!$AE$16:$AE$36</definedName>
    <definedName name="Криста_Мера_58_0" localSheetId="0">'1. Управление расходами'!$AU$27:$AU$47</definedName>
    <definedName name="Криста_Мера_59_0" localSheetId="0">'1. Управление расходами'!$AV$27:$AV$47</definedName>
    <definedName name="Криста_Мера_60_0" localSheetId="0">'1. Управление расходами'!$AW$27:$AW$47</definedName>
    <definedName name="Криста_Мера_61_0" localSheetId="0">'1. Управление расходами'!$BA$27:$BA$47</definedName>
    <definedName name="Криста_Мера_62_0" localSheetId="0">'1. Управление расходами'!$BB$27:$BB$47</definedName>
    <definedName name="Криста_Мера_63_0" localSheetId="0">'1. Управление расходами'!$BC$27:$BC$47</definedName>
    <definedName name="Криста_Мера_64_0" localSheetId="0">'1. Управление расходами'!$BG$27:$BG$47</definedName>
    <definedName name="Криста_Мера_65_0" localSheetId="0">'1. Управление расходами'!$BH$27:$BH$47</definedName>
    <definedName name="Криста_Мера_66_0" localSheetId="0">'1. Управление расходами'!$BI$27:$BI$47</definedName>
    <definedName name="Криста_Мера_67_0" localSheetId="0">'1. Управление расходами'!$BM$27:$BM$47</definedName>
    <definedName name="Криста_Мера_68_0" localSheetId="0">'1. Управление расходами'!$BN$27:$BN$47</definedName>
    <definedName name="Криста_Мера_69_0" localSheetId="0">'1. Управление расходами'!$BO$27:$BO$47</definedName>
    <definedName name="Криста_Мера_70_0" localSheetId="0">'1. Управление расходами'!$BS$27:$BS$47</definedName>
    <definedName name="Криста_Мера_71_0" localSheetId="0">'1. Управление расходами'!$BT$27:$BT$47</definedName>
    <definedName name="Криста_Мера_72_0" localSheetId="0">'1. Управление расходами'!$BU$27:$BU$47</definedName>
    <definedName name="Криста_Мера_73_0" localSheetId="0">'1. Управление расходами'!$BY$27:$BY$47</definedName>
    <definedName name="Криста_Мера_74_0" localSheetId="0">'1. Управление расходами'!$BZ$27:$BZ$47</definedName>
    <definedName name="Криста_Мера_75_0" localSheetId="0">'1. Управление расходами'!$CA$27:$CA$47</definedName>
    <definedName name="Криста_Мера_76_0" localSheetId="0">'1. Управление расходами'!$CE$27:$CE$47</definedName>
    <definedName name="Криста_Мера_77_0" localSheetId="0">'1. Управление расходами'!$CF$27:$CF$47</definedName>
    <definedName name="Криста_Мера_78_0" localSheetId="0">'1. Управление расходами'!$CG$27:$CG$47</definedName>
    <definedName name="Криста_Мера_79_0" localSheetId="0">'1. Управление расходами'!$CK$27:$CK$47</definedName>
    <definedName name="Криста_Мера_80_0" localSheetId="0">'1. Управление расходами'!$CL$27:$CL$47</definedName>
    <definedName name="Криста_Мера_81_0" localSheetId="0">'1. Управление расходами'!$CM$27:$CM$47</definedName>
    <definedName name="Криста_Мера_82_0" localSheetId="0">'1. Управление расходами'!$CQ$27:$CQ$47</definedName>
    <definedName name="Криста_Мера_83_0" localSheetId="0">'1. Управление расходами'!$CR$27:$CR$47</definedName>
    <definedName name="Криста_Мера_84_0" localSheetId="0">'1. Управление расходами'!$CS$27:$CS$47</definedName>
    <definedName name="Криста_Результат_11_0" localSheetId="6">Итог!$P$17:$P$37</definedName>
    <definedName name="Криста_Результат_2_0" localSheetId="6">Итог!$D$17:$D$37</definedName>
    <definedName name="Криста_Результат_30_0" localSheetId="6">Итог!$C$17:$C$37</definedName>
    <definedName name="Криста_Результат_31_0" localSheetId="6">Итог!$V$17:$V$37</definedName>
    <definedName name="Криста_Результат_32_0" localSheetId="6">Итог!$AB$17:$AB$37</definedName>
    <definedName name="Криста_Результат_33_0" localSheetId="6">Итог!$AH$17:$AH$37</definedName>
    <definedName name="Криста_Результат_34_0" localSheetId="6">Итог!$AN$17:$AN$37</definedName>
    <definedName name="Криста_Результат_39_0" localSheetId="0">'1. Управление расходами'!$D$27:$D$47</definedName>
    <definedName name="Криста_Результат_39_0" localSheetId="1">'2. Управление доходами'!$D$16:$D$36</definedName>
    <definedName name="Криста_Результат_39_0" localSheetId="2">'3. Вед учета и сост отчетности'!$D$14:$D$34</definedName>
    <definedName name="Криста_Результат_39_0" localSheetId="3">'4. Внутр фин аудит'!$D$15:$D$35</definedName>
    <definedName name="Криста_Результат_39_0" localSheetId="4">'5. Исполн бюджет процедур'!$D$13:$D$33</definedName>
    <definedName name="Криста_Результат_39_0" localSheetId="5">'6. Управл активами'!$D$13:$D$33</definedName>
    <definedName name="Криста_Результат_41_0" localSheetId="0">'1. Управление расходами'!$J$27:$J$47</definedName>
    <definedName name="Криста_Результат_41_0" localSheetId="1">'2. Управление доходами'!$J$16:$J$36</definedName>
    <definedName name="Криста_Результат_41_0" localSheetId="2">'3. Вед учета и сост отчетности'!$J$14:$J$34</definedName>
    <definedName name="Криста_Результат_41_0" localSheetId="3">'4. Внутр фин аудит'!$J$15:$J$35</definedName>
    <definedName name="Криста_Результат_41_0" localSheetId="4">'5. Исполн бюджет процедур'!$J$13:$J$33</definedName>
    <definedName name="Криста_Результат_41_0" localSheetId="5">'6. Управл активами'!$J$13:$J$33</definedName>
    <definedName name="Криста_Результат_43_0" localSheetId="1">'2. Управление доходами'!$P$16:$P$36</definedName>
    <definedName name="Криста_Результат_43_0" localSheetId="2">'3. Вед учета и сост отчетности'!$P$14:$P$34</definedName>
    <definedName name="Криста_Результат_43_0" localSheetId="3">'4. Внутр фин аудит'!$P$15:$P$35</definedName>
    <definedName name="Криста_Результат_43_0" localSheetId="4">'5. Исполн бюджет процедур'!$P$13:$P$33</definedName>
    <definedName name="Криста_Результат_43_0" localSheetId="5">'6. Управл активами'!$P$13:$P$33</definedName>
    <definedName name="Криста_Результат_45_0" localSheetId="0">'1. Управление расходами'!$P$27:$P$47</definedName>
    <definedName name="Криста_Результат_45_0" localSheetId="1">'2. Управление доходами'!$V$16:$V$36</definedName>
    <definedName name="Криста_Результат_45_0" localSheetId="2">'3. Вед учета и сост отчетности'!$V$14:$V$34</definedName>
    <definedName name="Криста_Результат_45_0" localSheetId="3">'4. Внутр фин аудит'!$V$15:$V$35</definedName>
    <definedName name="Криста_Результат_47_0" localSheetId="0">'1. Управление расходами'!$V$27:$V$47</definedName>
    <definedName name="Криста_Результат_47_0" localSheetId="3">'4. Внутр фин аудит'!$AB$15:$AB$35</definedName>
    <definedName name="Криста_Результат_49_0" localSheetId="0">'1. Управление расходами'!$AB$27:$AB$47</definedName>
    <definedName name="Криста_Результат_51_0" localSheetId="0">'1. Управление расходами'!$AH$27:$AH$47</definedName>
    <definedName name="Криста_Результат_53_0" localSheetId="0">'1. Управление расходами'!$AN$27:$AN$47</definedName>
    <definedName name="Криста_Результат_57_0" localSheetId="3">'4. Внутр фин аудит'!$C$15:$C$35</definedName>
    <definedName name="Криста_Результат_57_0" localSheetId="4">'5. Исполн бюджет процедур'!$C$13:$C$33</definedName>
    <definedName name="Криста_Результат_57_0" localSheetId="5">'6. Управл активами'!$C$13:$C$33</definedName>
    <definedName name="Криста_Результат_58_0" localSheetId="0">'1. Управление расходами'!$C$27:$C$47</definedName>
    <definedName name="Криста_Результат_58_0" localSheetId="1">'2. Управление доходами'!$C$16:$C$36</definedName>
    <definedName name="Криста_Результат_58_0" localSheetId="2">'3. Вед учета и сост отчетности'!$C$14:$C$34</definedName>
    <definedName name="Криста_Результат_59_0" localSheetId="1">'2. Управление доходами'!$AB$16:$AB$36</definedName>
    <definedName name="Криста_Результат_60_0" localSheetId="0">'1. Управление расходами'!$AT$27:$AT$47</definedName>
    <definedName name="Криста_Результат_60_0" localSheetId="1">'2. Управление доходами'!$AH$16:$AH$36</definedName>
    <definedName name="Криста_Результат_61_0" localSheetId="0">'1. Управление расходами'!$AZ$27:$AZ$47</definedName>
    <definedName name="Криста_Результат_62_0" localSheetId="0">'1. Управление расходами'!$BF$27:$BF$47</definedName>
    <definedName name="Криста_Результат_63_0" localSheetId="0">'1. Управление расходами'!$BL$27:$BL$47</definedName>
    <definedName name="Криста_Результат_64_0" localSheetId="0">'1. Управление расходами'!$BR$27:$BR$47</definedName>
    <definedName name="Криста_Результат_65_0" localSheetId="0">'1. Управление расходами'!$BX$27:$BX$47</definedName>
    <definedName name="Криста_Результат_66_0" localSheetId="0">'1. Управление расходами'!$CD$27:$CD$47</definedName>
    <definedName name="Криста_Результат_67_0" localSheetId="0">'1. Управление расходами'!$CJ$27:$CJ$47</definedName>
    <definedName name="Криста_Результат_68_0" localSheetId="0">'1. Управление расходами'!$CP$27:$CP$47</definedName>
    <definedName name="Криста_Результат_69_0" localSheetId="0">'1. Управление расходами'!$CV$27:$CV$47</definedName>
    <definedName name="Криста_Результат_8_0" localSheetId="6">Итог!$J$17:$J$37</definedName>
    <definedName name="Криста_Свободный_100_0" localSheetId="0">'1. Управление расходами'!$BQ$27:$BQ$47</definedName>
    <definedName name="Криста_Свободный_101_0" localSheetId="0">'1. Управление расходами'!$BV$27:$BV$47</definedName>
    <definedName name="Криста_Свободный_102_0" localSheetId="0">'1. Управление расходами'!$BW$27:$BW$47</definedName>
    <definedName name="Криста_Свободный_103_0" localSheetId="0">'1. Управление расходами'!$CB$27:$CB$47</definedName>
    <definedName name="Криста_Свободный_104_0" localSheetId="0">'1. Управление расходами'!$CC$27:$CC$47</definedName>
    <definedName name="Криста_Свободный_105_0" localSheetId="0">'1. Управление расходами'!$CH$27:$CH$47</definedName>
    <definedName name="Криста_Свободный_106_0" localSheetId="0">'1. Управление расходами'!$CI$27:$CI$47</definedName>
    <definedName name="Криста_Свободный_107_0" localSheetId="0">'1. Управление расходами'!$CN$27:$CN$47</definedName>
    <definedName name="Криста_Свободный_108_0" localSheetId="0">'1. Управление расходами'!$CO$27:$CO$47</definedName>
    <definedName name="Криста_Свободный_109_0" localSheetId="0">'1. Управление расходами'!$CT$27:$CT$47</definedName>
    <definedName name="Криста_Свободный_110_0" localSheetId="0">'1. Управление расходами'!$CU$27:$CU$47</definedName>
    <definedName name="Криста_Свободный_112_0" localSheetId="0">'1. Управление расходами'!$CX$27:$CX$47</definedName>
    <definedName name="Криста_Свободный_113_0" localSheetId="0">'1. Управление расходами'!$CY$27:$CY$47</definedName>
    <definedName name="Криста_Свободный_114_0" localSheetId="0">'1. Управление расходами'!$CZ$27:$CZ$47</definedName>
    <definedName name="Криста_Свободный_115_0" localSheetId="0">'1. Управление расходами'!$DA$27:$DA$47</definedName>
    <definedName name="Криста_Свободный_116_0" localSheetId="0">'1. Управление расходами'!$DB$27:$DB$47</definedName>
    <definedName name="Криста_Свободный_117_0" localSheetId="0">'1. Управление расходами'!$DC$27:$DC$47</definedName>
    <definedName name="Криста_Свободный_118_0" localSheetId="0">'1. Управление расходами'!$DD$27:$DD$47</definedName>
    <definedName name="Криста_Свободный_119_0" localSheetId="0">'1. Управление расходами'!$DE$27:$DE$47</definedName>
    <definedName name="Криста_Свободный_120_0" localSheetId="0">'1. Управление расходами'!$DF$27:$DF$47</definedName>
    <definedName name="Криста_Свободный_121_0" localSheetId="0">'1. Управление расходами'!$DG$27:$DG$47</definedName>
    <definedName name="Криста_Свободный_122_0" localSheetId="0">'1. Управление расходами'!$DH$27:$DH$47</definedName>
    <definedName name="Криста_Свободный_123_0" localSheetId="0">'1. Управление расходами'!$DI$27:$DI$47</definedName>
    <definedName name="Криста_Свободный_124_0" localSheetId="0">'1. Управление расходами'!$DJ$27:$DJ$47</definedName>
    <definedName name="Криста_Свободный_125_0" localSheetId="0">'1. Управление расходами'!$DK$27:$DK$47</definedName>
    <definedName name="Криста_Свободный_13_0" localSheetId="6">Итог!$AO$17:$AO$37</definedName>
    <definedName name="Криста_Свободный_14_0" localSheetId="6">Итог!$AP$17:$AP$37</definedName>
    <definedName name="Криста_Свободный_18_0" localSheetId="6">Итог!$AU$17:$AU$37</definedName>
    <definedName name="Криста_Свободный_3_0" localSheetId="6">Итог!$H$17:$H$37</definedName>
    <definedName name="Криста_Свободный_31_0" localSheetId="6">Итог!$G$17:$G$37</definedName>
    <definedName name="Криста_Свободный_31_0" localSheetId="7">Рейтинг!$D$7:$D$27</definedName>
    <definedName name="Криста_Свободный_31_0" localSheetId="8">'Уровень качества'!$D$7:$D$27</definedName>
    <definedName name="Криста_Свободный_32_0" localSheetId="6">Итог!$M$17:$M$37</definedName>
    <definedName name="Криста_Свободный_34_0" localSheetId="6">Итог!$S$17:$S$37</definedName>
    <definedName name="Криста_Свободный_35_0" localSheetId="6">Итог!$T$17:$T$37</definedName>
    <definedName name="Криста_Свободный_36_0" localSheetId="6">Итог!$U$17:$U$37</definedName>
    <definedName name="Криста_Свободный_37_0" localSheetId="6">Итог!$Y$17:$Y$37</definedName>
    <definedName name="Криста_Свободный_38_0" localSheetId="6">Итог!$Z$17:$Z$37</definedName>
    <definedName name="Криста_Свободный_39_0" localSheetId="6">Итог!$AA$17:$AA$37</definedName>
    <definedName name="Криста_Свободный_4_0" localSheetId="6">Итог!$I$17:$I$37</definedName>
    <definedName name="Криста_Свободный_40_0" localSheetId="6">Итог!$AE$17:$AE$37</definedName>
    <definedName name="Криста_Свободный_41_0" localSheetId="6">Итог!$AF$17:$AF$37</definedName>
    <definedName name="Криста_Свободный_42_0" localSheetId="6">Итог!$AG$17:$AG$37</definedName>
    <definedName name="Криста_Свободный_43_0" localSheetId="6">Итог!$AK$17:$AK$37</definedName>
    <definedName name="Криста_Свободный_44_0" localSheetId="6">Итог!$AL$17:$AL$37</definedName>
    <definedName name="Криста_Свободный_45_0" localSheetId="6">Итог!$AM$17:$AM$37</definedName>
    <definedName name="Криста_Свободный_46_0" localSheetId="6">Итог!$AQ$17:$AQ$37</definedName>
    <definedName name="Криста_Свободный_47_0" localSheetId="6">Итог!$AR$17:$AR$37</definedName>
    <definedName name="Криста_Свободный_48_0" localSheetId="6">Итог!$AS$17:$AS$37</definedName>
    <definedName name="Криста_Свободный_49_0" localSheetId="6">Итог!$AT$17:$AT$37</definedName>
    <definedName name="Криста_Свободный_5_0" localSheetId="6">Итог!$N$17:$N$37</definedName>
    <definedName name="Криста_Свободный_52_0" localSheetId="0">'1. Управление расходами'!$H$27:$H$47</definedName>
    <definedName name="Криста_Свободный_52_0" localSheetId="1">'2. Управление доходами'!$H$16:$H$36</definedName>
    <definedName name="Криста_Свободный_52_0" localSheetId="2">'3. Вед учета и сост отчетности'!$H$14:$H$34</definedName>
    <definedName name="Криста_Свободный_52_0" localSheetId="3">'4. Внутр фин аудит'!$H$15:$H$35</definedName>
    <definedName name="Криста_Свободный_52_0" localSheetId="4">'5. Исполн бюджет процедур'!$H$13:$H$33</definedName>
    <definedName name="Криста_Свободный_52_0" localSheetId="5">'6. Управл активами'!$H$13:$H$33</definedName>
    <definedName name="Криста_Свободный_53_0" localSheetId="0">'1. Управление расходами'!$I$27:$I$47</definedName>
    <definedName name="Криста_Свободный_53_0" localSheetId="1">'2. Управление доходами'!$I$16:$I$36</definedName>
    <definedName name="Криста_Свободный_53_0" localSheetId="2">'3. Вед учета и сост отчетности'!$I$14:$I$34</definedName>
    <definedName name="Криста_Свободный_53_0" localSheetId="3">'4. Внутр фин аудит'!$I$15:$I$35</definedName>
    <definedName name="Криста_Свободный_53_0" localSheetId="4">'5. Исполн бюджет процедур'!$I$13:$I$33</definedName>
    <definedName name="Криста_Свободный_53_0" localSheetId="5">'6. Управл активами'!$I$13:$I$33</definedName>
    <definedName name="Криста_Свободный_54_0" localSheetId="1">'2. Управление доходами'!$N$16:$N$36</definedName>
    <definedName name="Криста_Свободный_54_0" localSheetId="2">'3. Вед учета и сост отчетности'!$N$14:$N$34</definedName>
    <definedName name="Криста_Свободный_54_0" localSheetId="3">'4. Внутр фин аудит'!$N$15:$N$35</definedName>
    <definedName name="Криста_Свободный_54_0" localSheetId="4">'5. Исполн бюджет процедур'!$N$13:$N$33</definedName>
    <definedName name="Криста_Свободный_54_0" localSheetId="5">'6. Управл активами'!$N$13:$N$33</definedName>
    <definedName name="Криста_Свободный_55_0" localSheetId="1">'2. Управление доходами'!$O$16:$O$36</definedName>
    <definedName name="Криста_Свободный_55_0" localSheetId="2">'3. Вед учета и сост отчетности'!$O$14:$O$34</definedName>
    <definedName name="Криста_Свободный_55_0" localSheetId="3">'4. Внутр фин аудит'!$O$15:$O$35</definedName>
    <definedName name="Криста_Свободный_55_0" localSheetId="4">'5. Исполн бюджет процедур'!$O$13:$O$33</definedName>
    <definedName name="Криста_Свободный_55_0" localSheetId="5">'6. Управл активами'!$O$13:$O$33</definedName>
    <definedName name="Криста_Свободный_56_0" localSheetId="0">'1. Управление расходами'!$N$27:$N$47</definedName>
    <definedName name="Криста_Свободный_56_0" localSheetId="1">'2. Управление доходами'!$T$16:$T$36</definedName>
    <definedName name="Криста_Свободный_56_0" localSheetId="2">'3. Вед учета и сост отчетности'!$T$14:$T$34</definedName>
    <definedName name="Криста_Свободный_56_0" localSheetId="3">'4. Внутр фин аудит'!$T$15:$T$35</definedName>
    <definedName name="Криста_Свободный_57_0" localSheetId="0">'1. Управление расходами'!$O$27:$O$47</definedName>
    <definedName name="Криста_Свободный_57_0" localSheetId="1">'2. Управление доходами'!$U$16:$U$36</definedName>
    <definedName name="Криста_Свободный_57_0" localSheetId="2">'3. Вед учета и сост отчетности'!$U$14:$U$34</definedName>
    <definedName name="Криста_Свободный_57_0" localSheetId="3">'4. Внутр фин аудит'!$U$15:$U$35</definedName>
    <definedName name="Криста_Свободный_58_0" localSheetId="0">'1. Управление расходами'!$T$27:$T$47</definedName>
    <definedName name="Криста_Свободный_58_0" localSheetId="3">'4. Внутр фин аудит'!$Z$15:$Z$35</definedName>
    <definedName name="Криста_Свободный_59_0" localSheetId="0">'1. Управление расходами'!$U$27:$U$47</definedName>
    <definedName name="Криста_Свободный_59_0" localSheetId="3">'4. Внутр фин аудит'!$AA$15:$AA$35</definedName>
    <definedName name="Криста_Свободный_6_0" localSheetId="6">Итог!$O$17:$O$37</definedName>
    <definedName name="Криста_Свободный_60_0" localSheetId="0">'1. Управление расходами'!$Z$27:$Z$47</definedName>
    <definedName name="Криста_Свободный_61_0" localSheetId="0">'1. Управление расходами'!$AA$27:$AA$47</definedName>
    <definedName name="Криста_Свободный_62_0" localSheetId="0">'1. Управление расходами'!$AF$27:$AF$47</definedName>
    <definedName name="Криста_Свободный_63_0" localSheetId="0">'1. Управление расходами'!$AG$27:$AG$47</definedName>
    <definedName name="Криста_Свободный_64_0" localSheetId="0">'1. Управление расходами'!$AL$27:$AL$47</definedName>
    <definedName name="Криста_Свободный_65_0" localSheetId="0">'1. Управление расходами'!$AM$27:$AM$47</definedName>
    <definedName name="Криста_Свободный_68_0" localSheetId="1">'2. Управление доходами'!$AI$16:$AI$36</definedName>
    <definedName name="Криста_Свободный_68_0" localSheetId="2">'3. Вед учета и сост отчетности'!$W$14:$W$34</definedName>
    <definedName name="Криста_Свободный_68_0" localSheetId="3">'4. Внутр фин аудит'!$AC$15:$AC$35</definedName>
    <definedName name="Криста_Свободный_68_0" localSheetId="4">'5. Исполн бюджет процедур'!$Q$13:$Q$33</definedName>
    <definedName name="Криста_Свободный_68_0" localSheetId="5">'6. Управл активами'!$Q$13:$Q$33</definedName>
    <definedName name="Криста_Свободный_69_0" localSheetId="1">'2. Управление доходами'!$AJ$16:$AJ$36</definedName>
    <definedName name="Криста_Свободный_69_0" localSheetId="2">'3. Вед учета и сост отчетности'!$X$14:$X$34</definedName>
    <definedName name="Криста_Свободный_69_0" localSheetId="3">'4. Внутр фин аудит'!$AD$15:$AD$35</definedName>
    <definedName name="Криста_Свободный_69_0" localSheetId="4">'5. Исполн бюджет процедур'!$R$13:$R$33</definedName>
    <definedName name="Криста_Свободный_69_0" localSheetId="5">'6. Управл активами'!$R$13:$R$33</definedName>
    <definedName name="Криста_Свободный_70_0" localSheetId="1">'2. Управление доходами'!$AK$16:$AK$36</definedName>
    <definedName name="Криста_Свободный_70_0" localSheetId="2">'3. Вед учета и сост отчетности'!$Y$14:$Y$34</definedName>
    <definedName name="Криста_Свободный_70_0" localSheetId="3">'4. Внутр фин аудит'!$AE$15:$AE$35</definedName>
    <definedName name="Криста_Свободный_71_0" localSheetId="3">'4. Внутр фин аудит'!$AF$15:$AF$35</definedName>
    <definedName name="Криста_Свободный_76_0" localSheetId="0">'1. Управление расходами'!$DM$27:$DM$47</definedName>
    <definedName name="Криста_Свободный_76_0" localSheetId="1">'2. Управление доходами'!$AN$16:$AN$36</definedName>
    <definedName name="Криста_Свободный_76_0" localSheetId="2">'3. Вед учета и сост отчетности'!$Z$14:$Z$34</definedName>
    <definedName name="Криста_Свободный_76_0" localSheetId="3">'4. Внутр фин аудит'!$AG$15:$AG$35</definedName>
    <definedName name="Криста_Свободный_76_0" localSheetId="4">'5. Исполн бюджет процедур'!$S$13:$S$33</definedName>
    <definedName name="Криста_Свободный_76_0" localSheetId="5">'6. Управл активами'!$S$13:$S$33</definedName>
    <definedName name="Криста_Свободный_77_0" localSheetId="1">'2. Управление доходами'!$Z$16:$Z$36</definedName>
    <definedName name="Криста_Свободный_78_0" localSheetId="1">'2. Управление доходами'!$AA$16:$AA$36</definedName>
    <definedName name="Криста_Свободный_79_0" localSheetId="1">'2. Управление доходами'!$AF$16:$AF$36</definedName>
    <definedName name="Криста_Свободный_80_0" localSheetId="1">'2. Управление доходами'!$AG$16:$AG$36</definedName>
    <definedName name="Криста_Свободный_81_0" localSheetId="1">'2. Управление доходами'!$AL$16:$AL$36</definedName>
    <definedName name="Криста_Свободный_82_0" localSheetId="1">'2. Управление доходами'!$AM$16:$AM$36</definedName>
    <definedName name="Криста_Свободный_89_0" localSheetId="0">'1. Управление расходами'!$AR$27:$AR$47</definedName>
    <definedName name="Криста_Свободный_90_0" localSheetId="0">'1. Управление расходами'!$AS$27:$AS$47</definedName>
    <definedName name="Криста_Свободный_91_0" localSheetId="0">'1. Управление расходами'!$AX$27:$AX$47</definedName>
    <definedName name="Криста_Свободный_92_0" localSheetId="0">'1. Управление расходами'!$AY$27:$AY$47</definedName>
    <definedName name="Криста_Свободный_93_0" localSheetId="0">'1. Управление расходами'!$BD$27:$BD$47</definedName>
    <definedName name="Криста_Свободный_94_0" localSheetId="0">'1. Управление расходами'!$BE$27:$BE$47</definedName>
    <definedName name="Криста_Свободный_95_0" localSheetId="0">'1. Управление расходами'!$BJ$27:$BJ$47</definedName>
    <definedName name="Криста_Свободный_96_0" localSheetId="0">'1. Управление расходами'!$BK$27:$BK$47</definedName>
    <definedName name="Криста_Свободный_97_0" localSheetId="0">'1. Управление расходами'!$DL$27:$DL$47</definedName>
    <definedName name="Криста_Свободный_98_0" localSheetId="0">'1. Управление расходами'!$CW$27:$CW$47</definedName>
    <definedName name="Криста_Свободный_99_0" localSheetId="0">'1. Управление расходами'!$BP$27:$BP$47</definedName>
    <definedName name="Криста_Таблица" localSheetId="0">'1. Управление расходами'!$A$26:$DM$47</definedName>
    <definedName name="Криста_Таблица" localSheetId="1">'2. Управление доходами'!$A$14:$AN$36</definedName>
    <definedName name="Криста_Таблица" localSheetId="2">'3. Вед учета и сост отчетности'!$A$12:$Z$34</definedName>
    <definedName name="Криста_Таблица" localSheetId="3">'4. Внутр фин аудит'!$A$13:$AG$35</definedName>
    <definedName name="Криста_Таблица" localSheetId="4">'5. Исполн бюджет процедур'!$A$11:$S$33</definedName>
    <definedName name="Криста_Таблица" localSheetId="5">'6. Управл активами'!$A$11:$S$33</definedName>
    <definedName name="Криста_Таблица" localSheetId="6">Итог!$A$16:$AU$37</definedName>
    <definedName name="Криста_Таблица" localSheetId="7">Рейтинг!$A$6:$D$27</definedName>
    <definedName name="Криста_Таблица" localSheetId="8">'Уровень качества'!$A$6:$D$27</definedName>
    <definedName name="ОбластьИмпорта" localSheetId="0">'1. Управление расходами'!$C$27:$DM$47</definedName>
    <definedName name="ОбластьИмпорта" localSheetId="1">'2. Управление доходами'!$C$16:$AN$36</definedName>
    <definedName name="ОбластьИмпорта" localSheetId="2">'3. Вед учета и сост отчетности'!$C$14:$Z$34</definedName>
    <definedName name="ОбластьИмпорта" localSheetId="3">'4. Внутр фин аудит'!$C$15:$AG$35</definedName>
    <definedName name="ОбластьИмпорта" localSheetId="4">'5. Исполн бюджет процедур'!$C$13:$S$33</definedName>
    <definedName name="ОбластьИмпорта" localSheetId="5">'6. Управл активами'!$C$13:$S$33</definedName>
    <definedName name="ОбластьИмпорта" localSheetId="6">Итог!$C$17:$AU$37</definedName>
    <definedName name="ОбластьИмпорта" localSheetId="7">Рейтинг!$C$7:$D$27</definedName>
    <definedName name="ОбластьИмпорта" localSheetId="8">'Уровень качества'!$C$7:$D$27</definedName>
  </definedNames>
  <calcPr calcId="162913"/>
</workbook>
</file>

<file path=xl/calcChain.xml><?xml version="1.0" encoding="utf-8"?>
<calcChain xmlns="http://schemas.openxmlformats.org/spreadsheetml/2006/main">
  <c r="D27" i="95" l="1"/>
  <c r="D26" i="95"/>
  <c r="D25" i="95"/>
  <c r="D24" i="95"/>
  <c r="D23" i="95"/>
  <c r="D22" i="95"/>
  <c r="D21" i="95"/>
  <c r="D20" i="95"/>
  <c r="D19" i="95"/>
  <c r="D18" i="95"/>
  <c r="D17" i="95"/>
  <c r="D16" i="95"/>
  <c r="D15" i="95"/>
  <c r="D14" i="95"/>
  <c r="D13" i="95"/>
  <c r="D12" i="95"/>
  <c r="D11" i="95"/>
  <c r="D10" i="95"/>
  <c r="D9" i="95"/>
  <c r="D8" i="95"/>
  <c r="D7" i="95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D7" i="89"/>
  <c r="AT37" i="96"/>
  <c r="AT36" i="96"/>
  <c r="AT35" i="96"/>
  <c r="AT34" i="96"/>
  <c r="AT33" i="96"/>
  <c r="AT32" i="96"/>
  <c r="AT31" i="96"/>
  <c r="AT30" i="96"/>
  <c r="AT29" i="96"/>
  <c r="AT28" i="96"/>
  <c r="AT27" i="96"/>
  <c r="AT26" i="96"/>
  <c r="AT25" i="96"/>
  <c r="AT24" i="96"/>
  <c r="AT23" i="96"/>
  <c r="AT22" i="96"/>
  <c r="AT21" i="96"/>
  <c r="AT20" i="96"/>
  <c r="AT19" i="96"/>
  <c r="AT18" i="96"/>
  <c r="AT17" i="96"/>
  <c r="AS37" i="96"/>
  <c r="AS36" i="96"/>
  <c r="AS35" i="96"/>
  <c r="AS34" i="96"/>
  <c r="AS33" i="96"/>
  <c r="AS32" i="96"/>
  <c r="AS31" i="96"/>
  <c r="AS30" i="96"/>
  <c r="AS29" i="96"/>
  <c r="AS28" i="96"/>
  <c r="AS27" i="96"/>
  <c r="AS26" i="96"/>
  <c r="AS25" i="96"/>
  <c r="AS24" i="96"/>
  <c r="AS23" i="96"/>
  <c r="AS22" i="96"/>
  <c r="AS21" i="96"/>
  <c r="AS20" i="96"/>
  <c r="AS19" i="96"/>
  <c r="AS18" i="96"/>
  <c r="AS17" i="96"/>
  <c r="AR37" i="96"/>
  <c r="AR36" i="96"/>
  <c r="AR35" i="96"/>
  <c r="AR34" i="96"/>
  <c r="AR33" i="96"/>
  <c r="AR32" i="96"/>
  <c r="AR31" i="96"/>
  <c r="AR30" i="96"/>
  <c r="AR29" i="96"/>
  <c r="AR28" i="96"/>
  <c r="AR27" i="96"/>
  <c r="AR26" i="96"/>
  <c r="AR25" i="96"/>
  <c r="AR24" i="96"/>
  <c r="AR23" i="96"/>
  <c r="AR22" i="96"/>
  <c r="AR21" i="96"/>
  <c r="AR20" i="96"/>
  <c r="AR19" i="96"/>
  <c r="AR18" i="96"/>
  <c r="AR17" i="96"/>
  <c r="AQ37" i="96"/>
  <c r="AQ36" i="96"/>
  <c r="AQ35" i="96"/>
  <c r="AQ34" i="96"/>
  <c r="AQ33" i="96"/>
  <c r="AQ32" i="96"/>
  <c r="AQ31" i="96"/>
  <c r="AQ30" i="96"/>
  <c r="AQ29" i="96"/>
  <c r="AQ28" i="96"/>
  <c r="AQ27" i="96"/>
  <c r="AQ26" i="96"/>
  <c r="AQ25" i="96"/>
  <c r="AQ24" i="96"/>
  <c r="AQ23" i="96"/>
  <c r="AQ22" i="96"/>
  <c r="AQ21" i="96"/>
  <c r="AQ20" i="96"/>
  <c r="AQ19" i="96"/>
  <c r="AQ18" i="96"/>
  <c r="AQ17" i="96"/>
  <c r="AP37" i="96"/>
  <c r="AP36" i="96"/>
  <c r="AP35" i="96"/>
  <c r="AP34" i="96"/>
  <c r="AP33" i="96"/>
  <c r="AP32" i="96"/>
  <c r="AP31" i="96"/>
  <c r="AP30" i="96"/>
  <c r="AP29" i="96"/>
  <c r="AP28" i="96"/>
  <c r="AP27" i="96"/>
  <c r="AP26" i="96"/>
  <c r="AP25" i="96"/>
  <c r="AP24" i="96"/>
  <c r="AP23" i="96"/>
  <c r="AP22" i="96"/>
  <c r="AP21" i="96"/>
  <c r="AP20" i="96"/>
  <c r="AP19" i="96"/>
  <c r="AP18" i="96"/>
  <c r="AP17" i="96"/>
  <c r="AO37" i="96"/>
  <c r="AO36" i="96"/>
  <c r="AO35" i="96"/>
  <c r="AO34" i="96"/>
  <c r="AO33" i="96"/>
  <c r="AO32" i="96"/>
  <c r="AO31" i="96"/>
  <c r="AO30" i="96"/>
  <c r="AO29" i="96"/>
  <c r="AO28" i="96"/>
  <c r="AO27" i="96"/>
  <c r="AO26" i="96"/>
  <c r="AO25" i="96"/>
  <c r="AO24" i="96"/>
  <c r="AO23" i="96"/>
  <c r="AO22" i="96"/>
  <c r="AO21" i="96"/>
  <c r="AO20" i="96"/>
  <c r="AO19" i="96"/>
  <c r="AO18" i="96"/>
  <c r="AO17" i="96"/>
  <c r="AK37" i="96"/>
  <c r="AK36" i="96"/>
  <c r="AK35" i="96"/>
  <c r="AK34" i="96"/>
  <c r="AK33" i="96"/>
  <c r="AK32" i="96"/>
  <c r="AK31" i="96"/>
  <c r="AK30" i="96"/>
  <c r="AK29" i="96"/>
  <c r="AK28" i="96"/>
  <c r="AK27" i="96"/>
  <c r="AK26" i="96"/>
  <c r="AK25" i="96"/>
  <c r="AK24" i="96"/>
  <c r="AK23" i="96"/>
  <c r="AK22" i="96"/>
  <c r="AK21" i="96"/>
  <c r="AK20" i="96"/>
  <c r="AK19" i="96"/>
  <c r="AK18" i="96"/>
  <c r="AK17" i="96"/>
  <c r="AE37" i="96"/>
  <c r="AE36" i="96"/>
  <c r="AE35" i="96"/>
  <c r="AE34" i="96"/>
  <c r="AE33" i="96"/>
  <c r="AE32" i="96"/>
  <c r="AE31" i="96"/>
  <c r="AE30" i="96"/>
  <c r="AE29" i="96"/>
  <c r="AE28" i="96"/>
  <c r="AE27" i="96"/>
  <c r="AE26" i="96"/>
  <c r="AE25" i="96"/>
  <c r="AE24" i="96"/>
  <c r="AE23" i="96"/>
  <c r="AE22" i="96"/>
  <c r="AE21" i="96"/>
  <c r="AE20" i="96"/>
  <c r="AE19" i="96"/>
  <c r="AE18" i="96"/>
  <c r="AE17" i="96"/>
  <c r="Y37" i="96"/>
  <c r="Y36" i="96"/>
  <c r="Y35" i="96"/>
  <c r="Y34" i="96"/>
  <c r="Y33" i="96"/>
  <c r="Y32" i="96"/>
  <c r="Y31" i="96"/>
  <c r="Y30" i="96"/>
  <c r="Y29" i="96"/>
  <c r="Y28" i="96"/>
  <c r="Y27" i="96"/>
  <c r="Y26" i="96"/>
  <c r="Y25" i="96"/>
  <c r="Y24" i="96"/>
  <c r="Y23" i="96"/>
  <c r="Y22" i="96"/>
  <c r="Y21" i="96"/>
  <c r="Y20" i="96"/>
  <c r="Y19" i="96"/>
  <c r="Y18" i="96"/>
  <c r="Y17" i="96"/>
  <c r="S37" i="96"/>
  <c r="S36" i="96"/>
  <c r="S35" i="96"/>
  <c r="S34" i="96"/>
  <c r="S33" i="96"/>
  <c r="S32" i="96"/>
  <c r="S31" i="96"/>
  <c r="S30" i="96"/>
  <c r="S29" i="96"/>
  <c r="S28" i="96"/>
  <c r="S27" i="96"/>
  <c r="S26" i="96"/>
  <c r="S25" i="96"/>
  <c r="S24" i="96"/>
  <c r="S23" i="96"/>
  <c r="S22" i="96"/>
  <c r="S21" i="96"/>
  <c r="S20" i="96"/>
  <c r="S19" i="96"/>
  <c r="S18" i="96"/>
  <c r="S17" i="96"/>
  <c r="M37" i="96"/>
  <c r="M36" i="96"/>
  <c r="M35" i="96"/>
  <c r="M34" i="96"/>
  <c r="M33" i="96"/>
  <c r="M32" i="96"/>
  <c r="M31" i="96"/>
  <c r="M30" i="96"/>
  <c r="M29" i="96"/>
  <c r="M28" i="96"/>
  <c r="M27" i="96"/>
  <c r="M26" i="96"/>
  <c r="M25" i="96"/>
  <c r="M24" i="96"/>
  <c r="M23" i="96"/>
  <c r="M22" i="96"/>
  <c r="M21" i="96"/>
  <c r="M20" i="96"/>
  <c r="M19" i="96"/>
  <c r="M18" i="96"/>
  <c r="M17" i="96"/>
  <c r="G37" i="96"/>
  <c r="G36" i="96"/>
  <c r="G35" i="96"/>
  <c r="G34" i="96"/>
  <c r="G33" i="96"/>
  <c r="G32" i="96"/>
  <c r="G31" i="96"/>
  <c r="G30" i="96"/>
  <c r="G29" i="96"/>
  <c r="G28" i="96"/>
  <c r="G27" i="96"/>
  <c r="G26" i="96"/>
  <c r="G25" i="96"/>
  <c r="G24" i="96"/>
  <c r="G23" i="96"/>
  <c r="G22" i="96"/>
  <c r="G21" i="96"/>
  <c r="G20" i="96"/>
  <c r="G19" i="96"/>
  <c r="G18" i="96"/>
  <c r="G17" i="96"/>
  <c r="D37" i="96"/>
  <c r="D36" i="96"/>
  <c r="D35" i="96"/>
  <c r="D34" i="96"/>
  <c r="D33" i="96"/>
  <c r="D32" i="96"/>
  <c r="D31" i="96"/>
  <c r="D30" i="96"/>
  <c r="D29" i="96"/>
  <c r="D28" i="96"/>
  <c r="D27" i="96"/>
  <c r="D26" i="96"/>
  <c r="D25" i="96"/>
  <c r="D24" i="96"/>
  <c r="D23" i="96"/>
  <c r="D22" i="96"/>
  <c r="D21" i="96"/>
  <c r="D20" i="96"/>
  <c r="D19" i="96"/>
  <c r="D18" i="96"/>
  <c r="D17" i="96"/>
  <c r="R33" i="93"/>
  <c r="R32" i="93"/>
  <c r="R31" i="93"/>
  <c r="R30" i="93"/>
  <c r="R29" i="93"/>
  <c r="R28" i="93"/>
  <c r="R27" i="93"/>
  <c r="R26" i="93"/>
  <c r="R25" i="93"/>
  <c r="R24" i="93"/>
  <c r="R23" i="93"/>
  <c r="R22" i="93"/>
  <c r="R21" i="93"/>
  <c r="R20" i="93"/>
  <c r="R19" i="93"/>
  <c r="S19" i="93" s="1"/>
  <c r="R18" i="93"/>
  <c r="R17" i="93"/>
  <c r="R16" i="93"/>
  <c r="R15" i="93"/>
  <c r="R14" i="93"/>
  <c r="R13" i="93"/>
  <c r="Q33" i="93"/>
  <c r="S33" i="93" s="1"/>
  <c r="H33" i="93" s="1"/>
  <c r="I33" i="93" s="1"/>
  <c r="J33" i="93" s="1"/>
  <c r="Q32" i="93"/>
  <c r="S32" i="93" s="1"/>
  <c r="H32" i="93" s="1"/>
  <c r="I32" i="93" s="1"/>
  <c r="J32" i="93" s="1"/>
  <c r="Q31" i="93"/>
  <c r="S31" i="93" s="1"/>
  <c r="H31" i="93" s="1"/>
  <c r="I31" i="93" s="1"/>
  <c r="J31" i="93" s="1"/>
  <c r="Q30" i="93"/>
  <c r="S30" i="93" s="1"/>
  <c r="H30" i="93" s="1"/>
  <c r="I30" i="93" s="1"/>
  <c r="J30" i="93" s="1"/>
  <c r="Q29" i="93"/>
  <c r="Q28" i="93"/>
  <c r="Q27" i="93"/>
  <c r="Q26" i="93"/>
  <c r="S26" i="93" s="1"/>
  <c r="H26" i="93" s="1"/>
  <c r="I26" i="93" s="1"/>
  <c r="J26" i="93" s="1"/>
  <c r="Q25" i="93"/>
  <c r="Q24" i="93"/>
  <c r="S24" i="93" s="1"/>
  <c r="H24" i="93" s="1"/>
  <c r="I24" i="93" s="1"/>
  <c r="J24" i="93" s="1"/>
  <c r="Q23" i="93"/>
  <c r="Q22" i="93"/>
  <c r="Q21" i="93"/>
  <c r="Q20" i="93"/>
  <c r="Q19" i="93"/>
  <c r="Q18" i="93"/>
  <c r="Q17" i="93"/>
  <c r="S17" i="93" s="1"/>
  <c r="H17" i="93" s="1"/>
  <c r="I17" i="93" s="1"/>
  <c r="J17" i="93" s="1"/>
  <c r="Q16" i="93"/>
  <c r="S16" i="93" s="1"/>
  <c r="H16" i="93" s="1"/>
  <c r="I16" i="93" s="1"/>
  <c r="J16" i="93" s="1"/>
  <c r="Q15" i="93"/>
  <c r="S15" i="93" s="1"/>
  <c r="H15" i="93" s="1"/>
  <c r="I15" i="93" s="1"/>
  <c r="J15" i="93" s="1"/>
  <c r="Q14" i="93"/>
  <c r="S14" i="93" s="1"/>
  <c r="H14" i="93" s="1"/>
  <c r="I14" i="93" s="1"/>
  <c r="J14" i="93" s="1"/>
  <c r="Q13" i="93"/>
  <c r="S13" i="93" s="1"/>
  <c r="H13" i="93" s="1"/>
  <c r="I13" i="93" s="1"/>
  <c r="J13" i="93" s="1"/>
  <c r="N17" i="93"/>
  <c r="O17" i="93" s="1"/>
  <c r="P17" i="93" s="1"/>
  <c r="D33" i="93"/>
  <c r="D32" i="93"/>
  <c r="D31" i="93"/>
  <c r="D30" i="93"/>
  <c r="D29" i="93"/>
  <c r="D28" i="93"/>
  <c r="D27" i="93"/>
  <c r="D26" i="93"/>
  <c r="D25" i="93"/>
  <c r="D24" i="93"/>
  <c r="D23" i="93"/>
  <c r="D22" i="93"/>
  <c r="D21" i="93"/>
  <c r="D20" i="93"/>
  <c r="D19" i="93"/>
  <c r="D18" i="93"/>
  <c r="D17" i="93"/>
  <c r="D16" i="93"/>
  <c r="D15" i="93"/>
  <c r="D14" i="93"/>
  <c r="D13" i="93"/>
  <c r="R33" i="92"/>
  <c r="R32" i="92"/>
  <c r="R31" i="92"/>
  <c r="R30" i="92"/>
  <c r="R29" i="92"/>
  <c r="R28" i="92"/>
  <c r="R27" i="92"/>
  <c r="R26" i="92"/>
  <c r="R25" i="92"/>
  <c r="R24" i="92"/>
  <c r="R23" i="92"/>
  <c r="R22" i="92"/>
  <c r="R21" i="92"/>
  <c r="S21" i="92" s="1"/>
  <c r="R20" i="92"/>
  <c r="R19" i="92"/>
  <c r="R18" i="92"/>
  <c r="R17" i="92"/>
  <c r="R16" i="92"/>
  <c r="R15" i="92"/>
  <c r="R14" i="92"/>
  <c r="R13" i="92"/>
  <c r="Q33" i="92"/>
  <c r="S33" i="92" s="1"/>
  <c r="H33" i="92" s="1"/>
  <c r="I33" i="92" s="1"/>
  <c r="J33" i="92" s="1"/>
  <c r="Q32" i="92"/>
  <c r="S32" i="92" s="1"/>
  <c r="H32" i="92" s="1"/>
  <c r="I32" i="92" s="1"/>
  <c r="J32" i="92" s="1"/>
  <c r="Q31" i="92"/>
  <c r="S31" i="92" s="1"/>
  <c r="H31" i="92" s="1"/>
  <c r="I31" i="92" s="1"/>
  <c r="J31" i="92" s="1"/>
  <c r="Q30" i="92"/>
  <c r="Q29" i="92"/>
  <c r="Q28" i="92"/>
  <c r="Q27" i="92"/>
  <c r="S27" i="92" s="1"/>
  <c r="Q26" i="92"/>
  <c r="Q25" i="92"/>
  <c r="Q24" i="92"/>
  <c r="Q23" i="92"/>
  <c r="Q22" i="92"/>
  <c r="Q21" i="92"/>
  <c r="Q20" i="92"/>
  <c r="Q19" i="92"/>
  <c r="Q18" i="92"/>
  <c r="Q17" i="92"/>
  <c r="S17" i="92" s="1"/>
  <c r="H17" i="92" s="1"/>
  <c r="I17" i="92" s="1"/>
  <c r="J17" i="92" s="1"/>
  <c r="Q16" i="92"/>
  <c r="S16" i="92" s="1"/>
  <c r="H16" i="92" s="1"/>
  <c r="I16" i="92" s="1"/>
  <c r="J16" i="92" s="1"/>
  <c r="Q15" i="92"/>
  <c r="S15" i="92" s="1"/>
  <c r="H15" i="92" s="1"/>
  <c r="I15" i="92" s="1"/>
  <c r="J15" i="92" s="1"/>
  <c r="Q14" i="92"/>
  <c r="S14" i="92" s="1"/>
  <c r="H14" i="92" s="1"/>
  <c r="I14" i="92" s="1"/>
  <c r="J14" i="92" s="1"/>
  <c r="Q13" i="92"/>
  <c r="S13" i="92" s="1"/>
  <c r="H13" i="92" s="1"/>
  <c r="I13" i="92" s="1"/>
  <c r="J13" i="92" s="1"/>
  <c r="D33" i="92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AF35" i="91"/>
  <c r="AF34" i="91"/>
  <c r="AF33" i="91"/>
  <c r="AF32" i="91"/>
  <c r="AF31" i="91"/>
  <c r="AF30" i="91"/>
  <c r="AF29" i="91"/>
  <c r="AF28" i="91"/>
  <c r="AF27" i="91"/>
  <c r="AF26" i="91"/>
  <c r="AF25" i="91"/>
  <c r="AF24" i="91"/>
  <c r="AG24" i="91" s="1"/>
  <c r="AF23" i="91"/>
  <c r="AF22" i="91"/>
  <c r="AF21" i="91"/>
  <c r="AF20" i="91"/>
  <c r="AF19" i="91"/>
  <c r="AF18" i="91"/>
  <c r="AF17" i="91"/>
  <c r="AF16" i="91"/>
  <c r="AF15" i="91"/>
  <c r="AE35" i="91"/>
  <c r="AE34" i="91"/>
  <c r="AE33" i="91"/>
  <c r="AE32" i="91"/>
  <c r="AE31" i="91"/>
  <c r="AE30" i="91"/>
  <c r="AE29" i="91"/>
  <c r="AE28" i="91"/>
  <c r="AE27" i="91"/>
  <c r="AE26" i="91"/>
  <c r="AE25" i="91"/>
  <c r="AE24" i="91"/>
  <c r="AE23" i="91"/>
  <c r="AE22" i="91"/>
  <c r="AE21" i="91"/>
  <c r="AE20" i="91"/>
  <c r="AE19" i="91"/>
  <c r="AE18" i="91"/>
  <c r="AE17" i="91"/>
  <c r="AE16" i="91"/>
  <c r="AE15" i="91"/>
  <c r="AD35" i="91"/>
  <c r="AD34" i="91"/>
  <c r="AD33" i="91"/>
  <c r="AD32" i="91"/>
  <c r="AD31" i="91"/>
  <c r="AD30" i="91"/>
  <c r="AD29" i="91"/>
  <c r="AD28" i="91"/>
  <c r="AD27" i="91"/>
  <c r="AD26" i="91"/>
  <c r="AD25" i="91"/>
  <c r="AD24" i="91"/>
  <c r="AD23" i="91"/>
  <c r="AD22" i="91"/>
  <c r="AD21" i="91"/>
  <c r="AG21" i="91" s="1"/>
  <c r="H21" i="91" s="1"/>
  <c r="I21" i="91" s="1"/>
  <c r="J21" i="91" s="1"/>
  <c r="AD20" i="91"/>
  <c r="AD19" i="91"/>
  <c r="AD18" i="91"/>
  <c r="AD17" i="91"/>
  <c r="AD16" i="91"/>
  <c r="AD15" i="91"/>
  <c r="AC35" i="91"/>
  <c r="AC34" i="91"/>
  <c r="AC33" i="91"/>
  <c r="AC32" i="91"/>
  <c r="AC31" i="91"/>
  <c r="AC30" i="91"/>
  <c r="AC29" i="91"/>
  <c r="AC28" i="91"/>
  <c r="AC27" i="91"/>
  <c r="AC26" i="91"/>
  <c r="AC25" i="91"/>
  <c r="AC24" i="91"/>
  <c r="AC23" i="91"/>
  <c r="AG23" i="91" s="1"/>
  <c r="AC22" i="91"/>
  <c r="AG22" i="91" s="1"/>
  <c r="H22" i="91" s="1"/>
  <c r="I22" i="91" s="1"/>
  <c r="J22" i="91" s="1"/>
  <c r="AC21" i="91"/>
  <c r="AC20" i="91"/>
  <c r="AC19" i="91"/>
  <c r="AC18" i="91"/>
  <c r="AC17" i="91"/>
  <c r="AC16" i="91"/>
  <c r="AC15" i="91"/>
  <c r="AA18" i="91"/>
  <c r="AB18" i="91" s="1"/>
  <c r="Z35" i="91"/>
  <c r="AA35" i="91" s="1"/>
  <c r="AB35" i="91" s="1"/>
  <c r="Z34" i="91"/>
  <c r="AA34" i="91" s="1"/>
  <c r="AB34" i="91" s="1"/>
  <c r="Z30" i="91"/>
  <c r="AA30" i="91" s="1"/>
  <c r="AB30" i="91" s="1"/>
  <c r="Z29" i="91"/>
  <c r="AA29" i="91" s="1"/>
  <c r="AB29" i="91" s="1"/>
  <c r="Z28" i="91"/>
  <c r="AA28" i="91" s="1"/>
  <c r="AB28" i="91" s="1"/>
  <c r="Z27" i="91"/>
  <c r="AA27" i="91" s="1"/>
  <c r="AB27" i="91" s="1"/>
  <c r="Z18" i="91"/>
  <c r="Z17" i="91"/>
  <c r="AA17" i="91" s="1"/>
  <c r="AB17" i="91" s="1"/>
  <c r="Z15" i="91"/>
  <c r="AA15" i="91" s="1"/>
  <c r="AB15" i="91" s="1"/>
  <c r="D35" i="91"/>
  <c r="D34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Y34" i="90"/>
  <c r="Y33" i="90"/>
  <c r="Y32" i="90"/>
  <c r="Y31" i="90"/>
  <c r="Y30" i="90"/>
  <c r="Y29" i="90"/>
  <c r="Y28" i="90"/>
  <c r="Y27" i="90"/>
  <c r="Y26" i="90"/>
  <c r="Y25" i="90"/>
  <c r="Y24" i="90"/>
  <c r="Y23" i="90"/>
  <c r="Y22" i="90"/>
  <c r="Y21" i="90"/>
  <c r="Y20" i="90"/>
  <c r="Z20" i="90" s="1"/>
  <c r="Y19" i="90"/>
  <c r="Y18" i="90"/>
  <c r="Y17" i="90"/>
  <c r="Y16" i="90"/>
  <c r="Y15" i="90"/>
  <c r="Y14" i="90"/>
  <c r="X34" i="90"/>
  <c r="X33" i="90"/>
  <c r="X32" i="90"/>
  <c r="X31" i="90"/>
  <c r="X30" i="90"/>
  <c r="X29" i="90"/>
  <c r="X28" i="90"/>
  <c r="X27" i="90"/>
  <c r="X26" i="90"/>
  <c r="X25" i="90"/>
  <c r="X24" i="90"/>
  <c r="X23" i="90"/>
  <c r="X22" i="90"/>
  <c r="X21" i="90"/>
  <c r="X20" i="90"/>
  <c r="X19" i="90"/>
  <c r="X18" i="90"/>
  <c r="X17" i="90"/>
  <c r="X16" i="90"/>
  <c r="X15" i="90"/>
  <c r="X14" i="90"/>
  <c r="W34" i="90"/>
  <c r="Z34" i="90" s="1"/>
  <c r="H34" i="90" s="1"/>
  <c r="I34" i="90" s="1"/>
  <c r="J34" i="90" s="1"/>
  <c r="W33" i="90"/>
  <c r="Z33" i="90" s="1"/>
  <c r="H33" i="90" s="1"/>
  <c r="I33" i="90" s="1"/>
  <c r="J33" i="90" s="1"/>
  <c r="W32" i="90"/>
  <c r="W31" i="90"/>
  <c r="W30" i="90"/>
  <c r="W29" i="90"/>
  <c r="W28" i="90"/>
  <c r="W27" i="90"/>
  <c r="W26" i="90"/>
  <c r="W25" i="90"/>
  <c r="W24" i="90"/>
  <c r="W23" i="90"/>
  <c r="W22" i="90"/>
  <c r="W21" i="90"/>
  <c r="W20" i="90"/>
  <c r="W19" i="90"/>
  <c r="W18" i="90"/>
  <c r="Z18" i="90" s="1"/>
  <c r="H18" i="90" s="1"/>
  <c r="I18" i="90" s="1"/>
  <c r="J18" i="90" s="1"/>
  <c r="W17" i="90"/>
  <c r="Z17" i="90" s="1"/>
  <c r="H17" i="90" s="1"/>
  <c r="I17" i="90" s="1"/>
  <c r="J17" i="90" s="1"/>
  <c r="W16" i="90"/>
  <c r="Z16" i="90" s="1"/>
  <c r="H16" i="90" s="1"/>
  <c r="I16" i="90" s="1"/>
  <c r="J16" i="90" s="1"/>
  <c r="W15" i="90"/>
  <c r="W14" i="90"/>
  <c r="D34" i="90"/>
  <c r="D33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AM36" i="94"/>
  <c r="AM35" i="94"/>
  <c r="AM34" i="94"/>
  <c r="AM33" i="94"/>
  <c r="AM32" i="94"/>
  <c r="AM31" i="94"/>
  <c r="AM30" i="94"/>
  <c r="AM29" i="94"/>
  <c r="AM28" i="94"/>
  <c r="AM27" i="94"/>
  <c r="AM26" i="94"/>
  <c r="AM25" i="94"/>
  <c r="AM24" i="94"/>
  <c r="AM23" i="94"/>
  <c r="AM22" i="94"/>
  <c r="AM21" i="94"/>
  <c r="AM20" i="94"/>
  <c r="AM19" i="94"/>
  <c r="AM18" i="94"/>
  <c r="AM17" i="94"/>
  <c r="AM16" i="94"/>
  <c r="AL36" i="94"/>
  <c r="AL35" i="94"/>
  <c r="AL34" i="94"/>
  <c r="AL33" i="94"/>
  <c r="AL32" i="94"/>
  <c r="AL31" i="94"/>
  <c r="AL30" i="94"/>
  <c r="AL29" i="94"/>
  <c r="AL28" i="94"/>
  <c r="AL27" i="94"/>
  <c r="AL26" i="94"/>
  <c r="AL25" i="94"/>
  <c r="AL24" i="94"/>
  <c r="AL23" i="94"/>
  <c r="AL22" i="94"/>
  <c r="AL21" i="94"/>
  <c r="AL20" i="94"/>
  <c r="AL19" i="94"/>
  <c r="AL18" i="94"/>
  <c r="AL17" i="94"/>
  <c r="AL16" i="94"/>
  <c r="AK36" i="94"/>
  <c r="AK35" i="94"/>
  <c r="AK34" i="94"/>
  <c r="AK33" i="94"/>
  <c r="AK32" i="94"/>
  <c r="AK31" i="94"/>
  <c r="AK30" i="94"/>
  <c r="AK29" i="94"/>
  <c r="AK28" i="94"/>
  <c r="AK27" i="94"/>
  <c r="AK26" i="94"/>
  <c r="AK25" i="94"/>
  <c r="AK24" i="94"/>
  <c r="AK23" i="94"/>
  <c r="AK22" i="94"/>
  <c r="AK21" i="94"/>
  <c r="AK20" i="94"/>
  <c r="AK19" i="94"/>
  <c r="AK18" i="94"/>
  <c r="AK17" i="94"/>
  <c r="AK16" i="94"/>
  <c r="AJ36" i="94"/>
  <c r="AJ35" i="94"/>
  <c r="AJ34" i="94"/>
  <c r="AJ33" i="94"/>
  <c r="AJ32" i="94"/>
  <c r="AJ31" i="94"/>
  <c r="AJ30" i="94"/>
  <c r="AJ29" i="94"/>
  <c r="AJ28" i="94"/>
  <c r="AJ27" i="94"/>
  <c r="AJ26" i="94"/>
  <c r="AJ25" i="94"/>
  <c r="AJ24" i="94"/>
  <c r="AJ23" i="94"/>
  <c r="AJ22" i="94"/>
  <c r="AJ21" i="94"/>
  <c r="AJ20" i="94"/>
  <c r="AJ19" i="94"/>
  <c r="AJ18" i="94"/>
  <c r="AJ17" i="94"/>
  <c r="AJ16" i="94"/>
  <c r="AI36" i="94"/>
  <c r="AI35" i="94"/>
  <c r="AI34" i="94"/>
  <c r="AI33" i="94"/>
  <c r="AI32" i="94"/>
  <c r="AI31" i="94"/>
  <c r="AI30" i="94"/>
  <c r="AI29" i="94"/>
  <c r="AI28" i="94"/>
  <c r="AI27" i="94"/>
  <c r="AI26" i="94"/>
  <c r="AI25" i="94"/>
  <c r="AI24" i="94"/>
  <c r="AI23" i="94"/>
  <c r="AI22" i="94"/>
  <c r="AI21" i="94"/>
  <c r="AI20" i="94"/>
  <c r="AI19" i="94"/>
  <c r="AI18" i="94"/>
  <c r="AI17" i="94"/>
  <c r="AI16" i="94"/>
  <c r="N36" i="94"/>
  <c r="O36" i="94" s="1"/>
  <c r="P36" i="94" s="1"/>
  <c r="N33" i="94"/>
  <c r="O33" i="94" s="1"/>
  <c r="P33" i="94" s="1"/>
  <c r="N32" i="94"/>
  <c r="O32" i="94" s="1"/>
  <c r="P32" i="94" s="1"/>
  <c r="N31" i="94"/>
  <c r="O31" i="94" s="1"/>
  <c r="P31" i="94" s="1"/>
  <c r="N30" i="94"/>
  <c r="O30" i="94" s="1"/>
  <c r="P30" i="94" s="1"/>
  <c r="N29" i="94"/>
  <c r="O29" i="94" s="1"/>
  <c r="P29" i="94" s="1"/>
  <c r="N28" i="94"/>
  <c r="O28" i="94" s="1"/>
  <c r="P28" i="94" s="1"/>
  <c r="N26" i="94"/>
  <c r="O26" i="94" s="1"/>
  <c r="P26" i="94" s="1"/>
  <c r="N22" i="94"/>
  <c r="O22" i="94" s="1"/>
  <c r="P22" i="94" s="1"/>
  <c r="N20" i="94"/>
  <c r="O20" i="94" s="1"/>
  <c r="P20" i="94" s="1"/>
  <c r="N19" i="94"/>
  <c r="O19" i="94" s="1"/>
  <c r="P19" i="94" s="1"/>
  <c r="N16" i="94"/>
  <c r="O16" i="94" s="1"/>
  <c r="P16" i="94" s="1"/>
  <c r="D36" i="94"/>
  <c r="D35" i="94"/>
  <c r="D34" i="94"/>
  <c r="D33" i="94"/>
  <c r="D32" i="94"/>
  <c r="D31" i="94"/>
  <c r="D30" i="94"/>
  <c r="D29" i="94"/>
  <c r="D28" i="94"/>
  <c r="D27" i="94"/>
  <c r="D26" i="94"/>
  <c r="D25" i="94"/>
  <c r="D24" i="94"/>
  <c r="D23" i="94"/>
  <c r="D22" i="94"/>
  <c r="D21" i="94"/>
  <c r="D20" i="94"/>
  <c r="D19" i="94"/>
  <c r="D18" i="94"/>
  <c r="D17" i="94"/>
  <c r="D16" i="94"/>
  <c r="DL47" i="88"/>
  <c r="DL46" i="88"/>
  <c r="DL45" i="88"/>
  <c r="DL44" i="88"/>
  <c r="DL43" i="88"/>
  <c r="DL42" i="88"/>
  <c r="DL41" i="88"/>
  <c r="DL40" i="88"/>
  <c r="DL39" i="88"/>
  <c r="DL38" i="88"/>
  <c r="DL37" i="88"/>
  <c r="DL36" i="88"/>
  <c r="DL35" i="88"/>
  <c r="DL34" i="88"/>
  <c r="DL33" i="88"/>
  <c r="DL32" i="88"/>
  <c r="DL31" i="88"/>
  <c r="DL30" i="88"/>
  <c r="DL29" i="88"/>
  <c r="DL28" i="88"/>
  <c r="DL27" i="88"/>
  <c r="DK47" i="88"/>
  <c r="DK46" i="88"/>
  <c r="DK45" i="88"/>
  <c r="DK44" i="88"/>
  <c r="DK43" i="88"/>
  <c r="DK42" i="88"/>
  <c r="DK41" i="88"/>
  <c r="DK40" i="88"/>
  <c r="DK39" i="88"/>
  <c r="DK38" i="88"/>
  <c r="DK37" i="88"/>
  <c r="DK36" i="88"/>
  <c r="DK35" i="88"/>
  <c r="DK34" i="88"/>
  <c r="DK33" i="88"/>
  <c r="DK32" i="88"/>
  <c r="DK31" i="88"/>
  <c r="DK30" i="88"/>
  <c r="DK29" i="88"/>
  <c r="DK28" i="88"/>
  <c r="DK27" i="88"/>
  <c r="DJ47" i="88"/>
  <c r="DJ46" i="88"/>
  <c r="DJ45" i="88"/>
  <c r="DJ44" i="88"/>
  <c r="DJ43" i="88"/>
  <c r="DJ42" i="88"/>
  <c r="DJ41" i="88"/>
  <c r="DJ40" i="88"/>
  <c r="DJ39" i="88"/>
  <c r="DJ38" i="88"/>
  <c r="DJ37" i="88"/>
  <c r="DJ36" i="88"/>
  <c r="DJ35" i="88"/>
  <c r="DJ34" i="88"/>
  <c r="DJ33" i="88"/>
  <c r="DJ32" i="88"/>
  <c r="DJ31" i="88"/>
  <c r="DJ30" i="88"/>
  <c r="DJ29" i="88"/>
  <c r="DJ28" i="88"/>
  <c r="DJ27" i="88"/>
  <c r="DI47" i="88"/>
  <c r="DI46" i="88"/>
  <c r="DI45" i="88"/>
  <c r="DI44" i="88"/>
  <c r="DI43" i="88"/>
  <c r="DI42" i="88"/>
  <c r="DI41" i="88"/>
  <c r="DI40" i="88"/>
  <c r="DI39" i="88"/>
  <c r="DI38" i="88"/>
  <c r="DI37" i="88"/>
  <c r="DI36" i="88"/>
  <c r="DI35" i="88"/>
  <c r="DI34" i="88"/>
  <c r="DI33" i="88"/>
  <c r="DI32" i="88"/>
  <c r="DI31" i="88"/>
  <c r="DI30" i="88"/>
  <c r="DI29" i="88"/>
  <c r="DI28" i="88"/>
  <c r="DI27" i="88"/>
  <c r="DH47" i="88"/>
  <c r="DH46" i="88"/>
  <c r="DH45" i="88"/>
  <c r="DH44" i="88"/>
  <c r="DH43" i="88"/>
  <c r="DH42" i="88"/>
  <c r="DH41" i="88"/>
  <c r="DH40" i="88"/>
  <c r="DH39" i="88"/>
  <c r="DH38" i="88"/>
  <c r="DH37" i="88"/>
  <c r="DH36" i="88"/>
  <c r="DH35" i="88"/>
  <c r="DH34" i="88"/>
  <c r="DH33" i="88"/>
  <c r="DH32" i="88"/>
  <c r="DH31" i="88"/>
  <c r="DH30" i="88"/>
  <c r="DH29" i="88"/>
  <c r="DH28" i="88"/>
  <c r="DH27" i="88"/>
  <c r="DG47" i="88"/>
  <c r="DG46" i="88"/>
  <c r="DG45" i="88"/>
  <c r="DG44" i="88"/>
  <c r="DG43" i="88"/>
  <c r="DG42" i="88"/>
  <c r="DG41" i="88"/>
  <c r="DG40" i="88"/>
  <c r="DG39" i="88"/>
  <c r="DG38" i="88"/>
  <c r="DG37" i="88"/>
  <c r="DG36" i="88"/>
  <c r="DG35" i="88"/>
  <c r="DG34" i="88"/>
  <c r="DG33" i="88"/>
  <c r="DG32" i="88"/>
  <c r="DG31" i="88"/>
  <c r="DG30" i="88"/>
  <c r="DG29" i="88"/>
  <c r="DG28" i="88"/>
  <c r="DG27" i="88"/>
  <c r="DF47" i="88"/>
  <c r="DF46" i="88"/>
  <c r="DF45" i="88"/>
  <c r="DF44" i="88"/>
  <c r="DF43" i="88"/>
  <c r="DF42" i="88"/>
  <c r="DF41" i="88"/>
  <c r="DF40" i="88"/>
  <c r="DF39" i="88"/>
  <c r="DF38" i="88"/>
  <c r="DF37" i="88"/>
  <c r="DF36" i="88"/>
  <c r="DF35" i="88"/>
  <c r="DF34" i="88"/>
  <c r="DF33" i="88"/>
  <c r="DF32" i="88"/>
  <c r="DF31" i="88"/>
  <c r="DF30" i="88"/>
  <c r="DF29" i="88"/>
  <c r="DF28" i="88"/>
  <c r="DF27" i="88"/>
  <c r="DE47" i="88"/>
  <c r="DE46" i="88"/>
  <c r="DE45" i="88"/>
  <c r="DE44" i="88"/>
  <c r="DE43" i="88"/>
  <c r="DE42" i="88"/>
  <c r="DE41" i="88"/>
  <c r="DE40" i="88"/>
  <c r="DE39" i="88"/>
  <c r="DE38" i="88"/>
  <c r="DE37" i="88"/>
  <c r="DE36" i="88"/>
  <c r="DE35" i="88"/>
  <c r="DE34" i="88"/>
  <c r="DE33" i="88"/>
  <c r="DE32" i="88"/>
  <c r="DE31" i="88"/>
  <c r="DE30" i="88"/>
  <c r="DE29" i="88"/>
  <c r="DE28" i="88"/>
  <c r="DE27" i="88"/>
  <c r="DD47" i="88"/>
  <c r="DD46" i="88"/>
  <c r="DD45" i="88"/>
  <c r="DD44" i="88"/>
  <c r="DD43" i="88"/>
  <c r="DD42" i="88"/>
  <c r="DD41" i="88"/>
  <c r="DD40" i="88"/>
  <c r="DD39" i="88"/>
  <c r="DD38" i="88"/>
  <c r="DD37" i="88"/>
  <c r="DD36" i="88"/>
  <c r="DD35" i="88"/>
  <c r="DD34" i="88"/>
  <c r="DD33" i="88"/>
  <c r="DD32" i="88"/>
  <c r="DD31" i="88"/>
  <c r="DD30" i="88"/>
  <c r="DD29" i="88"/>
  <c r="DD28" i="88"/>
  <c r="DD27" i="88"/>
  <c r="DC47" i="88"/>
  <c r="DC46" i="88"/>
  <c r="DC45" i="88"/>
  <c r="DC44" i="88"/>
  <c r="DC43" i="88"/>
  <c r="DC42" i="88"/>
  <c r="DC41" i="88"/>
  <c r="DC40" i="88"/>
  <c r="DC39" i="88"/>
  <c r="DC38" i="88"/>
  <c r="DC37" i="88"/>
  <c r="DC36" i="88"/>
  <c r="DC35" i="88"/>
  <c r="DC34" i="88"/>
  <c r="DC33" i="88"/>
  <c r="DC32" i="88"/>
  <c r="DC31" i="88"/>
  <c r="DC30" i="88"/>
  <c r="DC29" i="88"/>
  <c r="DC28" i="88"/>
  <c r="DC27" i="88"/>
  <c r="DB47" i="88"/>
  <c r="DB46" i="88"/>
  <c r="DB45" i="88"/>
  <c r="DB44" i="88"/>
  <c r="DB43" i="88"/>
  <c r="DB42" i="88"/>
  <c r="DB41" i="88"/>
  <c r="DB40" i="88"/>
  <c r="DB39" i="88"/>
  <c r="DB38" i="88"/>
  <c r="DB37" i="88"/>
  <c r="DB36" i="88"/>
  <c r="DB35" i="88"/>
  <c r="DB34" i="88"/>
  <c r="DB33" i="88"/>
  <c r="DB32" i="88"/>
  <c r="DB31" i="88"/>
  <c r="DB30" i="88"/>
  <c r="DB29" i="88"/>
  <c r="DB28" i="88"/>
  <c r="DB27" i="88"/>
  <c r="DA47" i="88"/>
  <c r="DA46" i="88"/>
  <c r="DA45" i="88"/>
  <c r="DA44" i="88"/>
  <c r="DA43" i="88"/>
  <c r="DA42" i="88"/>
  <c r="DA41" i="88"/>
  <c r="DA40" i="88"/>
  <c r="DA39" i="88"/>
  <c r="DA38" i="88"/>
  <c r="DA37" i="88"/>
  <c r="DA36" i="88"/>
  <c r="DA35" i="88"/>
  <c r="DA34" i="88"/>
  <c r="DA33" i="88"/>
  <c r="DA32" i="88"/>
  <c r="DA31" i="88"/>
  <c r="DA30" i="88"/>
  <c r="DA29" i="88"/>
  <c r="DA28" i="88"/>
  <c r="DA27" i="88"/>
  <c r="CZ47" i="88"/>
  <c r="CZ46" i="88"/>
  <c r="CZ45" i="88"/>
  <c r="CZ44" i="88"/>
  <c r="CZ43" i="88"/>
  <c r="CZ42" i="88"/>
  <c r="CZ41" i="88"/>
  <c r="CZ40" i="88"/>
  <c r="CZ39" i="88"/>
  <c r="CZ38" i="88"/>
  <c r="CZ37" i="88"/>
  <c r="CZ36" i="88"/>
  <c r="CZ35" i="88"/>
  <c r="CZ34" i="88"/>
  <c r="CZ33" i="88"/>
  <c r="CZ32" i="88"/>
  <c r="CZ31" i="88"/>
  <c r="CZ30" i="88"/>
  <c r="CZ29" i="88"/>
  <c r="CZ28" i="88"/>
  <c r="CZ27" i="88"/>
  <c r="CY47" i="88"/>
  <c r="CY46" i="88"/>
  <c r="CY45" i="88"/>
  <c r="CY44" i="88"/>
  <c r="CY43" i="88"/>
  <c r="CY42" i="88"/>
  <c r="CY41" i="88"/>
  <c r="CY40" i="88"/>
  <c r="CY39" i="88"/>
  <c r="CY38" i="88"/>
  <c r="CY37" i="88"/>
  <c r="CY36" i="88"/>
  <c r="CY35" i="88"/>
  <c r="CY34" i="88"/>
  <c r="CY33" i="88"/>
  <c r="CY32" i="88"/>
  <c r="CY31" i="88"/>
  <c r="CY30" i="88"/>
  <c r="CY29" i="88"/>
  <c r="CY28" i="88"/>
  <c r="CY27" i="88"/>
  <c r="CX47" i="88"/>
  <c r="CX46" i="88"/>
  <c r="CX45" i="88"/>
  <c r="CX44" i="88"/>
  <c r="CX43" i="88"/>
  <c r="CX42" i="88"/>
  <c r="CX41" i="88"/>
  <c r="CX40" i="88"/>
  <c r="CX39" i="88"/>
  <c r="CX38" i="88"/>
  <c r="CX37" i="88"/>
  <c r="CX36" i="88"/>
  <c r="CX35" i="88"/>
  <c r="CX34" i="88"/>
  <c r="CX33" i="88"/>
  <c r="CX32" i="88"/>
  <c r="CX31" i="88"/>
  <c r="CX30" i="88"/>
  <c r="CX29" i="88"/>
  <c r="CX28" i="88"/>
  <c r="CX27" i="88"/>
  <c r="CW47" i="88"/>
  <c r="CW46" i="88"/>
  <c r="CW45" i="88"/>
  <c r="CW44" i="88"/>
  <c r="CW43" i="88"/>
  <c r="CW42" i="88"/>
  <c r="CW41" i="88"/>
  <c r="CW40" i="88"/>
  <c r="CW39" i="88"/>
  <c r="CW38" i="88"/>
  <c r="CW37" i="88"/>
  <c r="CW36" i="88"/>
  <c r="CW35" i="88"/>
  <c r="CW34" i="88"/>
  <c r="CW33" i="88"/>
  <c r="CW32" i="88"/>
  <c r="CW31" i="88"/>
  <c r="CW30" i="88"/>
  <c r="CW29" i="88"/>
  <c r="CW28" i="88"/>
  <c r="CW27" i="88"/>
  <c r="CN47" i="88"/>
  <c r="CO47" i="88" s="1"/>
  <c r="CP47" i="88" s="1"/>
  <c r="CN46" i="88"/>
  <c r="CO46" i="88" s="1"/>
  <c r="CP46" i="88" s="1"/>
  <c r="CN42" i="88"/>
  <c r="CO42" i="88" s="1"/>
  <c r="CP42" i="88" s="1"/>
  <c r="CN41" i="88"/>
  <c r="CO41" i="88" s="1"/>
  <c r="CP41" i="88" s="1"/>
  <c r="CN40" i="88"/>
  <c r="CO40" i="88" s="1"/>
  <c r="CP40" i="88" s="1"/>
  <c r="CN39" i="88"/>
  <c r="CO39" i="88" s="1"/>
  <c r="CP39" i="88" s="1"/>
  <c r="CN30" i="88"/>
  <c r="CO30" i="88" s="1"/>
  <c r="CP30" i="88" s="1"/>
  <c r="CN29" i="88"/>
  <c r="CO29" i="88" s="1"/>
  <c r="CP29" i="88" s="1"/>
  <c r="CN27" i="88"/>
  <c r="CO27" i="88" s="1"/>
  <c r="CP27" i="88" s="1"/>
  <c r="BV47" i="88"/>
  <c r="BW47" i="88" s="1"/>
  <c r="BX47" i="88" s="1"/>
  <c r="BV30" i="88"/>
  <c r="BW30" i="88" s="1"/>
  <c r="BX30" i="88" s="1"/>
  <c r="BV27" i="88"/>
  <c r="BW27" i="88" s="1"/>
  <c r="BX27" i="88" s="1"/>
  <c r="BP47" i="88"/>
  <c r="BQ47" i="88" s="1"/>
  <c r="BR47" i="88" s="1"/>
  <c r="BP30" i="88"/>
  <c r="BQ30" i="88" s="1"/>
  <c r="BR30" i="88" s="1"/>
  <c r="BP27" i="88"/>
  <c r="BQ27" i="88" s="1"/>
  <c r="BR27" i="88" s="1"/>
  <c r="D47" i="88"/>
  <c r="D46" i="88"/>
  <c r="D45" i="88"/>
  <c r="D44" i="88"/>
  <c r="D43" i="88"/>
  <c r="D42" i="88"/>
  <c r="D41" i="88"/>
  <c r="D40" i="88"/>
  <c r="D39" i="88"/>
  <c r="D38" i="88"/>
  <c r="D37" i="88"/>
  <c r="D36" i="88"/>
  <c r="D35" i="88"/>
  <c r="D34" i="88"/>
  <c r="D33" i="88"/>
  <c r="D32" i="88"/>
  <c r="D31" i="88"/>
  <c r="D30" i="88"/>
  <c r="D29" i="88"/>
  <c r="D28" i="88"/>
  <c r="D27" i="88"/>
  <c r="AU24" i="96" l="1"/>
  <c r="H24" i="96" s="1"/>
  <c r="I24" i="96" s="1"/>
  <c r="J24" i="96" s="1"/>
  <c r="AU27" i="96"/>
  <c r="H27" i="96" s="1"/>
  <c r="I27" i="96" s="1"/>
  <c r="J27" i="96" s="1"/>
  <c r="AU30" i="96"/>
  <c r="AF30" i="96" s="1"/>
  <c r="AG30" i="96" s="1"/>
  <c r="AH30" i="96" s="1"/>
  <c r="AU34" i="96"/>
  <c r="AU28" i="96"/>
  <c r="AF28" i="96" s="1"/>
  <c r="AG28" i="96" s="1"/>
  <c r="AH28" i="96" s="1"/>
  <c r="H28" i="96"/>
  <c r="I28" i="96" s="1"/>
  <c r="J28" i="96" s="1"/>
  <c r="T28" i="96"/>
  <c r="U28" i="96" s="1"/>
  <c r="V28" i="96" s="1"/>
  <c r="AL28" i="96"/>
  <c r="AM28" i="96" s="1"/>
  <c r="AN28" i="96" s="1"/>
  <c r="Z28" i="96"/>
  <c r="AA28" i="96" s="1"/>
  <c r="AB28" i="96" s="1"/>
  <c r="N28" i="96"/>
  <c r="O28" i="96" s="1"/>
  <c r="P28" i="96" s="1"/>
  <c r="AU37" i="96"/>
  <c r="H37" i="96" s="1"/>
  <c r="I37" i="96" s="1"/>
  <c r="J37" i="96" s="1"/>
  <c r="T37" i="96"/>
  <c r="U37" i="96" s="1"/>
  <c r="V37" i="96" s="1"/>
  <c r="AU36" i="96"/>
  <c r="Z36" i="96" s="1"/>
  <c r="AA36" i="96" s="1"/>
  <c r="AB36" i="96" s="1"/>
  <c r="AF36" i="96"/>
  <c r="AG36" i="96" s="1"/>
  <c r="AH36" i="96" s="1"/>
  <c r="T36" i="96"/>
  <c r="U36" i="96" s="1"/>
  <c r="V36" i="96" s="1"/>
  <c r="AU35" i="96"/>
  <c r="N35" i="96" s="1"/>
  <c r="O35" i="96" s="1"/>
  <c r="P35" i="96" s="1"/>
  <c r="Z35" i="96"/>
  <c r="AA35" i="96" s="1"/>
  <c r="AB35" i="96" s="1"/>
  <c r="H35" i="96"/>
  <c r="I35" i="96" s="1"/>
  <c r="J35" i="96" s="1"/>
  <c r="T35" i="96"/>
  <c r="U35" i="96" s="1"/>
  <c r="V35" i="96" s="1"/>
  <c r="N34" i="96"/>
  <c r="O34" i="96" s="1"/>
  <c r="P34" i="96" s="1"/>
  <c r="T34" i="96"/>
  <c r="U34" i="96" s="1"/>
  <c r="V34" i="96" s="1"/>
  <c r="Z34" i="96"/>
  <c r="AA34" i="96" s="1"/>
  <c r="AB34" i="96" s="1"/>
  <c r="AF34" i="96"/>
  <c r="AG34" i="96" s="1"/>
  <c r="AH34" i="96" s="1"/>
  <c r="H34" i="96"/>
  <c r="I34" i="96" s="1"/>
  <c r="J34" i="96" s="1"/>
  <c r="AL34" i="96"/>
  <c r="AM34" i="96" s="1"/>
  <c r="AN34" i="96" s="1"/>
  <c r="AU33" i="96"/>
  <c r="H33" i="96" s="1"/>
  <c r="I33" i="96" s="1"/>
  <c r="J33" i="96" s="1"/>
  <c r="AU32" i="96"/>
  <c r="T32" i="96" s="1"/>
  <c r="U32" i="96" s="1"/>
  <c r="V32" i="96" s="1"/>
  <c r="AU31" i="96"/>
  <c r="H31" i="96" s="1"/>
  <c r="I31" i="96" s="1"/>
  <c r="J31" i="96" s="1"/>
  <c r="Z31" i="96"/>
  <c r="AA31" i="96" s="1"/>
  <c r="AB31" i="96" s="1"/>
  <c r="AL31" i="96"/>
  <c r="AM31" i="96" s="1"/>
  <c r="AN31" i="96" s="1"/>
  <c r="T31" i="96"/>
  <c r="U31" i="96" s="1"/>
  <c r="V31" i="96" s="1"/>
  <c r="N31" i="96"/>
  <c r="O31" i="96" s="1"/>
  <c r="P31" i="96" s="1"/>
  <c r="AF31" i="96"/>
  <c r="AG31" i="96" s="1"/>
  <c r="AH31" i="96" s="1"/>
  <c r="T30" i="96"/>
  <c r="U30" i="96" s="1"/>
  <c r="V30" i="96" s="1"/>
  <c r="Z30" i="96"/>
  <c r="AA30" i="96" s="1"/>
  <c r="AB30" i="96" s="1"/>
  <c r="H30" i="96"/>
  <c r="I30" i="96" s="1"/>
  <c r="J30" i="96" s="1"/>
  <c r="AL30" i="96"/>
  <c r="AM30" i="96" s="1"/>
  <c r="AN30" i="96" s="1"/>
  <c r="N30" i="96"/>
  <c r="O30" i="96" s="1"/>
  <c r="P30" i="96" s="1"/>
  <c r="AU29" i="96"/>
  <c r="Z29" i="96" s="1"/>
  <c r="AA29" i="96" s="1"/>
  <c r="AB29" i="96" s="1"/>
  <c r="N29" i="96"/>
  <c r="O29" i="96" s="1"/>
  <c r="P29" i="96" s="1"/>
  <c r="AL27" i="96"/>
  <c r="AM27" i="96" s="1"/>
  <c r="AN27" i="96" s="1"/>
  <c r="T27" i="96"/>
  <c r="U27" i="96" s="1"/>
  <c r="V27" i="96" s="1"/>
  <c r="Z27" i="96"/>
  <c r="AA27" i="96" s="1"/>
  <c r="AB27" i="96" s="1"/>
  <c r="AF27" i="96"/>
  <c r="AG27" i="96" s="1"/>
  <c r="AH27" i="96" s="1"/>
  <c r="N27" i="96"/>
  <c r="O27" i="96" s="1"/>
  <c r="P27" i="96" s="1"/>
  <c r="C27" i="96" s="1"/>
  <c r="AU26" i="96"/>
  <c r="AL26" i="96" s="1"/>
  <c r="AM26" i="96" s="1"/>
  <c r="AN26" i="96" s="1"/>
  <c r="Z26" i="96"/>
  <c r="AA26" i="96" s="1"/>
  <c r="AB26" i="96" s="1"/>
  <c r="H26" i="96"/>
  <c r="I26" i="96" s="1"/>
  <c r="J26" i="96" s="1"/>
  <c r="AU25" i="96"/>
  <c r="T25" i="96" s="1"/>
  <c r="U25" i="96" s="1"/>
  <c r="V25" i="96" s="1"/>
  <c r="AL25" i="96"/>
  <c r="AM25" i="96" s="1"/>
  <c r="AN25" i="96" s="1"/>
  <c r="N25" i="96"/>
  <c r="O25" i="96" s="1"/>
  <c r="P25" i="96" s="1"/>
  <c r="AF24" i="96"/>
  <c r="AG24" i="96" s="1"/>
  <c r="AH24" i="96" s="1"/>
  <c r="Z24" i="96"/>
  <c r="AA24" i="96" s="1"/>
  <c r="AB24" i="96" s="1"/>
  <c r="N24" i="96"/>
  <c r="O24" i="96" s="1"/>
  <c r="P24" i="96" s="1"/>
  <c r="T24" i="96"/>
  <c r="U24" i="96" s="1"/>
  <c r="V24" i="96" s="1"/>
  <c r="AL24" i="96"/>
  <c r="AM24" i="96" s="1"/>
  <c r="AN24" i="96" s="1"/>
  <c r="AU23" i="96"/>
  <c r="AF23" i="96" s="1"/>
  <c r="AG23" i="96" s="1"/>
  <c r="AH23" i="96" s="1"/>
  <c r="AU22" i="96"/>
  <c r="H22" i="96" s="1"/>
  <c r="I22" i="96" s="1"/>
  <c r="J22" i="96" s="1"/>
  <c r="AF22" i="96"/>
  <c r="AG22" i="96" s="1"/>
  <c r="AH22" i="96" s="1"/>
  <c r="T22" i="96"/>
  <c r="U22" i="96" s="1"/>
  <c r="V22" i="96" s="1"/>
  <c r="Z22" i="96"/>
  <c r="AA22" i="96" s="1"/>
  <c r="AB22" i="96" s="1"/>
  <c r="AL22" i="96"/>
  <c r="AM22" i="96" s="1"/>
  <c r="AN22" i="96" s="1"/>
  <c r="AU21" i="96"/>
  <c r="T21" i="96" s="1"/>
  <c r="U21" i="96" s="1"/>
  <c r="V21" i="96" s="1"/>
  <c r="Z21" i="96"/>
  <c r="AA21" i="96" s="1"/>
  <c r="AB21" i="96" s="1"/>
  <c r="AF21" i="96"/>
  <c r="AG21" i="96" s="1"/>
  <c r="AH21" i="96" s="1"/>
  <c r="AU20" i="96"/>
  <c r="T20" i="96" s="1"/>
  <c r="U20" i="96" s="1"/>
  <c r="V20" i="96" s="1"/>
  <c r="Z20" i="96"/>
  <c r="AA20" i="96" s="1"/>
  <c r="AB20" i="96" s="1"/>
  <c r="AF20" i="96"/>
  <c r="AG20" i="96" s="1"/>
  <c r="AH20" i="96" s="1"/>
  <c r="H20" i="96"/>
  <c r="I20" i="96" s="1"/>
  <c r="J20" i="96" s="1"/>
  <c r="AL20" i="96"/>
  <c r="AM20" i="96" s="1"/>
  <c r="AN20" i="96" s="1"/>
  <c r="AU19" i="96"/>
  <c r="T19" i="96" s="1"/>
  <c r="U19" i="96" s="1"/>
  <c r="V19" i="96" s="1"/>
  <c r="AL19" i="96"/>
  <c r="AM19" i="96" s="1"/>
  <c r="AN19" i="96" s="1"/>
  <c r="H19" i="96"/>
  <c r="I19" i="96" s="1"/>
  <c r="J19" i="96" s="1"/>
  <c r="Z19" i="96"/>
  <c r="AA19" i="96" s="1"/>
  <c r="AB19" i="96" s="1"/>
  <c r="N19" i="96"/>
  <c r="O19" i="96" s="1"/>
  <c r="P19" i="96" s="1"/>
  <c r="AU18" i="96"/>
  <c r="AL18" i="96" s="1"/>
  <c r="AM18" i="96" s="1"/>
  <c r="AN18" i="96" s="1"/>
  <c r="AU17" i="96"/>
  <c r="H17" i="96" s="1"/>
  <c r="I17" i="96" s="1"/>
  <c r="J17" i="96" s="1"/>
  <c r="S20" i="93"/>
  <c r="H20" i="93" s="1"/>
  <c r="I20" i="93" s="1"/>
  <c r="J20" i="93" s="1"/>
  <c r="S25" i="93"/>
  <c r="S28" i="93"/>
  <c r="N28" i="93" s="1"/>
  <c r="O28" i="93" s="1"/>
  <c r="P28" i="93" s="1"/>
  <c r="S29" i="93"/>
  <c r="H29" i="93" s="1"/>
  <c r="I29" i="93" s="1"/>
  <c r="J29" i="93" s="1"/>
  <c r="C29" i="93" s="1"/>
  <c r="N26" i="93"/>
  <c r="O26" i="93" s="1"/>
  <c r="P26" i="93" s="1"/>
  <c r="C26" i="93" s="1"/>
  <c r="S21" i="93"/>
  <c r="H21" i="93" s="1"/>
  <c r="I21" i="93" s="1"/>
  <c r="J21" i="93" s="1"/>
  <c r="S22" i="93"/>
  <c r="H22" i="93" s="1"/>
  <c r="I22" i="93" s="1"/>
  <c r="J22" i="93" s="1"/>
  <c r="S27" i="93"/>
  <c r="H27" i="93" s="1"/>
  <c r="I27" i="93" s="1"/>
  <c r="J27" i="93" s="1"/>
  <c r="S23" i="93"/>
  <c r="H23" i="93" s="1"/>
  <c r="I23" i="93" s="1"/>
  <c r="J23" i="93" s="1"/>
  <c r="S18" i="93"/>
  <c r="N24" i="93"/>
  <c r="O24" i="93" s="1"/>
  <c r="P24" i="93" s="1"/>
  <c r="C24" i="93" s="1"/>
  <c r="N33" i="93"/>
  <c r="O33" i="93" s="1"/>
  <c r="P33" i="93" s="1"/>
  <c r="C33" i="93" s="1"/>
  <c r="N32" i="93"/>
  <c r="O32" i="93" s="1"/>
  <c r="P32" i="93" s="1"/>
  <c r="C32" i="93" s="1"/>
  <c r="N31" i="93"/>
  <c r="O31" i="93" s="1"/>
  <c r="P31" i="93" s="1"/>
  <c r="C31" i="93" s="1"/>
  <c r="N30" i="93"/>
  <c r="O30" i="93" s="1"/>
  <c r="P30" i="93" s="1"/>
  <c r="C30" i="93" s="1"/>
  <c r="N29" i="93"/>
  <c r="O29" i="93" s="1"/>
  <c r="P29" i="93" s="1"/>
  <c r="N21" i="93"/>
  <c r="O21" i="93" s="1"/>
  <c r="P21" i="93" s="1"/>
  <c r="N20" i="93"/>
  <c r="O20" i="93" s="1"/>
  <c r="P20" i="93" s="1"/>
  <c r="C20" i="93" s="1"/>
  <c r="N19" i="93"/>
  <c r="O19" i="93" s="1"/>
  <c r="P19" i="93" s="1"/>
  <c r="H19" i="93"/>
  <c r="I19" i="93" s="1"/>
  <c r="J19" i="93" s="1"/>
  <c r="C19" i="93" s="1"/>
  <c r="H18" i="93"/>
  <c r="I18" i="93" s="1"/>
  <c r="J18" i="93" s="1"/>
  <c r="N18" i="93"/>
  <c r="O18" i="93" s="1"/>
  <c r="P18" i="93" s="1"/>
  <c r="C17" i="93"/>
  <c r="N16" i="93"/>
  <c r="O16" i="93" s="1"/>
  <c r="P16" i="93" s="1"/>
  <c r="C16" i="93" s="1"/>
  <c r="N15" i="93"/>
  <c r="O15" i="93" s="1"/>
  <c r="P15" i="93" s="1"/>
  <c r="C15" i="93" s="1"/>
  <c r="N14" i="93"/>
  <c r="O14" i="93" s="1"/>
  <c r="P14" i="93" s="1"/>
  <c r="C14" i="93" s="1"/>
  <c r="N13" i="93"/>
  <c r="O13" i="93" s="1"/>
  <c r="P13" i="93" s="1"/>
  <c r="C13" i="93" s="1"/>
  <c r="S19" i="92"/>
  <c r="H19" i="92" s="1"/>
  <c r="I19" i="92" s="1"/>
  <c r="J19" i="92" s="1"/>
  <c r="S20" i="92"/>
  <c r="H27" i="92"/>
  <c r="I27" i="92" s="1"/>
  <c r="J27" i="92" s="1"/>
  <c r="N27" i="92"/>
  <c r="O27" i="92" s="1"/>
  <c r="P27" i="92" s="1"/>
  <c r="N20" i="92"/>
  <c r="O20" i="92" s="1"/>
  <c r="P20" i="92" s="1"/>
  <c r="H20" i="92"/>
  <c r="I20" i="92" s="1"/>
  <c r="J20" i="92" s="1"/>
  <c r="S18" i="92"/>
  <c r="N16" i="92"/>
  <c r="O16" i="92" s="1"/>
  <c r="P16" i="92" s="1"/>
  <c r="S30" i="92"/>
  <c r="H30" i="92" s="1"/>
  <c r="I30" i="92" s="1"/>
  <c r="J30" i="92" s="1"/>
  <c r="S22" i="92"/>
  <c r="H22" i="92" s="1"/>
  <c r="I22" i="92" s="1"/>
  <c r="J22" i="92" s="1"/>
  <c r="N17" i="92"/>
  <c r="O17" i="92" s="1"/>
  <c r="P17" i="92" s="1"/>
  <c r="S25" i="92"/>
  <c r="S24" i="92"/>
  <c r="N33" i="92"/>
  <c r="O33" i="92" s="1"/>
  <c r="P33" i="92" s="1"/>
  <c r="C33" i="92" s="1"/>
  <c r="N32" i="92"/>
  <c r="O32" i="92" s="1"/>
  <c r="P32" i="92" s="1"/>
  <c r="C32" i="92" s="1"/>
  <c r="N31" i="92"/>
  <c r="O31" i="92" s="1"/>
  <c r="P31" i="92" s="1"/>
  <c r="C31" i="92" s="1"/>
  <c r="S29" i="92"/>
  <c r="S28" i="92"/>
  <c r="C27" i="92"/>
  <c r="S26" i="92"/>
  <c r="S23" i="92"/>
  <c r="H21" i="92"/>
  <c r="I21" i="92" s="1"/>
  <c r="J21" i="92" s="1"/>
  <c r="N21" i="92"/>
  <c r="O21" i="92" s="1"/>
  <c r="P21" i="92" s="1"/>
  <c r="C20" i="92"/>
  <c r="N19" i="92"/>
  <c r="O19" i="92" s="1"/>
  <c r="P19" i="92" s="1"/>
  <c r="C19" i="92" s="1"/>
  <c r="H18" i="92"/>
  <c r="I18" i="92" s="1"/>
  <c r="J18" i="92" s="1"/>
  <c r="N18" i="92"/>
  <c r="O18" i="92" s="1"/>
  <c r="P18" i="92" s="1"/>
  <c r="C17" i="92"/>
  <c r="C16" i="92"/>
  <c r="N15" i="92"/>
  <c r="O15" i="92" s="1"/>
  <c r="P15" i="92" s="1"/>
  <c r="C15" i="92" s="1"/>
  <c r="N14" i="92"/>
  <c r="O14" i="92" s="1"/>
  <c r="P14" i="92" s="1"/>
  <c r="C14" i="92" s="1"/>
  <c r="N13" i="92"/>
  <c r="O13" i="92" s="1"/>
  <c r="P13" i="92" s="1"/>
  <c r="C13" i="92" s="1"/>
  <c r="N23" i="91"/>
  <c r="O23" i="91" s="1"/>
  <c r="P23" i="91" s="1"/>
  <c r="H23" i="91"/>
  <c r="I23" i="91" s="1"/>
  <c r="J23" i="91" s="1"/>
  <c r="AG27" i="91"/>
  <c r="T27" i="91" s="1"/>
  <c r="U27" i="91" s="1"/>
  <c r="V27" i="91" s="1"/>
  <c r="AG29" i="91"/>
  <c r="T29" i="91" s="1"/>
  <c r="U29" i="91" s="1"/>
  <c r="V29" i="91" s="1"/>
  <c r="AG28" i="91"/>
  <c r="T28" i="91" s="1"/>
  <c r="U28" i="91" s="1"/>
  <c r="V28" i="91" s="1"/>
  <c r="AG26" i="91"/>
  <c r="T26" i="91"/>
  <c r="U26" i="91" s="1"/>
  <c r="V26" i="91" s="1"/>
  <c r="N26" i="91"/>
  <c r="O26" i="91" s="1"/>
  <c r="P26" i="91" s="1"/>
  <c r="AG35" i="91"/>
  <c r="T35" i="91" s="1"/>
  <c r="U35" i="91" s="1"/>
  <c r="V35" i="91" s="1"/>
  <c r="AG34" i="91"/>
  <c r="N34" i="91"/>
  <c r="O34" i="91" s="1"/>
  <c r="P34" i="91" s="1"/>
  <c r="AG33" i="91"/>
  <c r="Z33" i="91" s="1"/>
  <c r="AA33" i="91" s="1"/>
  <c r="AB33" i="91" s="1"/>
  <c r="N33" i="91"/>
  <c r="O33" i="91" s="1"/>
  <c r="P33" i="91" s="1"/>
  <c r="AG32" i="91"/>
  <c r="Z32" i="91" s="1"/>
  <c r="AA32" i="91" s="1"/>
  <c r="AB32" i="91" s="1"/>
  <c r="AG31" i="91"/>
  <c r="N31" i="91" s="1"/>
  <c r="O31" i="91" s="1"/>
  <c r="P31" i="91" s="1"/>
  <c r="T31" i="91"/>
  <c r="U31" i="91" s="1"/>
  <c r="V31" i="91" s="1"/>
  <c r="AG30" i="91"/>
  <c r="H30" i="91" s="1"/>
  <c r="I30" i="91" s="1"/>
  <c r="J30" i="91" s="1"/>
  <c r="T30" i="91"/>
  <c r="U30" i="91" s="1"/>
  <c r="V30" i="91" s="1"/>
  <c r="N30" i="91"/>
  <c r="O30" i="91" s="1"/>
  <c r="P30" i="91" s="1"/>
  <c r="H29" i="91"/>
  <c r="I29" i="91" s="1"/>
  <c r="J29" i="91" s="1"/>
  <c r="N29" i="91"/>
  <c r="O29" i="91" s="1"/>
  <c r="P29" i="91" s="1"/>
  <c r="H28" i="91"/>
  <c r="I28" i="91" s="1"/>
  <c r="J28" i="91" s="1"/>
  <c r="N28" i="91"/>
  <c r="O28" i="91" s="1"/>
  <c r="P28" i="91" s="1"/>
  <c r="H27" i="91"/>
  <c r="I27" i="91" s="1"/>
  <c r="J27" i="91" s="1"/>
  <c r="N27" i="91"/>
  <c r="O27" i="91" s="1"/>
  <c r="P27" i="91" s="1"/>
  <c r="AG25" i="91"/>
  <c r="Z25" i="91" s="1"/>
  <c r="AA25" i="91" s="1"/>
  <c r="AB25" i="91" s="1"/>
  <c r="N24" i="91"/>
  <c r="O24" i="91" s="1"/>
  <c r="P24" i="91" s="1"/>
  <c r="T24" i="91"/>
  <c r="U24" i="91" s="1"/>
  <c r="V24" i="91" s="1"/>
  <c r="Z24" i="91"/>
  <c r="AA24" i="91" s="1"/>
  <c r="AB24" i="91" s="1"/>
  <c r="H24" i="91"/>
  <c r="I24" i="91" s="1"/>
  <c r="J24" i="91" s="1"/>
  <c r="C24" i="91" s="1"/>
  <c r="Z23" i="91"/>
  <c r="AA23" i="91" s="1"/>
  <c r="AB23" i="91" s="1"/>
  <c r="T23" i="91"/>
  <c r="U23" i="91" s="1"/>
  <c r="V23" i="91" s="1"/>
  <c r="Z22" i="91"/>
  <c r="AA22" i="91" s="1"/>
  <c r="AB22" i="91" s="1"/>
  <c r="T22" i="91"/>
  <c r="U22" i="91" s="1"/>
  <c r="V22" i="91" s="1"/>
  <c r="N22" i="91"/>
  <c r="O22" i="91" s="1"/>
  <c r="P22" i="91" s="1"/>
  <c r="C22" i="91" s="1"/>
  <c r="Z21" i="91"/>
  <c r="AA21" i="91" s="1"/>
  <c r="AB21" i="91" s="1"/>
  <c r="T21" i="91"/>
  <c r="U21" i="91" s="1"/>
  <c r="V21" i="91" s="1"/>
  <c r="N21" i="91"/>
  <c r="O21" i="91" s="1"/>
  <c r="P21" i="91" s="1"/>
  <c r="C21" i="91" s="1"/>
  <c r="AG20" i="91"/>
  <c r="T20" i="91"/>
  <c r="U20" i="91" s="1"/>
  <c r="V20" i="91" s="1"/>
  <c r="N20" i="91"/>
  <c r="O20" i="91" s="1"/>
  <c r="P20" i="91" s="1"/>
  <c r="AG19" i="91"/>
  <c r="AG18" i="91"/>
  <c r="T18" i="91" s="1"/>
  <c r="U18" i="91" s="1"/>
  <c r="V18" i="91" s="1"/>
  <c r="AG17" i="91"/>
  <c r="T17" i="91" s="1"/>
  <c r="U17" i="91" s="1"/>
  <c r="V17" i="91" s="1"/>
  <c r="AG16" i="91"/>
  <c r="Z16" i="91" s="1"/>
  <c r="AA16" i="91" s="1"/>
  <c r="AB16" i="91" s="1"/>
  <c r="AG15" i="91"/>
  <c r="Z21" i="90"/>
  <c r="H21" i="90" s="1"/>
  <c r="I21" i="90" s="1"/>
  <c r="J21" i="90" s="1"/>
  <c r="Z32" i="90"/>
  <c r="T32" i="90" s="1"/>
  <c r="U32" i="90" s="1"/>
  <c r="V32" i="90" s="1"/>
  <c r="T17" i="90"/>
  <c r="U17" i="90" s="1"/>
  <c r="V17" i="90" s="1"/>
  <c r="Z15" i="90"/>
  <c r="T15" i="90" s="1"/>
  <c r="U15" i="90" s="1"/>
  <c r="V15" i="90" s="1"/>
  <c r="N33" i="90"/>
  <c r="O33" i="90" s="1"/>
  <c r="P33" i="90" s="1"/>
  <c r="T18" i="90"/>
  <c r="U18" i="90" s="1"/>
  <c r="V18" i="90" s="1"/>
  <c r="N18" i="90"/>
  <c r="O18" i="90" s="1"/>
  <c r="P18" i="90" s="1"/>
  <c r="Z22" i="90"/>
  <c r="T22" i="90" s="1"/>
  <c r="U22" i="90" s="1"/>
  <c r="V22" i="90" s="1"/>
  <c r="Z23" i="90"/>
  <c r="T23" i="90" s="1"/>
  <c r="U23" i="90" s="1"/>
  <c r="V23" i="90" s="1"/>
  <c r="Z26" i="90"/>
  <c r="Z27" i="90"/>
  <c r="H27" i="90" s="1"/>
  <c r="I27" i="90" s="1"/>
  <c r="J27" i="90" s="1"/>
  <c r="Z24" i="90"/>
  <c r="T24" i="90" s="1"/>
  <c r="U24" i="90" s="1"/>
  <c r="V24" i="90" s="1"/>
  <c r="Z19" i="90"/>
  <c r="N19" i="90" s="1"/>
  <c r="O19" i="90" s="1"/>
  <c r="P19" i="90" s="1"/>
  <c r="Z25" i="90"/>
  <c r="T25" i="90" s="1"/>
  <c r="U25" i="90" s="1"/>
  <c r="V25" i="90" s="1"/>
  <c r="T34" i="90"/>
  <c r="U34" i="90" s="1"/>
  <c r="V34" i="90" s="1"/>
  <c r="N34" i="90"/>
  <c r="O34" i="90" s="1"/>
  <c r="P34" i="90" s="1"/>
  <c r="C34" i="90" s="1"/>
  <c r="T33" i="90"/>
  <c r="U33" i="90" s="1"/>
  <c r="V33" i="90" s="1"/>
  <c r="N32" i="90"/>
  <c r="O32" i="90" s="1"/>
  <c r="P32" i="90" s="1"/>
  <c r="H32" i="90"/>
  <c r="I32" i="90" s="1"/>
  <c r="J32" i="90" s="1"/>
  <c r="C32" i="90" s="1"/>
  <c r="Z31" i="90"/>
  <c r="T31" i="90" s="1"/>
  <c r="U31" i="90" s="1"/>
  <c r="V31" i="90" s="1"/>
  <c r="Z30" i="90"/>
  <c r="T30" i="90" s="1"/>
  <c r="U30" i="90" s="1"/>
  <c r="V30" i="90" s="1"/>
  <c r="Z29" i="90"/>
  <c r="N29" i="90" s="1"/>
  <c r="O29" i="90" s="1"/>
  <c r="P29" i="90" s="1"/>
  <c r="Z28" i="90"/>
  <c r="N28" i="90" s="1"/>
  <c r="O28" i="90" s="1"/>
  <c r="P28" i="90" s="1"/>
  <c r="T27" i="90"/>
  <c r="U27" i="90" s="1"/>
  <c r="V27" i="90" s="1"/>
  <c r="T26" i="90"/>
  <c r="U26" i="90" s="1"/>
  <c r="V26" i="90" s="1"/>
  <c r="H24" i="90"/>
  <c r="I24" i="90" s="1"/>
  <c r="J24" i="90" s="1"/>
  <c r="N24" i="90"/>
  <c r="O24" i="90" s="1"/>
  <c r="P24" i="90" s="1"/>
  <c r="H23" i="90"/>
  <c r="I23" i="90" s="1"/>
  <c r="J23" i="90" s="1"/>
  <c r="N23" i="90"/>
  <c r="O23" i="90" s="1"/>
  <c r="P23" i="90" s="1"/>
  <c r="C23" i="90" s="1"/>
  <c r="H22" i="90"/>
  <c r="I22" i="90" s="1"/>
  <c r="J22" i="90" s="1"/>
  <c r="T21" i="90"/>
  <c r="U21" i="90" s="1"/>
  <c r="V21" i="90" s="1"/>
  <c r="N21" i="90"/>
  <c r="O21" i="90" s="1"/>
  <c r="P21" i="90" s="1"/>
  <c r="H20" i="90"/>
  <c r="I20" i="90" s="1"/>
  <c r="J20" i="90" s="1"/>
  <c r="T20" i="90"/>
  <c r="U20" i="90" s="1"/>
  <c r="V20" i="90" s="1"/>
  <c r="N20" i="90"/>
  <c r="O20" i="90" s="1"/>
  <c r="P20" i="90" s="1"/>
  <c r="C20" i="90" s="1"/>
  <c r="N17" i="90"/>
  <c r="O17" i="90" s="1"/>
  <c r="P17" i="90" s="1"/>
  <c r="C17" i="90" s="1"/>
  <c r="T16" i="90"/>
  <c r="U16" i="90" s="1"/>
  <c r="V16" i="90" s="1"/>
  <c r="N16" i="90"/>
  <c r="O16" i="90" s="1"/>
  <c r="P16" i="90" s="1"/>
  <c r="C16" i="90" s="1"/>
  <c r="N15" i="90"/>
  <c r="O15" i="90" s="1"/>
  <c r="P15" i="90" s="1"/>
  <c r="H15" i="90"/>
  <c r="I15" i="90" s="1"/>
  <c r="J15" i="90" s="1"/>
  <c r="Z14" i="90"/>
  <c r="T14" i="90" s="1"/>
  <c r="U14" i="90" s="1"/>
  <c r="V14" i="90" s="1"/>
  <c r="AN28" i="94"/>
  <c r="AN23" i="94"/>
  <c r="N23" i="94" s="1"/>
  <c r="O23" i="94" s="1"/>
  <c r="P23" i="94" s="1"/>
  <c r="AN27" i="94"/>
  <c r="N27" i="94" s="1"/>
  <c r="O27" i="94" s="1"/>
  <c r="P27" i="94" s="1"/>
  <c r="T27" i="94"/>
  <c r="U27" i="94" s="1"/>
  <c r="V27" i="94" s="1"/>
  <c r="Z27" i="94"/>
  <c r="AA27" i="94" s="1"/>
  <c r="AB27" i="94" s="1"/>
  <c r="H27" i="94"/>
  <c r="I27" i="94" s="1"/>
  <c r="J27" i="94" s="1"/>
  <c r="AF27" i="94"/>
  <c r="AG27" i="94" s="1"/>
  <c r="AH27" i="94" s="1"/>
  <c r="C27" i="94" s="1"/>
  <c r="AN36" i="94"/>
  <c r="T36" i="94" s="1"/>
  <c r="U36" i="94" s="1"/>
  <c r="V36" i="94" s="1"/>
  <c r="Z36" i="94"/>
  <c r="AA36" i="94" s="1"/>
  <c r="AB36" i="94" s="1"/>
  <c r="AF36" i="94"/>
  <c r="AG36" i="94" s="1"/>
  <c r="AH36" i="94" s="1"/>
  <c r="AN35" i="94"/>
  <c r="Z35" i="94" s="1"/>
  <c r="AA35" i="94" s="1"/>
  <c r="AB35" i="94" s="1"/>
  <c r="H35" i="94"/>
  <c r="I35" i="94" s="1"/>
  <c r="J35" i="94" s="1"/>
  <c r="AF35" i="94"/>
  <c r="AG35" i="94" s="1"/>
  <c r="AH35" i="94" s="1"/>
  <c r="AN34" i="94"/>
  <c r="AF34" i="94" s="1"/>
  <c r="AG34" i="94" s="1"/>
  <c r="AH34" i="94" s="1"/>
  <c r="AN33" i="94"/>
  <c r="T33" i="94" s="1"/>
  <c r="U33" i="94" s="1"/>
  <c r="V33" i="94" s="1"/>
  <c r="AN32" i="94"/>
  <c r="T32" i="94" s="1"/>
  <c r="U32" i="94" s="1"/>
  <c r="V32" i="94" s="1"/>
  <c r="AF32" i="94"/>
  <c r="AG32" i="94" s="1"/>
  <c r="AH32" i="94" s="1"/>
  <c r="AN31" i="94"/>
  <c r="T31" i="94" s="1"/>
  <c r="U31" i="94" s="1"/>
  <c r="V31" i="94" s="1"/>
  <c r="AN30" i="94"/>
  <c r="T30" i="94" s="1"/>
  <c r="U30" i="94" s="1"/>
  <c r="V30" i="94" s="1"/>
  <c r="AF30" i="94"/>
  <c r="AG30" i="94" s="1"/>
  <c r="AH30" i="94" s="1"/>
  <c r="AN29" i="94"/>
  <c r="H29" i="94" s="1"/>
  <c r="I29" i="94" s="1"/>
  <c r="J29" i="94" s="1"/>
  <c r="C29" i="94" s="1"/>
  <c r="Z29" i="94"/>
  <c r="AA29" i="94" s="1"/>
  <c r="AB29" i="94" s="1"/>
  <c r="T29" i="94"/>
  <c r="U29" i="94" s="1"/>
  <c r="V29" i="94" s="1"/>
  <c r="AF29" i="94"/>
  <c r="AG29" i="94" s="1"/>
  <c r="AH29" i="94" s="1"/>
  <c r="H28" i="94"/>
  <c r="I28" i="94" s="1"/>
  <c r="J28" i="94" s="1"/>
  <c r="T28" i="94"/>
  <c r="U28" i="94" s="1"/>
  <c r="V28" i="94" s="1"/>
  <c r="AF28" i="94"/>
  <c r="AG28" i="94" s="1"/>
  <c r="AH28" i="94" s="1"/>
  <c r="Z28" i="94"/>
  <c r="AA28" i="94" s="1"/>
  <c r="AB28" i="94" s="1"/>
  <c r="AN26" i="94"/>
  <c r="T26" i="94" s="1"/>
  <c r="U26" i="94" s="1"/>
  <c r="V26" i="94" s="1"/>
  <c r="AN25" i="94"/>
  <c r="H25" i="94" s="1"/>
  <c r="I25" i="94" s="1"/>
  <c r="J25" i="94" s="1"/>
  <c r="AF25" i="94"/>
  <c r="AG25" i="94" s="1"/>
  <c r="AH25" i="94" s="1"/>
  <c r="Z25" i="94"/>
  <c r="AA25" i="94" s="1"/>
  <c r="AB25" i="94" s="1"/>
  <c r="AN24" i="94"/>
  <c r="N24" i="94" s="1"/>
  <c r="O24" i="94" s="1"/>
  <c r="P24" i="94" s="1"/>
  <c r="T24" i="94"/>
  <c r="U24" i="94" s="1"/>
  <c r="V24" i="94" s="1"/>
  <c r="AF24" i="94"/>
  <c r="AG24" i="94" s="1"/>
  <c r="AH24" i="94" s="1"/>
  <c r="Z24" i="94"/>
  <c r="AA24" i="94" s="1"/>
  <c r="AB24" i="94" s="1"/>
  <c r="H24" i="94"/>
  <c r="I24" i="94" s="1"/>
  <c r="J24" i="94" s="1"/>
  <c r="T23" i="94"/>
  <c r="U23" i="94" s="1"/>
  <c r="V23" i="94" s="1"/>
  <c r="H23" i="94"/>
  <c r="I23" i="94" s="1"/>
  <c r="J23" i="94" s="1"/>
  <c r="AF23" i="94"/>
  <c r="AG23" i="94" s="1"/>
  <c r="AH23" i="94" s="1"/>
  <c r="Z23" i="94"/>
  <c r="AA23" i="94" s="1"/>
  <c r="AB23" i="94" s="1"/>
  <c r="AN22" i="94"/>
  <c r="T22" i="94" s="1"/>
  <c r="U22" i="94" s="1"/>
  <c r="V22" i="94" s="1"/>
  <c r="AN21" i="94"/>
  <c r="H21" i="94" s="1"/>
  <c r="I21" i="94" s="1"/>
  <c r="J21" i="94" s="1"/>
  <c r="Z21" i="94"/>
  <c r="AA21" i="94" s="1"/>
  <c r="AB21" i="94" s="1"/>
  <c r="AN20" i="94"/>
  <c r="T20" i="94" s="1"/>
  <c r="U20" i="94" s="1"/>
  <c r="V20" i="94" s="1"/>
  <c r="AF20" i="94"/>
  <c r="AG20" i="94" s="1"/>
  <c r="AH20" i="94" s="1"/>
  <c r="H20" i="94"/>
  <c r="I20" i="94" s="1"/>
  <c r="J20" i="94" s="1"/>
  <c r="Z20" i="94"/>
  <c r="AA20" i="94" s="1"/>
  <c r="AB20" i="94" s="1"/>
  <c r="AN19" i="94"/>
  <c r="T19" i="94" s="1"/>
  <c r="U19" i="94" s="1"/>
  <c r="V19" i="94" s="1"/>
  <c r="AF19" i="94"/>
  <c r="AG19" i="94" s="1"/>
  <c r="AH19" i="94" s="1"/>
  <c r="H19" i="94"/>
  <c r="I19" i="94" s="1"/>
  <c r="J19" i="94" s="1"/>
  <c r="AN18" i="94"/>
  <c r="H18" i="94" s="1"/>
  <c r="I18" i="94" s="1"/>
  <c r="J18" i="94" s="1"/>
  <c r="AN17" i="94"/>
  <c r="N17" i="94" s="1"/>
  <c r="O17" i="94" s="1"/>
  <c r="P17" i="94" s="1"/>
  <c r="T17" i="94"/>
  <c r="U17" i="94" s="1"/>
  <c r="V17" i="94" s="1"/>
  <c r="AN16" i="94"/>
  <c r="T16" i="94" s="1"/>
  <c r="U16" i="94" s="1"/>
  <c r="V16" i="94" s="1"/>
  <c r="Z16" i="94"/>
  <c r="AA16" i="94" s="1"/>
  <c r="AB16" i="94" s="1"/>
  <c r="AF16" i="94"/>
  <c r="AG16" i="94" s="1"/>
  <c r="AH16" i="94" s="1"/>
  <c r="H16" i="94"/>
  <c r="I16" i="94" s="1"/>
  <c r="J16" i="94" s="1"/>
  <c r="C16" i="94" s="1"/>
  <c r="DM38" i="88"/>
  <c r="DM47" i="88"/>
  <c r="CT47" i="88" s="1"/>
  <c r="CU47" i="88" s="1"/>
  <c r="CV47" i="88" s="1"/>
  <c r="DM46" i="88"/>
  <c r="CT46" i="88" s="1"/>
  <c r="CU46" i="88" s="1"/>
  <c r="CV46" i="88" s="1"/>
  <c r="DM45" i="88"/>
  <c r="DM44" i="88"/>
  <c r="DM43" i="88"/>
  <c r="DM42" i="88"/>
  <c r="N42" i="88"/>
  <c r="O42" i="88" s="1"/>
  <c r="P42" i="88" s="1"/>
  <c r="DM41" i="88"/>
  <c r="DM40" i="88"/>
  <c r="CT40" i="88" s="1"/>
  <c r="CU40" i="88" s="1"/>
  <c r="CV40" i="88" s="1"/>
  <c r="N40" i="88"/>
  <c r="O40" i="88" s="1"/>
  <c r="P40" i="88" s="1"/>
  <c r="DM39" i="88"/>
  <c r="CT39" i="88" s="1"/>
  <c r="CU39" i="88" s="1"/>
  <c r="CV39" i="88" s="1"/>
  <c r="N39" i="88"/>
  <c r="O39" i="88" s="1"/>
  <c r="P39" i="88" s="1"/>
  <c r="DM37" i="88"/>
  <c r="CT37" i="88" s="1"/>
  <c r="CU37" i="88" s="1"/>
  <c r="CV37" i="88" s="1"/>
  <c r="N37" i="88"/>
  <c r="O37" i="88" s="1"/>
  <c r="P37" i="88" s="1"/>
  <c r="DM36" i="88"/>
  <c r="CT36" i="88" s="1"/>
  <c r="CU36" i="88" s="1"/>
  <c r="CV36" i="88" s="1"/>
  <c r="DM35" i="88"/>
  <c r="N35" i="88" s="1"/>
  <c r="O35" i="88" s="1"/>
  <c r="P35" i="88" s="1"/>
  <c r="Z35" i="88"/>
  <c r="AA35" i="88" s="1"/>
  <c r="AB35" i="88" s="1"/>
  <c r="AF35" i="88"/>
  <c r="AG35" i="88" s="1"/>
  <c r="AH35" i="88" s="1"/>
  <c r="T35" i="88"/>
  <c r="U35" i="88" s="1"/>
  <c r="V35" i="88" s="1"/>
  <c r="DM34" i="88"/>
  <c r="CT34" i="88" s="1"/>
  <c r="CU34" i="88" s="1"/>
  <c r="CV34" i="88" s="1"/>
  <c r="AX34" i="88"/>
  <c r="AY34" i="88" s="1"/>
  <c r="AZ34" i="88" s="1"/>
  <c r="Z34" i="88"/>
  <c r="AA34" i="88" s="1"/>
  <c r="AB34" i="88" s="1"/>
  <c r="N34" i="88"/>
  <c r="O34" i="88" s="1"/>
  <c r="P34" i="88" s="1"/>
  <c r="DM33" i="88"/>
  <c r="H33" i="88" s="1"/>
  <c r="I33" i="88" s="1"/>
  <c r="J33" i="88" s="1"/>
  <c r="AF33" i="88"/>
  <c r="AG33" i="88" s="1"/>
  <c r="AH33" i="88" s="1"/>
  <c r="N33" i="88"/>
  <c r="O33" i="88" s="1"/>
  <c r="P33" i="88" s="1"/>
  <c r="T33" i="88"/>
  <c r="U33" i="88" s="1"/>
  <c r="V33" i="88" s="1"/>
  <c r="DM32" i="88"/>
  <c r="T32" i="88" s="1"/>
  <c r="U32" i="88" s="1"/>
  <c r="V32" i="88" s="1"/>
  <c r="DM31" i="88"/>
  <c r="T31" i="88"/>
  <c r="U31" i="88" s="1"/>
  <c r="V31" i="88" s="1"/>
  <c r="N31" i="88"/>
  <c r="O31" i="88" s="1"/>
  <c r="P31" i="88" s="1"/>
  <c r="DM30" i="88"/>
  <c r="CT30" i="88" s="1"/>
  <c r="CU30" i="88" s="1"/>
  <c r="CV30" i="88" s="1"/>
  <c r="DM29" i="88"/>
  <c r="CT29" i="88" s="1"/>
  <c r="CU29" i="88" s="1"/>
  <c r="CV29" i="88" s="1"/>
  <c r="DM28" i="88"/>
  <c r="DM27" i="88"/>
  <c r="CT27" i="88" s="1"/>
  <c r="CU27" i="88" s="1"/>
  <c r="CV27" i="88" s="1"/>
  <c r="AF19" i="96" l="1"/>
  <c r="AG19" i="96" s="1"/>
  <c r="AH19" i="96" s="1"/>
  <c r="N22" i="96"/>
  <c r="O22" i="96" s="1"/>
  <c r="P22" i="96" s="1"/>
  <c r="Z32" i="96"/>
  <c r="AA32" i="96" s="1"/>
  <c r="AB32" i="96" s="1"/>
  <c r="AF35" i="96"/>
  <c r="AG35" i="96" s="1"/>
  <c r="AH35" i="96" s="1"/>
  <c r="AL17" i="96"/>
  <c r="AM17" i="96" s="1"/>
  <c r="AN17" i="96" s="1"/>
  <c r="AF33" i="96"/>
  <c r="AG33" i="96" s="1"/>
  <c r="AH33" i="96" s="1"/>
  <c r="N17" i="96"/>
  <c r="O17" i="96" s="1"/>
  <c r="P17" i="96" s="1"/>
  <c r="C17" i="96" s="1"/>
  <c r="Z25" i="96"/>
  <c r="AA25" i="96" s="1"/>
  <c r="AB25" i="96" s="1"/>
  <c r="C25" i="96" s="1"/>
  <c r="T29" i="96"/>
  <c r="U29" i="96" s="1"/>
  <c r="V29" i="96" s="1"/>
  <c r="T33" i="96"/>
  <c r="U33" i="96" s="1"/>
  <c r="V33" i="96" s="1"/>
  <c r="N36" i="96"/>
  <c r="O36" i="96" s="1"/>
  <c r="P36" i="96" s="1"/>
  <c r="C36" i="96" s="1"/>
  <c r="AF25" i="96"/>
  <c r="AG25" i="96" s="1"/>
  <c r="AH25" i="96" s="1"/>
  <c r="N33" i="96"/>
  <c r="O33" i="96" s="1"/>
  <c r="P33" i="96" s="1"/>
  <c r="C33" i="96" s="1"/>
  <c r="AL36" i="96"/>
  <c r="AM36" i="96" s="1"/>
  <c r="AN36" i="96" s="1"/>
  <c r="Z17" i="96"/>
  <c r="AA17" i="96" s="1"/>
  <c r="AB17" i="96" s="1"/>
  <c r="T17" i="96"/>
  <c r="U17" i="96" s="1"/>
  <c r="V17" i="96" s="1"/>
  <c r="H25" i="96"/>
  <c r="I25" i="96" s="1"/>
  <c r="J25" i="96" s="1"/>
  <c r="AL33" i="96"/>
  <c r="AM33" i="96" s="1"/>
  <c r="AN33" i="96" s="1"/>
  <c r="H36" i="96"/>
  <c r="I36" i="96" s="1"/>
  <c r="J36" i="96" s="1"/>
  <c r="AF17" i="96"/>
  <c r="AG17" i="96" s="1"/>
  <c r="AH17" i="96" s="1"/>
  <c r="Z33" i="96"/>
  <c r="AA33" i="96" s="1"/>
  <c r="AB33" i="96" s="1"/>
  <c r="N37" i="96"/>
  <c r="O37" i="96" s="1"/>
  <c r="P37" i="96" s="1"/>
  <c r="C37" i="96" s="1"/>
  <c r="T26" i="96"/>
  <c r="U26" i="96" s="1"/>
  <c r="V26" i="96" s="1"/>
  <c r="AL35" i="96"/>
  <c r="AM35" i="96" s="1"/>
  <c r="AN35" i="96" s="1"/>
  <c r="AL37" i="96"/>
  <c r="AM37" i="96" s="1"/>
  <c r="AN37" i="96" s="1"/>
  <c r="Z37" i="96"/>
  <c r="AA37" i="96" s="1"/>
  <c r="AB37" i="96" s="1"/>
  <c r="C35" i="96"/>
  <c r="H23" i="96"/>
  <c r="I23" i="96" s="1"/>
  <c r="J23" i="96" s="1"/>
  <c r="AF29" i="96"/>
  <c r="AG29" i="96" s="1"/>
  <c r="AH29" i="96" s="1"/>
  <c r="AL32" i="96"/>
  <c r="AM32" i="96" s="1"/>
  <c r="AN32" i="96" s="1"/>
  <c r="Z18" i="96"/>
  <c r="AA18" i="96" s="1"/>
  <c r="AB18" i="96" s="1"/>
  <c r="H21" i="96"/>
  <c r="I21" i="96" s="1"/>
  <c r="J21" i="96" s="1"/>
  <c r="C21" i="96" s="1"/>
  <c r="N23" i="96"/>
  <c r="O23" i="96" s="1"/>
  <c r="P23" i="96" s="1"/>
  <c r="AL29" i="96"/>
  <c r="AM29" i="96" s="1"/>
  <c r="AN29" i="96" s="1"/>
  <c r="H32" i="96"/>
  <c r="I32" i="96" s="1"/>
  <c r="J32" i="96" s="1"/>
  <c r="AF18" i="96"/>
  <c r="AG18" i="96" s="1"/>
  <c r="AH18" i="96" s="1"/>
  <c r="T23" i="96"/>
  <c r="U23" i="96" s="1"/>
  <c r="V23" i="96" s="1"/>
  <c r="T18" i="96"/>
  <c r="U18" i="96" s="1"/>
  <c r="V18" i="96" s="1"/>
  <c r="H18" i="96"/>
  <c r="I18" i="96" s="1"/>
  <c r="J18" i="96" s="1"/>
  <c r="C18" i="96" s="1"/>
  <c r="N21" i="96"/>
  <c r="O21" i="96" s="1"/>
  <c r="P21" i="96" s="1"/>
  <c r="AL23" i="96"/>
  <c r="AM23" i="96" s="1"/>
  <c r="AN23" i="96" s="1"/>
  <c r="N26" i="96"/>
  <c r="O26" i="96" s="1"/>
  <c r="P26" i="96" s="1"/>
  <c r="H29" i="96"/>
  <c r="I29" i="96" s="1"/>
  <c r="J29" i="96" s="1"/>
  <c r="AF32" i="96"/>
  <c r="AG32" i="96" s="1"/>
  <c r="AH32" i="96" s="1"/>
  <c r="N18" i="96"/>
  <c r="O18" i="96" s="1"/>
  <c r="P18" i="96" s="1"/>
  <c r="AL21" i="96"/>
  <c r="AM21" i="96" s="1"/>
  <c r="AN21" i="96" s="1"/>
  <c r="Z23" i="96"/>
  <c r="AA23" i="96" s="1"/>
  <c r="AB23" i="96" s="1"/>
  <c r="AF26" i="96"/>
  <c r="AG26" i="96" s="1"/>
  <c r="AH26" i="96" s="1"/>
  <c r="C26" i="96" s="1"/>
  <c r="N32" i="96"/>
  <c r="O32" i="96" s="1"/>
  <c r="P32" i="96" s="1"/>
  <c r="AF37" i="96"/>
  <c r="AG37" i="96" s="1"/>
  <c r="AH37" i="96" s="1"/>
  <c r="C28" i="96"/>
  <c r="C34" i="96"/>
  <c r="C31" i="96"/>
  <c r="C30" i="96"/>
  <c r="C24" i="96"/>
  <c r="C22" i="96"/>
  <c r="N20" i="96"/>
  <c r="O20" i="96" s="1"/>
  <c r="P20" i="96" s="1"/>
  <c r="C20" i="96"/>
  <c r="C19" i="96"/>
  <c r="N22" i="93"/>
  <c r="O22" i="93" s="1"/>
  <c r="P22" i="93" s="1"/>
  <c r="C22" i="93" s="1"/>
  <c r="H28" i="93"/>
  <c r="I28" i="93" s="1"/>
  <c r="J28" i="93" s="1"/>
  <c r="C28" i="93" s="1"/>
  <c r="C21" i="93"/>
  <c r="N27" i="93"/>
  <c r="O27" i="93" s="1"/>
  <c r="P27" i="93" s="1"/>
  <c r="N23" i="93"/>
  <c r="O23" i="93" s="1"/>
  <c r="P23" i="93" s="1"/>
  <c r="C23" i="93" s="1"/>
  <c r="H25" i="93"/>
  <c r="I25" i="93" s="1"/>
  <c r="J25" i="93" s="1"/>
  <c r="N25" i="93"/>
  <c r="O25" i="93" s="1"/>
  <c r="P25" i="93" s="1"/>
  <c r="C27" i="93"/>
  <c r="C18" i="93"/>
  <c r="N30" i="92"/>
  <c r="O30" i="92" s="1"/>
  <c r="P30" i="92" s="1"/>
  <c r="C30" i="92" s="1"/>
  <c r="H25" i="92"/>
  <c r="I25" i="92" s="1"/>
  <c r="J25" i="92" s="1"/>
  <c r="N25" i="92"/>
  <c r="O25" i="92" s="1"/>
  <c r="P25" i="92" s="1"/>
  <c r="N22" i="92"/>
  <c r="O22" i="92" s="1"/>
  <c r="P22" i="92" s="1"/>
  <c r="C22" i="92" s="1"/>
  <c r="H24" i="92"/>
  <c r="I24" i="92" s="1"/>
  <c r="J24" i="92" s="1"/>
  <c r="N24" i="92"/>
  <c r="O24" i="92" s="1"/>
  <c r="P24" i="92" s="1"/>
  <c r="H29" i="92"/>
  <c r="I29" i="92" s="1"/>
  <c r="J29" i="92" s="1"/>
  <c r="N29" i="92"/>
  <c r="O29" i="92" s="1"/>
  <c r="P29" i="92" s="1"/>
  <c r="H28" i="92"/>
  <c r="I28" i="92" s="1"/>
  <c r="J28" i="92" s="1"/>
  <c r="N28" i="92"/>
  <c r="O28" i="92" s="1"/>
  <c r="P28" i="92" s="1"/>
  <c r="H26" i="92"/>
  <c r="I26" i="92" s="1"/>
  <c r="J26" i="92" s="1"/>
  <c r="N26" i="92"/>
  <c r="O26" i="92" s="1"/>
  <c r="P26" i="92" s="1"/>
  <c r="H23" i="92"/>
  <c r="I23" i="92" s="1"/>
  <c r="J23" i="92" s="1"/>
  <c r="N23" i="92"/>
  <c r="O23" i="92" s="1"/>
  <c r="P23" i="92" s="1"/>
  <c r="C21" i="92"/>
  <c r="C18" i="92"/>
  <c r="C28" i="91"/>
  <c r="H26" i="91"/>
  <c r="I26" i="91" s="1"/>
  <c r="J26" i="91" s="1"/>
  <c r="Z26" i="91"/>
  <c r="AA26" i="91" s="1"/>
  <c r="AB26" i="91" s="1"/>
  <c r="H35" i="91"/>
  <c r="I35" i="91" s="1"/>
  <c r="J35" i="91" s="1"/>
  <c r="N35" i="91"/>
  <c r="O35" i="91" s="1"/>
  <c r="P35" i="91" s="1"/>
  <c r="H34" i="91"/>
  <c r="I34" i="91" s="1"/>
  <c r="J34" i="91" s="1"/>
  <c r="T34" i="91"/>
  <c r="U34" i="91" s="1"/>
  <c r="V34" i="91" s="1"/>
  <c r="H33" i="91"/>
  <c r="I33" i="91" s="1"/>
  <c r="J33" i="91" s="1"/>
  <c r="T33" i="91"/>
  <c r="U33" i="91" s="1"/>
  <c r="V33" i="91" s="1"/>
  <c r="H32" i="91"/>
  <c r="I32" i="91" s="1"/>
  <c r="J32" i="91" s="1"/>
  <c r="N32" i="91"/>
  <c r="O32" i="91" s="1"/>
  <c r="P32" i="91" s="1"/>
  <c r="T32" i="91"/>
  <c r="U32" i="91" s="1"/>
  <c r="V32" i="91" s="1"/>
  <c r="H31" i="91"/>
  <c r="I31" i="91" s="1"/>
  <c r="J31" i="91" s="1"/>
  <c r="Z31" i="91"/>
  <c r="AA31" i="91" s="1"/>
  <c r="AB31" i="91" s="1"/>
  <c r="C31" i="91" s="1"/>
  <c r="C30" i="91"/>
  <c r="C29" i="91"/>
  <c r="C27" i="91"/>
  <c r="H25" i="91"/>
  <c r="I25" i="91" s="1"/>
  <c r="J25" i="91" s="1"/>
  <c r="N25" i="91"/>
  <c r="O25" i="91" s="1"/>
  <c r="P25" i="91" s="1"/>
  <c r="T25" i="91"/>
  <c r="U25" i="91" s="1"/>
  <c r="V25" i="91" s="1"/>
  <c r="C23" i="91"/>
  <c r="H20" i="91"/>
  <c r="I20" i="91" s="1"/>
  <c r="J20" i="91" s="1"/>
  <c r="Z20" i="91"/>
  <c r="AA20" i="91" s="1"/>
  <c r="AB20" i="91" s="1"/>
  <c r="T19" i="91"/>
  <c r="U19" i="91" s="1"/>
  <c r="V19" i="91" s="1"/>
  <c r="Z19" i="91"/>
  <c r="AA19" i="91" s="1"/>
  <c r="AB19" i="91" s="1"/>
  <c r="H19" i="91"/>
  <c r="I19" i="91" s="1"/>
  <c r="J19" i="91" s="1"/>
  <c r="N19" i="91"/>
  <c r="O19" i="91" s="1"/>
  <c r="P19" i="91" s="1"/>
  <c r="H18" i="91"/>
  <c r="I18" i="91" s="1"/>
  <c r="J18" i="91" s="1"/>
  <c r="N18" i="91"/>
  <c r="O18" i="91" s="1"/>
  <c r="P18" i="91" s="1"/>
  <c r="H17" i="91"/>
  <c r="I17" i="91" s="1"/>
  <c r="J17" i="91" s="1"/>
  <c r="N17" i="91"/>
  <c r="O17" i="91" s="1"/>
  <c r="P17" i="91" s="1"/>
  <c r="H16" i="91"/>
  <c r="I16" i="91" s="1"/>
  <c r="J16" i="91" s="1"/>
  <c r="N16" i="91"/>
  <c r="O16" i="91" s="1"/>
  <c r="P16" i="91" s="1"/>
  <c r="T16" i="91"/>
  <c r="U16" i="91" s="1"/>
  <c r="V16" i="91" s="1"/>
  <c r="H15" i="91"/>
  <c r="I15" i="91" s="1"/>
  <c r="J15" i="91" s="1"/>
  <c r="N15" i="91"/>
  <c r="O15" i="91" s="1"/>
  <c r="P15" i="91" s="1"/>
  <c r="T15" i="91"/>
  <c r="U15" i="91" s="1"/>
  <c r="V15" i="91" s="1"/>
  <c r="N27" i="90"/>
  <c r="O27" i="90" s="1"/>
  <c r="P27" i="90" s="1"/>
  <c r="C18" i="90"/>
  <c r="C15" i="90"/>
  <c r="H26" i="90"/>
  <c r="I26" i="90" s="1"/>
  <c r="J26" i="90" s="1"/>
  <c r="N26" i="90"/>
  <c r="O26" i="90" s="1"/>
  <c r="P26" i="90" s="1"/>
  <c r="C26" i="90" s="1"/>
  <c r="T19" i="90"/>
  <c r="U19" i="90" s="1"/>
  <c r="V19" i="90" s="1"/>
  <c r="C27" i="90"/>
  <c r="H19" i="90"/>
  <c r="I19" i="90" s="1"/>
  <c r="J19" i="90" s="1"/>
  <c r="N22" i="90"/>
  <c r="O22" i="90" s="1"/>
  <c r="P22" i="90" s="1"/>
  <c r="C22" i="90" s="1"/>
  <c r="C33" i="90"/>
  <c r="H25" i="90"/>
  <c r="I25" i="90" s="1"/>
  <c r="J25" i="90" s="1"/>
  <c r="N25" i="90"/>
  <c r="O25" i="90" s="1"/>
  <c r="P25" i="90" s="1"/>
  <c r="H31" i="90"/>
  <c r="I31" i="90" s="1"/>
  <c r="J31" i="90" s="1"/>
  <c r="N31" i="90"/>
  <c r="O31" i="90" s="1"/>
  <c r="P31" i="90" s="1"/>
  <c r="H30" i="90"/>
  <c r="I30" i="90" s="1"/>
  <c r="J30" i="90" s="1"/>
  <c r="N30" i="90"/>
  <c r="O30" i="90" s="1"/>
  <c r="P30" i="90" s="1"/>
  <c r="H29" i="90"/>
  <c r="I29" i="90" s="1"/>
  <c r="J29" i="90" s="1"/>
  <c r="T29" i="90"/>
  <c r="U29" i="90" s="1"/>
  <c r="V29" i="90" s="1"/>
  <c r="H28" i="90"/>
  <c r="I28" i="90" s="1"/>
  <c r="J28" i="90" s="1"/>
  <c r="T28" i="90"/>
  <c r="U28" i="90" s="1"/>
  <c r="V28" i="90" s="1"/>
  <c r="C24" i="90"/>
  <c r="C21" i="90"/>
  <c r="H14" i="90"/>
  <c r="I14" i="90" s="1"/>
  <c r="J14" i="90" s="1"/>
  <c r="N14" i="90"/>
  <c r="O14" i="90" s="1"/>
  <c r="P14" i="90" s="1"/>
  <c r="AF26" i="94"/>
  <c r="AG26" i="94" s="1"/>
  <c r="AH26" i="94" s="1"/>
  <c r="AF33" i="94"/>
  <c r="AG33" i="94" s="1"/>
  <c r="AH33" i="94" s="1"/>
  <c r="Z33" i="94"/>
  <c r="AA33" i="94" s="1"/>
  <c r="AB33" i="94" s="1"/>
  <c r="H33" i="94"/>
  <c r="I33" i="94" s="1"/>
  <c r="J33" i="94" s="1"/>
  <c r="AF22" i="94"/>
  <c r="AG22" i="94" s="1"/>
  <c r="AH22" i="94" s="1"/>
  <c r="AF31" i="94"/>
  <c r="AG31" i="94" s="1"/>
  <c r="AH31" i="94" s="1"/>
  <c r="AF18" i="94"/>
  <c r="AG18" i="94" s="1"/>
  <c r="AH18" i="94" s="1"/>
  <c r="Z22" i="94"/>
  <c r="AA22" i="94" s="1"/>
  <c r="AB22" i="94" s="1"/>
  <c r="H31" i="94"/>
  <c r="I31" i="94" s="1"/>
  <c r="J31" i="94" s="1"/>
  <c r="Z18" i="94"/>
  <c r="AA18" i="94" s="1"/>
  <c r="AB18" i="94" s="1"/>
  <c r="H22" i="94"/>
  <c r="I22" i="94" s="1"/>
  <c r="J22" i="94" s="1"/>
  <c r="Z31" i="94"/>
  <c r="AA31" i="94" s="1"/>
  <c r="AB31" i="94" s="1"/>
  <c r="Z19" i="94"/>
  <c r="AA19" i="94" s="1"/>
  <c r="AB19" i="94" s="1"/>
  <c r="C19" i="94" s="1"/>
  <c r="Z32" i="94"/>
  <c r="AA32" i="94" s="1"/>
  <c r="AB32" i="94" s="1"/>
  <c r="H36" i="94"/>
  <c r="I36" i="94" s="1"/>
  <c r="J36" i="94" s="1"/>
  <c r="C36" i="94" s="1"/>
  <c r="Z17" i="94"/>
  <c r="AA17" i="94" s="1"/>
  <c r="AB17" i="94" s="1"/>
  <c r="H34" i="94"/>
  <c r="I34" i="94" s="1"/>
  <c r="J34" i="94" s="1"/>
  <c r="H17" i="94"/>
  <c r="I17" i="94" s="1"/>
  <c r="J17" i="94" s="1"/>
  <c r="AF21" i="94"/>
  <c r="AG21" i="94" s="1"/>
  <c r="AH21" i="94" s="1"/>
  <c r="H30" i="94"/>
  <c r="I30" i="94" s="1"/>
  <c r="J30" i="94" s="1"/>
  <c r="Z34" i="94"/>
  <c r="AA34" i="94" s="1"/>
  <c r="AB34" i="94" s="1"/>
  <c r="AF17" i="94"/>
  <c r="AG17" i="94" s="1"/>
  <c r="AH17" i="94" s="1"/>
  <c r="Z30" i="94"/>
  <c r="AA30" i="94" s="1"/>
  <c r="AB30" i="94" s="1"/>
  <c r="T35" i="94"/>
  <c r="U35" i="94" s="1"/>
  <c r="V35" i="94" s="1"/>
  <c r="N35" i="94"/>
  <c r="O35" i="94" s="1"/>
  <c r="P35" i="94" s="1"/>
  <c r="C35" i="94" s="1"/>
  <c r="N34" i="94"/>
  <c r="O34" i="94" s="1"/>
  <c r="P34" i="94" s="1"/>
  <c r="T34" i="94"/>
  <c r="U34" i="94" s="1"/>
  <c r="V34" i="94" s="1"/>
  <c r="C33" i="94"/>
  <c r="H32" i="94"/>
  <c r="I32" i="94" s="1"/>
  <c r="J32" i="94" s="1"/>
  <c r="C28" i="94"/>
  <c r="H26" i="94"/>
  <c r="I26" i="94" s="1"/>
  <c r="J26" i="94" s="1"/>
  <c r="Z26" i="94"/>
  <c r="AA26" i="94" s="1"/>
  <c r="AB26" i="94" s="1"/>
  <c r="C26" i="94" s="1"/>
  <c r="N25" i="94"/>
  <c r="O25" i="94" s="1"/>
  <c r="P25" i="94" s="1"/>
  <c r="T25" i="94"/>
  <c r="U25" i="94" s="1"/>
  <c r="V25" i="94" s="1"/>
  <c r="C24" i="94"/>
  <c r="C23" i="94"/>
  <c r="N21" i="94"/>
  <c r="O21" i="94" s="1"/>
  <c r="P21" i="94" s="1"/>
  <c r="T21" i="94"/>
  <c r="U21" i="94" s="1"/>
  <c r="V21" i="94" s="1"/>
  <c r="C20" i="94"/>
  <c r="N18" i="94"/>
  <c r="O18" i="94" s="1"/>
  <c r="P18" i="94" s="1"/>
  <c r="T18" i="94"/>
  <c r="U18" i="94" s="1"/>
  <c r="V18" i="94" s="1"/>
  <c r="H34" i="88"/>
  <c r="I34" i="88" s="1"/>
  <c r="J34" i="88" s="1"/>
  <c r="AL35" i="88"/>
  <c r="AM35" i="88" s="1"/>
  <c r="AN35" i="88" s="1"/>
  <c r="H35" i="88"/>
  <c r="I35" i="88" s="1"/>
  <c r="J35" i="88" s="1"/>
  <c r="N47" i="88"/>
  <c r="O47" i="88" s="1"/>
  <c r="P47" i="88" s="1"/>
  <c r="AR35" i="88"/>
  <c r="AS35" i="88" s="1"/>
  <c r="AT35" i="88" s="1"/>
  <c r="BD35" i="88"/>
  <c r="BE35" i="88" s="1"/>
  <c r="BF35" i="88" s="1"/>
  <c r="AX35" i="88"/>
  <c r="AY35" i="88" s="1"/>
  <c r="AZ35" i="88" s="1"/>
  <c r="T34" i="88"/>
  <c r="U34" i="88" s="1"/>
  <c r="V34" i="88" s="1"/>
  <c r="N36" i="88"/>
  <c r="O36" i="88" s="1"/>
  <c r="P36" i="88" s="1"/>
  <c r="N30" i="88"/>
  <c r="O30" i="88" s="1"/>
  <c r="P30" i="88" s="1"/>
  <c r="AL34" i="88"/>
  <c r="AM34" i="88" s="1"/>
  <c r="AN34" i="88" s="1"/>
  <c r="H36" i="88"/>
  <c r="I36" i="88" s="1"/>
  <c r="J36" i="88" s="1"/>
  <c r="T46" i="88"/>
  <c r="U46" i="88" s="1"/>
  <c r="V46" i="88" s="1"/>
  <c r="T30" i="88"/>
  <c r="U30" i="88" s="1"/>
  <c r="V30" i="88" s="1"/>
  <c r="AF34" i="88"/>
  <c r="AG34" i="88" s="1"/>
  <c r="AH34" i="88" s="1"/>
  <c r="Z36" i="88"/>
  <c r="AA36" i="88" s="1"/>
  <c r="AB36" i="88" s="1"/>
  <c r="N46" i="88"/>
  <c r="O46" i="88" s="1"/>
  <c r="P46" i="88" s="1"/>
  <c r="T39" i="88"/>
  <c r="U39" i="88" s="1"/>
  <c r="V39" i="88" s="1"/>
  <c r="CN38" i="88"/>
  <c r="CO38" i="88" s="1"/>
  <c r="CP38" i="88" s="1"/>
  <c r="CT38" i="88"/>
  <c r="CU38" i="88" s="1"/>
  <c r="CV38" i="88" s="1"/>
  <c r="CB38" i="88"/>
  <c r="CC38" i="88" s="1"/>
  <c r="CD38" i="88" s="1"/>
  <c r="CH38" i="88"/>
  <c r="CI38" i="88" s="1"/>
  <c r="CJ38" i="88" s="1"/>
  <c r="BP38" i="88"/>
  <c r="BQ38" i="88" s="1"/>
  <c r="BR38" i="88" s="1"/>
  <c r="BV38" i="88"/>
  <c r="BW38" i="88" s="1"/>
  <c r="BX38" i="88" s="1"/>
  <c r="BD38" i="88"/>
  <c r="BE38" i="88" s="1"/>
  <c r="BF38" i="88" s="1"/>
  <c r="BJ38" i="88"/>
  <c r="BK38" i="88" s="1"/>
  <c r="BL38" i="88" s="1"/>
  <c r="AR38" i="88"/>
  <c r="AS38" i="88" s="1"/>
  <c r="AT38" i="88" s="1"/>
  <c r="AX38" i="88"/>
  <c r="AY38" i="88" s="1"/>
  <c r="AZ38" i="88" s="1"/>
  <c r="AF38" i="88"/>
  <c r="AG38" i="88" s="1"/>
  <c r="AH38" i="88" s="1"/>
  <c r="AL38" i="88"/>
  <c r="AM38" i="88" s="1"/>
  <c r="AN38" i="88" s="1"/>
  <c r="T38" i="88"/>
  <c r="U38" i="88" s="1"/>
  <c r="V38" i="88" s="1"/>
  <c r="Z38" i="88"/>
  <c r="AA38" i="88" s="1"/>
  <c r="AB38" i="88" s="1"/>
  <c r="H38" i="88"/>
  <c r="I38" i="88" s="1"/>
  <c r="J38" i="88" s="1"/>
  <c r="N38" i="88"/>
  <c r="O38" i="88" s="1"/>
  <c r="P38" i="88" s="1"/>
  <c r="CB47" i="88"/>
  <c r="CC47" i="88" s="1"/>
  <c r="CD47" i="88" s="1"/>
  <c r="CH47" i="88"/>
  <c r="CI47" i="88" s="1"/>
  <c r="CJ47" i="88" s="1"/>
  <c r="BD47" i="88"/>
  <c r="BE47" i="88" s="1"/>
  <c r="BF47" i="88" s="1"/>
  <c r="BJ47" i="88"/>
  <c r="BK47" i="88" s="1"/>
  <c r="BL47" i="88" s="1"/>
  <c r="AR47" i="88"/>
  <c r="AS47" i="88" s="1"/>
  <c r="AT47" i="88" s="1"/>
  <c r="AX47" i="88"/>
  <c r="AY47" i="88" s="1"/>
  <c r="AZ47" i="88" s="1"/>
  <c r="AF47" i="88"/>
  <c r="AG47" i="88" s="1"/>
  <c r="AH47" i="88" s="1"/>
  <c r="AL47" i="88"/>
  <c r="AM47" i="88" s="1"/>
  <c r="AN47" i="88" s="1"/>
  <c r="H47" i="88"/>
  <c r="I47" i="88" s="1"/>
  <c r="J47" i="88" s="1"/>
  <c r="T47" i="88"/>
  <c r="U47" i="88" s="1"/>
  <c r="V47" i="88" s="1"/>
  <c r="Z47" i="88"/>
  <c r="AA47" i="88" s="1"/>
  <c r="AB47" i="88" s="1"/>
  <c r="CB46" i="88"/>
  <c r="CC46" i="88" s="1"/>
  <c r="CD46" i="88" s="1"/>
  <c r="CH46" i="88"/>
  <c r="CI46" i="88" s="1"/>
  <c r="CJ46" i="88" s="1"/>
  <c r="BP46" i="88"/>
  <c r="BQ46" i="88" s="1"/>
  <c r="BR46" i="88" s="1"/>
  <c r="BV46" i="88"/>
  <c r="BW46" i="88" s="1"/>
  <c r="BX46" i="88" s="1"/>
  <c r="BD46" i="88"/>
  <c r="BE46" i="88" s="1"/>
  <c r="BF46" i="88" s="1"/>
  <c r="BJ46" i="88"/>
  <c r="BK46" i="88" s="1"/>
  <c r="BL46" i="88" s="1"/>
  <c r="AR46" i="88"/>
  <c r="AS46" i="88" s="1"/>
  <c r="AT46" i="88" s="1"/>
  <c r="AX46" i="88"/>
  <c r="AY46" i="88" s="1"/>
  <c r="AZ46" i="88" s="1"/>
  <c r="AF46" i="88"/>
  <c r="AG46" i="88" s="1"/>
  <c r="AH46" i="88" s="1"/>
  <c r="AL46" i="88"/>
  <c r="AM46" i="88" s="1"/>
  <c r="AN46" i="88" s="1"/>
  <c r="H46" i="88"/>
  <c r="I46" i="88" s="1"/>
  <c r="J46" i="88" s="1"/>
  <c r="Z46" i="88"/>
  <c r="AA46" i="88" s="1"/>
  <c r="AB46" i="88" s="1"/>
  <c r="CN45" i="88"/>
  <c r="CO45" i="88" s="1"/>
  <c r="CP45" i="88" s="1"/>
  <c r="CT45" i="88"/>
  <c r="CU45" i="88" s="1"/>
  <c r="CV45" i="88" s="1"/>
  <c r="CB45" i="88"/>
  <c r="CC45" i="88" s="1"/>
  <c r="CD45" i="88" s="1"/>
  <c r="CH45" i="88"/>
  <c r="CI45" i="88" s="1"/>
  <c r="CJ45" i="88" s="1"/>
  <c r="BP45" i="88"/>
  <c r="BQ45" i="88" s="1"/>
  <c r="BR45" i="88" s="1"/>
  <c r="BV45" i="88"/>
  <c r="BW45" i="88" s="1"/>
  <c r="BX45" i="88" s="1"/>
  <c r="BD45" i="88"/>
  <c r="BE45" i="88" s="1"/>
  <c r="BF45" i="88" s="1"/>
  <c r="BJ45" i="88"/>
  <c r="BK45" i="88" s="1"/>
  <c r="BL45" i="88" s="1"/>
  <c r="AR45" i="88"/>
  <c r="AS45" i="88" s="1"/>
  <c r="AT45" i="88" s="1"/>
  <c r="AX45" i="88"/>
  <c r="AY45" i="88" s="1"/>
  <c r="AZ45" i="88" s="1"/>
  <c r="AF45" i="88"/>
  <c r="AG45" i="88" s="1"/>
  <c r="AH45" i="88" s="1"/>
  <c r="AL45" i="88"/>
  <c r="AM45" i="88" s="1"/>
  <c r="AN45" i="88" s="1"/>
  <c r="T45" i="88"/>
  <c r="U45" i="88" s="1"/>
  <c r="V45" i="88" s="1"/>
  <c r="Z45" i="88"/>
  <c r="AA45" i="88" s="1"/>
  <c r="AB45" i="88" s="1"/>
  <c r="H45" i="88"/>
  <c r="I45" i="88" s="1"/>
  <c r="J45" i="88" s="1"/>
  <c r="N45" i="88"/>
  <c r="O45" i="88" s="1"/>
  <c r="P45" i="88" s="1"/>
  <c r="CN44" i="88"/>
  <c r="CO44" i="88" s="1"/>
  <c r="CP44" i="88" s="1"/>
  <c r="CT44" i="88"/>
  <c r="CU44" i="88" s="1"/>
  <c r="CV44" i="88" s="1"/>
  <c r="CB44" i="88"/>
  <c r="CC44" i="88" s="1"/>
  <c r="CD44" i="88" s="1"/>
  <c r="CH44" i="88"/>
  <c r="CI44" i="88" s="1"/>
  <c r="CJ44" i="88" s="1"/>
  <c r="BP44" i="88"/>
  <c r="BQ44" i="88" s="1"/>
  <c r="BR44" i="88" s="1"/>
  <c r="BV44" i="88"/>
  <c r="BW44" i="88" s="1"/>
  <c r="BX44" i="88" s="1"/>
  <c r="BD44" i="88"/>
  <c r="BE44" i="88" s="1"/>
  <c r="BF44" i="88" s="1"/>
  <c r="BJ44" i="88"/>
  <c r="BK44" i="88" s="1"/>
  <c r="BL44" i="88" s="1"/>
  <c r="AR44" i="88"/>
  <c r="AS44" i="88" s="1"/>
  <c r="AT44" i="88" s="1"/>
  <c r="AX44" i="88"/>
  <c r="AY44" i="88" s="1"/>
  <c r="AZ44" i="88" s="1"/>
  <c r="AF44" i="88"/>
  <c r="AG44" i="88" s="1"/>
  <c r="AH44" i="88" s="1"/>
  <c r="AL44" i="88"/>
  <c r="AM44" i="88" s="1"/>
  <c r="AN44" i="88" s="1"/>
  <c r="T44" i="88"/>
  <c r="U44" i="88" s="1"/>
  <c r="V44" i="88" s="1"/>
  <c r="Z44" i="88"/>
  <c r="AA44" i="88" s="1"/>
  <c r="AB44" i="88" s="1"/>
  <c r="H44" i="88"/>
  <c r="I44" i="88" s="1"/>
  <c r="J44" i="88" s="1"/>
  <c r="N44" i="88"/>
  <c r="O44" i="88" s="1"/>
  <c r="P44" i="88" s="1"/>
  <c r="CN43" i="88"/>
  <c r="CO43" i="88" s="1"/>
  <c r="CP43" i="88" s="1"/>
  <c r="CT43" i="88"/>
  <c r="CU43" i="88" s="1"/>
  <c r="CV43" i="88" s="1"/>
  <c r="CB43" i="88"/>
  <c r="CC43" i="88" s="1"/>
  <c r="CD43" i="88" s="1"/>
  <c r="CH43" i="88"/>
  <c r="CI43" i="88" s="1"/>
  <c r="CJ43" i="88" s="1"/>
  <c r="BP43" i="88"/>
  <c r="BQ43" i="88" s="1"/>
  <c r="BR43" i="88" s="1"/>
  <c r="BV43" i="88"/>
  <c r="BW43" i="88" s="1"/>
  <c r="BX43" i="88" s="1"/>
  <c r="BD43" i="88"/>
  <c r="BE43" i="88" s="1"/>
  <c r="BF43" i="88" s="1"/>
  <c r="BJ43" i="88"/>
  <c r="BK43" i="88" s="1"/>
  <c r="BL43" i="88" s="1"/>
  <c r="AR43" i="88"/>
  <c r="AS43" i="88" s="1"/>
  <c r="AT43" i="88" s="1"/>
  <c r="AX43" i="88"/>
  <c r="AY43" i="88" s="1"/>
  <c r="AZ43" i="88" s="1"/>
  <c r="AF43" i="88"/>
  <c r="AG43" i="88" s="1"/>
  <c r="AH43" i="88" s="1"/>
  <c r="AL43" i="88"/>
  <c r="AM43" i="88" s="1"/>
  <c r="AN43" i="88" s="1"/>
  <c r="T43" i="88"/>
  <c r="U43" i="88" s="1"/>
  <c r="V43" i="88" s="1"/>
  <c r="Z43" i="88"/>
  <c r="AA43" i="88" s="1"/>
  <c r="AB43" i="88" s="1"/>
  <c r="H43" i="88"/>
  <c r="I43" i="88" s="1"/>
  <c r="J43" i="88" s="1"/>
  <c r="N43" i="88"/>
  <c r="O43" i="88" s="1"/>
  <c r="P43" i="88" s="1"/>
  <c r="CH42" i="88"/>
  <c r="CI42" i="88" s="1"/>
  <c r="CJ42" i="88" s="1"/>
  <c r="CT42" i="88"/>
  <c r="CU42" i="88" s="1"/>
  <c r="CV42" i="88" s="1"/>
  <c r="BV42" i="88"/>
  <c r="BW42" i="88" s="1"/>
  <c r="BX42" i="88" s="1"/>
  <c r="CB42" i="88"/>
  <c r="CC42" i="88" s="1"/>
  <c r="CD42" i="88" s="1"/>
  <c r="BJ42" i="88"/>
  <c r="BK42" i="88" s="1"/>
  <c r="BL42" i="88" s="1"/>
  <c r="BP42" i="88"/>
  <c r="BQ42" i="88" s="1"/>
  <c r="BR42" i="88" s="1"/>
  <c r="AX42" i="88"/>
  <c r="AY42" i="88" s="1"/>
  <c r="AZ42" i="88" s="1"/>
  <c r="BD42" i="88"/>
  <c r="BE42" i="88" s="1"/>
  <c r="BF42" i="88" s="1"/>
  <c r="AL42" i="88"/>
  <c r="AM42" i="88" s="1"/>
  <c r="AN42" i="88" s="1"/>
  <c r="AR42" i="88"/>
  <c r="AS42" i="88" s="1"/>
  <c r="AT42" i="88" s="1"/>
  <c r="Z42" i="88"/>
  <c r="AA42" i="88" s="1"/>
  <c r="AB42" i="88" s="1"/>
  <c r="AF42" i="88"/>
  <c r="AG42" i="88" s="1"/>
  <c r="AH42" i="88" s="1"/>
  <c r="H42" i="88"/>
  <c r="I42" i="88" s="1"/>
  <c r="J42" i="88" s="1"/>
  <c r="T42" i="88"/>
  <c r="U42" i="88" s="1"/>
  <c r="V42" i="88" s="1"/>
  <c r="CH41" i="88"/>
  <c r="CI41" i="88" s="1"/>
  <c r="CJ41" i="88" s="1"/>
  <c r="CT41" i="88"/>
  <c r="CU41" i="88" s="1"/>
  <c r="CV41" i="88" s="1"/>
  <c r="BV41" i="88"/>
  <c r="BW41" i="88" s="1"/>
  <c r="BX41" i="88" s="1"/>
  <c r="CB41" i="88"/>
  <c r="CC41" i="88" s="1"/>
  <c r="CD41" i="88" s="1"/>
  <c r="BJ41" i="88"/>
  <c r="BK41" i="88" s="1"/>
  <c r="BL41" i="88" s="1"/>
  <c r="BP41" i="88"/>
  <c r="BQ41" i="88" s="1"/>
  <c r="BR41" i="88" s="1"/>
  <c r="AX41" i="88"/>
  <c r="AY41" i="88" s="1"/>
  <c r="AZ41" i="88" s="1"/>
  <c r="BD41" i="88"/>
  <c r="BE41" i="88" s="1"/>
  <c r="BF41" i="88" s="1"/>
  <c r="AL41" i="88"/>
  <c r="AM41" i="88" s="1"/>
  <c r="AN41" i="88" s="1"/>
  <c r="AR41" i="88"/>
  <c r="AS41" i="88" s="1"/>
  <c r="AT41" i="88" s="1"/>
  <c r="Z41" i="88"/>
  <c r="AA41" i="88" s="1"/>
  <c r="AB41" i="88" s="1"/>
  <c r="AF41" i="88"/>
  <c r="AG41" i="88" s="1"/>
  <c r="AH41" i="88" s="1"/>
  <c r="H41" i="88"/>
  <c r="I41" i="88" s="1"/>
  <c r="J41" i="88" s="1"/>
  <c r="N41" i="88"/>
  <c r="O41" i="88" s="1"/>
  <c r="P41" i="88" s="1"/>
  <c r="T41" i="88"/>
  <c r="U41" i="88" s="1"/>
  <c r="V41" i="88" s="1"/>
  <c r="CB40" i="88"/>
  <c r="CC40" i="88" s="1"/>
  <c r="CD40" i="88" s="1"/>
  <c r="CH40" i="88"/>
  <c r="CI40" i="88" s="1"/>
  <c r="CJ40" i="88" s="1"/>
  <c r="BP40" i="88"/>
  <c r="BQ40" i="88" s="1"/>
  <c r="BR40" i="88" s="1"/>
  <c r="BV40" i="88"/>
  <c r="BW40" i="88" s="1"/>
  <c r="BX40" i="88" s="1"/>
  <c r="BD40" i="88"/>
  <c r="BE40" i="88" s="1"/>
  <c r="BF40" i="88" s="1"/>
  <c r="BJ40" i="88"/>
  <c r="BK40" i="88" s="1"/>
  <c r="BL40" i="88" s="1"/>
  <c r="AR40" i="88"/>
  <c r="AS40" i="88" s="1"/>
  <c r="AT40" i="88" s="1"/>
  <c r="AX40" i="88"/>
  <c r="AY40" i="88" s="1"/>
  <c r="AZ40" i="88" s="1"/>
  <c r="AF40" i="88"/>
  <c r="AG40" i="88" s="1"/>
  <c r="AH40" i="88" s="1"/>
  <c r="AL40" i="88"/>
  <c r="AM40" i="88" s="1"/>
  <c r="AN40" i="88" s="1"/>
  <c r="H40" i="88"/>
  <c r="I40" i="88" s="1"/>
  <c r="J40" i="88" s="1"/>
  <c r="Z40" i="88"/>
  <c r="AA40" i="88" s="1"/>
  <c r="AB40" i="88" s="1"/>
  <c r="T40" i="88"/>
  <c r="U40" i="88" s="1"/>
  <c r="V40" i="88" s="1"/>
  <c r="CB39" i="88"/>
  <c r="CC39" i="88" s="1"/>
  <c r="CD39" i="88" s="1"/>
  <c r="CH39" i="88"/>
  <c r="CI39" i="88" s="1"/>
  <c r="CJ39" i="88" s="1"/>
  <c r="BP39" i="88"/>
  <c r="BQ39" i="88" s="1"/>
  <c r="BR39" i="88" s="1"/>
  <c r="BV39" i="88"/>
  <c r="BW39" i="88" s="1"/>
  <c r="BX39" i="88" s="1"/>
  <c r="BD39" i="88"/>
  <c r="BE39" i="88" s="1"/>
  <c r="BF39" i="88" s="1"/>
  <c r="BJ39" i="88"/>
  <c r="BK39" i="88" s="1"/>
  <c r="BL39" i="88" s="1"/>
  <c r="AR39" i="88"/>
  <c r="AS39" i="88" s="1"/>
  <c r="AT39" i="88" s="1"/>
  <c r="AX39" i="88"/>
  <c r="AY39" i="88" s="1"/>
  <c r="AZ39" i="88" s="1"/>
  <c r="AF39" i="88"/>
  <c r="AG39" i="88" s="1"/>
  <c r="AH39" i="88" s="1"/>
  <c r="AL39" i="88"/>
  <c r="AM39" i="88" s="1"/>
  <c r="AN39" i="88" s="1"/>
  <c r="H39" i="88"/>
  <c r="I39" i="88" s="1"/>
  <c r="J39" i="88" s="1"/>
  <c r="Z39" i="88"/>
  <c r="AA39" i="88" s="1"/>
  <c r="AB39" i="88" s="1"/>
  <c r="CH37" i="88"/>
  <c r="CI37" i="88" s="1"/>
  <c r="CJ37" i="88" s="1"/>
  <c r="CN37" i="88"/>
  <c r="CO37" i="88" s="1"/>
  <c r="CP37" i="88" s="1"/>
  <c r="H37" i="88"/>
  <c r="I37" i="88" s="1"/>
  <c r="J37" i="88" s="1"/>
  <c r="BV37" i="88"/>
  <c r="BW37" i="88" s="1"/>
  <c r="BX37" i="88" s="1"/>
  <c r="CB37" i="88"/>
  <c r="CC37" i="88" s="1"/>
  <c r="CD37" i="88" s="1"/>
  <c r="BJ37" i="88"/>
  <c r="BK37" i="88" s="1"/>
  <c r="BL37" i="88" s="1"/>
  <c r="BP37" i="88"/>
  <c r="BQ37" i="88" s="1"/>
  <c r="BR37" i="88" s="1"/>
  <c r="AX37" i="88"/>
  <c r="AY37" i="88" s="1"/>
  <c r="AZ37" i="88" s="1"/>
  <c r="BD37" i="88"/>
  <c r="BE37" i="88" s="1"/>
  <c r="BF37" i="88" s="1"/>
  <c r="AL37" i="88"/>
  <c r="AM37" i="88" s="1"/>
  <c r="AN37" i="88" s="1"/>
  <c r="AR37" i="88"/>
  <c r="AS37" i="88" s="1"/>
  <c r="AT37" i="88" s="1"/>
  <c r="T37" i="88"/>
  <c r="U37" i="88" s="1"/>
  <c r="V37" i="88" s="1"/>
  <c r="AF37" i="88"/>
  <c r="AG37" i="88" s="1"/>
  <c r="AH37" i="88" s="1"/>
  <c r="Z37" i="88"/>
  <c r="AA37" i="88" s="1"/>
  <c r="AB37" i="88" s="1"/>
  <c r="CH36" i="88"/>
  <c r="CI36" i="88" s="1"/>
  <c r="CJ36" i="88" s="1"/>
  <c r="CN36" i="88"/>
  <c r="CO36" i="88" s="1"/>
  <c r="CP36" i="88" s="1"/>
  <c r="BV36" i="88"/>
  <c r="BW36" i="88" s="1"/>
  <c r="BX36" i="88" s="1"/>
  <c r="CB36" i="88"/>
  <c r="CC36" i="88" s="1"/>
  <c r="CD36" i="88" s="1"/>
  <c r="BJ36" i="88"/>
  <c r="BK36" i="88" s="1"/>
  <c r="BL36" i="88" s="1"/>
  <c r="BP36" i="88"/>
  <c r="BQ36" i="88" s="1"/>
  <c r="BR36" i="88" s="1"/>
  <c r="AX36" i="88"/>
  <c r="AY36" i="88" s="1"/>
  <c r="AZ36" i="88" s="1"/>
  <c r="BD36" i="88"/>
  <c r="BE36" i="88" s="1"/>
  <c r="BF36" i="88" s="1"/>
  <c r="AL36" i="88"/>
  <c r="AM36" i="88" s="1"/>
  <c r="AN36" i="88" s="1"/>
  <c r="AR36" i="88"/>
  <c r="AS36" i="88" s="1"/>
  <c r="AT36" i="88" s="1"/>
  <c r="T36" i="88"/>
  <c r="U36" i="88" s="1"/>
  <c r="V36" i="88" s="1"/>
  <c r="AF36" i="88"/>
  <c r="AG36" i="88" s="1"/>
  <c r="AH36" i="88" s="1"/>
  <c r="CN35" i="88"/>
  <c r="CO35" i="88" s="1"/>
  <c r="CP35" i="88" s="1"/>
  <c r="CT35" i="88"/>
  <c r="CU35" i="88" s="1"/>
  <c r="CV35" i="88" s="1"/>
  <c r="CB35" i="88"/>
  <c r="CC35" i="88" s="1"/>
  <c r="CD35" i="88" s="1"/>
  <c r="CH35" i="88"/>
  <c r="CI35" i="88" s="1"/>
  <c r="CJ35" i="88" s="1"/>
  <c r="BJ35" i="88"/>
  <c r="BK35" i="88" s="1"/>
  <c r="BL35" i="88" s="1"/>
  <c r="BP35" i="88"/>
  <c r="BQ35" i="88" s="1"/>
  <c r="BR35" i="88" s="1"/>
  <c r="BV35" i="88"/>
  <c r="BW35" i="88" s="1"/>
  <c r="BX35" i="88" s="1"/>
  <c r="CH34" i="88"/>
  <c r="CI34" i="88" s="1"/>
  <c r="CJ34" i="88" s="1"/>
  <c r="CN34" i="88"/>
  <c r="CO34" i="88" s="1"/>
  <c r="CP34" i="88" s="1"/>
  <c r="BV34" i="88"/>
  <c r="BW34" i="88" s="1"/>
  <c r="BX34" i="88" s="1"/>
  <c r="CB34" i="88"/>
  <c r="CC34" i="88" s="1"/>
  <c r="CD34" i="88" s="1"/>
  <c r="BJ34" i="88"/>
  <c r="BK34" i="88" s="1"/>
  <c r="BL34" i="88" s="1"/>
  <c r="BP34" i="88"/>
  <c r="BQ34" i="88" s="1"/>
  <c r="BR34" i="88" s="1"/>
  <c r="AR34" i="88"/>
  <c r="AS34" i="88" s="1"/>
  <c r="AT34" i="88" s="1"/>
  <c r="BD34" i="88"/>
  <c r="BE34" i="88" s="1"/>
  <c r="BF34" i="88" s="1"/>
  <c r="CN33" i="88"/>
  <c r="CO33" i="88" s="1"/>
  <c r="CP33" i="88" s="1"/>
  <c r="CT33" i="88"/>
  <c r="CU33" i="88" s="1"/>
  <c r="CV33" i="88" s="1"/>
  <c r="CB33" i="88"/>
  <c r="CC33" i="88" s="1"/>
  <c r="CD33" i="88" s="1"/>
  <c r="CH33" i="88"/>
  <c r="CI33" i="88" s="1"/>
  <c r="CJ33" i="88" s="1"/>
  <c r="BP33" i="88"/>
  <c r="BQ33" i="88" s="1"/>
  <c r="BR33" i="88" s="1"/>
  <c r="BV33" i="88"/>
  <c r="BW33" i="88" s="1"/>
  <c r="BX33" i="88" s="1"/>
  <c r="BD33" i="88"/>
  <c r="BE33" i="88" s="1"/>
  <c r="BF33" i="88" s="1"/>
  <c r="BJ33" i="88"/>
  <c r="BK33" i="88" s="1"/>
  <c r="BL33" i="88" s="1"/>
  <c r="AR33" i="88"/>
  <c r="AS33" i="88" s="1"/>
  <c r="AT33" i="88" s="1"/>
  <c r="AX33" i="88"/>
  <c r="AY33" i="88" s="1"/>
  <c r="AZ33" i="88" s="1"/>
  <c r="Z33" i="88"/>
  <c r="AA33" i="88" s="1"/>
  <c r="AB33" i="88" s="1"/>
  <c r="AL33" i="88"/>
  <c r="AM33" i="88" s="1"/>
  <c r="AN33" i="88" s="1"/>
  <c r="CN32" i="88"/>
  <c r="CO32" i="88" s="1"/>
  <c r="CP32" i="88" s="1"/>
  <c r="CT32" i="88"/>
  <c r="CU32" i="88" s="1"/>
  <c r="CV32" i="88" s="1"/>
  <c r="CB32" i="88"/>
  <c r="CC32" i="88" s="1"/>
  <c r="CD32" i="88" s="1"/>
  <c r="CH32" i="88"/>
  <c r="CI32" i="88" s="1"/>
  <c r="CJ32" i="88" s="1"/>
  <c r="BP32" i="88"/>
  <c r="BQ32" i="88" s="1"/>
  <c r="BR32" i="88" s="1"/>
  <c r="BV32" i="88"/>
  <c r="BW32" i="88" s="1"/>
  <c r="BX32" i="88" s="1"/>
  <c r="BD32" i="88"/>
  <c r="BE32" i="88" s="1"/>
  <c r="BF32" i="88" s="1"/>
  <c r="BJ32" i="88"/>
  <c r="BK32" i="88" s="1"/>
  <c r="BL32" i="88" s="1"/>
  <c r="AR32" i="88"/>
  <c r="AS32" i="88" s="1"/>
  <c r="AT32" i="88" s="1"/>
  <c r="AX32" i="88"/>
  <c r="AY32" i="88" s="1"/>
  <c r="AZ32" i="88" s="1"/>
  <c r="AF32" i="88"/>
  <c r="AG32" i="88" s="1"/>
  <c r="AH32" i="88" s="1"/>
  <c r="AL32" i="88"/>
  <c r="AM32" i="88" s="1"/>
  <c r="AN32" i="88" s="1"/>
  <c r="H32" i="88"/>
  <c r="I32" i="88" s="1"/>
  <c r="J32" i="88" s="1"/>
  <c r="N32" i="88"/>
  <c r="O32" i="88" s="1"/>
  <c r="P32" i="88" s="1"/>
  <c r="Z32" i="88"/>
  <c r="AA32" i="88" s="1"/>
  <c r="AB32" i="88" s="1"/>
  <c r="CN31" i="88"/>
  <c r="CO31" i="88" s="1"/>
  <c r="CP31" i="88" s="1"/>
  <c r="CT31" i="88"/>
  <c r="CU31" i="88" s="1"/>
  <c r="CV31" i="88" s="1"/>
  <c r="CB31" i="88"/>
  <c r="CC31" i="88" s="1"/>
  <c r="CD31" i="88" s="1"/>
  <c r="CH31" i="88"/>
  <c r="CI31" i="88" s="1"/>
  <c r="CJ31" i="88" s="1"/>
  <c r="BP31" i="88"/>
  <c r="BQ31" i="88" s="1"/>
  <c r="BR31" i="88" s="1"/>
  <c r="BV31" i="88"/>
  <c r="BW31" i="88" s="1"/>
  <c r="BX31" i="88" s="1"/>
  <c r="BD31" i="88"/>
  <c r="BE31" i="88" s="1"/>
  <c r="BF31" i="88" s="1"/>
  <c r="BJ31" i="88"/>
  <c r="BK31" i="88" s="1"/>
  <c r="BL31" i="88" s="1"/>
  <c r="AR31" i="88"/>
  <c r="AS31" i="88" s="1"/>
  <c r="AT31" i="88" s="1"/>
  <c r="AX31" i="88"/>
  <c r="AY31" i="88" s="1"/>
  <c r="AZ31" i="88" s="1"/>
  <c r="AF31" i="88"/>
  <c r="AG31" i="88" s="1"/>
  <c r="AH31" i="88" s="1"/>
  <c r="AL31" i="88"/>
  <c r="AM31" i="88" s="1"/>
  <c r="AN31" i="88" s="1"/>
  <c r="H31" i="88"/>
  <c r="I31" i="88" s="1"/>
  <c r="J31" i="88" s="1"/>
  <c r="Z31" i="88"/>
  <c r="AA31" i="88" s="1"/>
  <c r="AB31" i="88" s="1"/>
  <c r="CB30" i="88"/>
  <c r="CC30" i="88" s="1"/>
  <c r="CD30" i="88" s="1"/>
  <c r="CH30" i="88"/>
  <c r="CI30" i="88" s="1"/>
  <c r="CJ30" i="88" s="1"/>
  <c r="BD30" i="88"/>
  <c r="BE30" i="88" s="1"/>
  <c r="BF30" i="88" s="1"/>
  <c r="BJ30" i="88"/>
  <c r="BK30" i="88" s="1"/>
  <c r="BL30" i="88" s="1"/>
  <c r="AR30" i="88"/>
  <c r="AS30" i="88" s="1"/>
  <c r="AT30" i="88" s="1"/>
  <c r="AX30" i="88"/>
  <c r="AY30" i="88" s="1"/>
  <c r="AZ30" i="88" s="1"/>
  <c r="AF30" i="88"/>
  <c r="AG30" i="88" s="1"/>
  <c r="AH30" i="88" s="1"/>
  <c r="AL30" i="88"/>
  <c r="AM30" i="88" s="1"/>
  <c r="AN30" i="88" s="1"/>
  <c r="H30" i="88"/>
  <c r="I30" i="88" s="1"/>
  <c r="J30" i="88" s="1"/>
  <c r="Z30" i="88"/>
  <c r="AA30" i="88" s="1"/>
  <c r="AB30" i="88" s="1"/>
  <c r="CB29" i="88"/>
  <c r="CC29" i="88" s="1"/>
  <c r="CD29" i="88" s="1"/>
  <c r="CH29" i="88"/>
  <c r="CI29" i="88" s="1"/>
  <c r="CJ29" i="88" s="1"/>
  <c r="BP29" i="88"/>
  <c r="BQ29" i="88" s="1"/>
  <c r="BR29" i="88" s="1"/>
  <c r="BV29" i="88"/>
  <c r="BW29" i="88" s="1"/>
  <c r="BX29" i="88" s="1"/>
  <c r="BD29" i="88"/>
  <c r="BE29" i="88" s="1"/>
  <c r="BF29" i="88" s="1"/>
  <c r="BJ29" i="88"/>
  <c r="BK29" i="88" s="1"/>
  <c r="BL29" i="88" s="1"/>
  <c r="AR29" i="88"/>
  <c r="AS29" i="88" s="1"/>
  <c r="AT29" i="88" s="1"/>
  <c r="AX29" i="88"/>
  <c r="AY29" i="88" s="1"/>
  <c r="AZ29" i="88" s="1"/>
  <c r="AF29" i="88"/>
  <c r="AG29" i="88" s="1"/>
  <c r="AH29" i="88" s="1"/>
  <c r="AL29" i="88"/>
  <c r="AM29" i="88" s="1"/>
  <c r="AN29" i="88" s="1"/>
  <c r="T29" i="88"/>
  <c r="U29" i="88" s="1"/>
  <c r="V29" i="88" s="1"/>
  <c r="Z29" i="88"/>
  <c r="AA29" i="88" s="1"/>
  <c r="AB29" i="88" s="1"/>
  <c r="H29" i="88"/>
  <c r="I29" i="88" s="1"/>
  <c r="J29" i="88" s="1"/>
  <c r="N29" i="88"/>
  <c r="O29" i="88" s="1"/>
  <c r="P29" i="88" s="1"/>
  <c r="CN28" i="88"/>
  <c r="CO28" i="88" s="1"/>
  <c r="CP28" i="88" s="1"/>
  <c r="CT28" i="88"/>
  <c r="CU28" i="88" s="1"/>
  <c r="CV28" i="88" s="1"/>
  <c r="CB28" i="88"/>
  <c r="CC28" i="88" s="1"/>
  <c r="CD28" i="88" s="1"/>
  <c r="CH28" i="88"/>
  <c r="CI28" i="88" s="1"/>
  <c r="CJ28" i="88" s="1"/>
  <c r="BP28" i="88"/>
  <c r="BQ28" i="88" s="1"/>
  <c r="BR28" i="88" s="1"/>
  <c r="BV28" i="88"/>
  <c r="BW28" i="88" s="1"/>
  <c r="BX28" i="88" s="1"/>
  <c r="BD28" i="88"/>
  <c r="BE28" i="88" s="1"/>
  <c r="BF28" i="88" s="1"/>
  <c r="BJ28" i="88"/>
  <c r="BK28" i="88" s="1"/>
  <c r="BL28" i="88" s="1"/>
  <c r="AR28" i="88"/>
  <c r="AS28" i="88" s="1"/>
  <c r="AT28" i="88" s="1"/>
  <c r="AX28" i="88"/>
  <c r="AY28" i="88" s="1"/>
  <c r="AZ28" i="88" s="1"/>
  <c r="AF28" i="88"/>
  <c r="AG28" i="88" s="1"/>
  <c r="AH28" i="88" s="1"/>
  <c r="AL28" i="88"/>
  <c r="AM28" i="88" s="1"/>
  <c r="AN28" i="88" s="1"/>
  <c r="T28" i="88"/>
  <c r="U28" i="88" s="1"/>
  <c r="V28" i="88" s="1"/>
  <c r="Z28" i="88"/>
  <c r="AA28" i="88" s="1"/>
  <c r="AB28" i="88" s="1"/>
  <c r="H28" i="88"/>
  <c r="I28" i="88" s="1"/>
  <c r="J28" i="88" s="1"/>
  <c r="N28" i="88"/>
  <c r="O28" i="88" s="1"/>
  <c r="P28" i="88" s="1"/>
  <c r="CB27" i="88"/>
  <c r="CC27" i="88" s="1"/>
  <c r="CD27" i="88" s="1"/>
  <c r="CH27" i="88"/>
  <c r="CI27" i="88" s="1"/>
  <c r="CJ27" i="88" s="1"/>
  <c r="BD27" i="88"/>
  <c r="BE27" i="88" s="1"/>
  <c r="BF27" i="88" s="1"/>
  <c r="BJ27" i="88"/>
  <c r="BK27" i="88" s="1"/>
  <c r="BL27" i="88" s="1"/>
  <c r="AR27" i="88"/>
  <c r="AS27" i="88" s="1"/>
  <c r="AT27" i="88" s="1"/>
  <c r="AX27" i="88"/>
  <c r="AY27" i="88" s="1"/>
  <c r="AZ27" i="88" s="1"/>
  <c r="AF27" i="88"/>
  <c r="AG27" i="88" s="1"/>
  <c r="AH27" i="88" s="1"/>
  <c r="AL27" i="88"/>
  <c r="AM27" i="88" s="1"/>
  <c r="AN27" i="88" s="1"/>
  <c r="T27" i="88"/>
  <c r="U27" i="88" s="1"/>
  <c r="V27" i="88" s="1"/>
  <c r="Z27" i="88"/>
  <c r="AA27" i="88" s="1"/>
  <c r="AB27" i="88" s="1"/>
  <c r="H27" i="88"/>
  <c r="I27" i="88" s="1"/>
  <c r="J27" i="88" s="1"/>
  <c r="N27" i="88"/>
  <c r="O27" i="88" s="1"/>
  <c r="P27" i="88" s="1"/>
  <c r="C29" i="96" l="1"/>
  <c r="C32" i="96"/>
  <c r="C23" i="96"/>
  <c r="C25" i="93"/>
  <c r="C25" i="92"/>
  <c r="C24" i="92"/>
  <c r="C29" i="92"/>
  <c r="C28" i="92"/>
  <c r="C26" i="92"/>
  <c r="C23" i="92"/>
  <c r="C26" i="91"/>
  <c r="C35" i="91"/>
  <c r="C34" i="91"/>
  <c r="C33" i="91"/>
  <c r="C32" i="91"/>
  <c r="C25" i="91"/>
  <c r="C20" i="91"/>
  <c r="C19" i="91"/>
  <c r="C18" i="91"/>
  <c r="C17" i="91"/>
  <c r="C16" i="91"/>
  <c r="C15" i="91"/>
  <c r="C19" i="90"/>
  <c r="C25" i="90"/>
  <c r="C31" i="90"/>
  <c r="C30" i="90"/>
  <c r="C29" i="90"/>
  <c r="C28" i="90"/>
  <c r="C14" i="90"/>
  <c r="C22" i="94"/>
  <c r="C30" i="94"/>
  <c r="C32" i="94"/>
  <c r="C18" i="94"/>
  <c r="C21" i="94"/>
  <c r="C17" i="94"/>
  <c r="C34" i="94"/>
  <c r="C31" i="94"/>
  <c r="C25" i="94"/>
  <c r="C38" i="88"/>
  <c r="C47" i="88"/>
  <c r="C46" i="88"/>
  <c r="C45" i="88"/>
  <c r="C44" i="88"/>
  <c r="C43" i="88"/>
  <c r="C42" i="88"/>
  <c r="C41" i="88"/>
  <c r="C40" i="88"/>
  <c r="C39" i="88"/>
  <c r="C37" i="88"/>
  <c r="C36" i="88"/>
  <c r="C35" i="88"/>
  <c r="C34" i="88"/>
  <c r="C33" i="88"/>
  <c r="C32" i="88"/>
  <c r="C31" i="88"/>
  <c r="C30" i="88"/>
  <c r="C29" i="88"/>
  <c r="C28" i="88"/>
  <c r="C27" i="88"/>
</calcChain>
</file>

<file path=xl/comments1.xml><?xml version="1.0" encoding="utf-8"?>
<comments xmlns="http://schemas.openxmlformats.org/spreadsheetml/2006/main">
  <authors>
    <author>Скрынникова Ж.А.</author>
  </authors>
  <commentList>
    <comment ref="B27" authorId="0" shapeId="0">
      <text>
        <r>
          <rPr>
            <b/>
            <sz val="9"/>
            <color indexed="81"/>
            <rFont val="Tahoma"/>
            <charset val="1"/>
          </rPr>
          <t>Измерение "Администратор.Сопоставим"
Параметр "Администратор" (от родительской задачи)</t>
        </r>
      </text>
    </comment>
    <comment ref="C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=ЕСЛИ(Применим ли в оценке&lt;&gt;1;"";SUM(1Взвешенное значение;3Взвешенное значение;4Взвешенное значение;5Взвешенное значение;6Взвешенное значение;7Взвешенное значение;8Взвешенное значение;9Взвешенное значение;11 Взвешенное значение;12Взвешенное значение;13Взвешенное значение;14Взвешенное значение;15Взвешенное значение;16Взвешенное значение;17Взвешенное значение;18Взвешенное значение))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бюджета].[Управление расходами местного бюджета]</t>
        </r>
      </text>
    </comment>
    <comment ref="D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Включена типовая формула:
=ЕСЛИ(SUM(1Применим ли в оценке;3Применим ли в оценке;4Применим ли в оценке;5Применим ли в оценке;6Применим ли в оценке;7Применим ли в оценке;8Применим ли в оценке;9Применим ли в оценке;11 Применим ли в оценке;12Применим ли в оценке;13Применим ли в оценке;14Применим ли в оценке;15Применим ли в оценке;16Применим ли в оценке;17Применим ли в оценке;18Применим ли в оценке)=0;0;1)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бюджета].[Управление расходами местного бюджета]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отклоненных планов-графиков (изменений в планы-графики) закупок, представленных в департамент финансов администрации муниципального образования город Краснодар (далее – департамент финансов) в рамках возложенных функций по осуществлению контроля в сфере закупок]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отклоненных планов-графиков (изменений в планы-графики) закупок, представленных в департамент финансов администрации муниципального образования город Краснодар (далее – департамент финансов) в рамках возложенных функций по осуществлению контроля в сфере закупок]</t>
        </r>
      </text>
    </comment>
    <comment ref="G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отклоненных планов-графиков (изменений в планы-графики) закупок, представленных в департамент финансов администрации муниципального образования город Краснодар (далее – департамент финансов) в рамках возложенных функций по осуществлению контроля в сфере закупок]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Свободный "1Вес расчетный"
Итоги подводятся только по видимым элементам (сумма).
Включена типовая формула:
=ЕСЛИ(1Применим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весов*Вес1.1/MIN(Вес1.1;Вес1.3;Вес1.4;Вес1.5;Вес1.6;Вес1.7;Вес1.8;Вес1.9;Вес1.11;Вес1.12;Вес1.13;Вес1.14;Вес1.15;Вес1.16;Вес1.17;Вес1.18));"")</t>
        </r>
      </text>
    </comment>
    <comment ref="I27" authorId="0" shapeId="0">
      <text>
        <r>
          <rPr>
            <b/>
            <sz val="9"/>
            <color indexed="81"/>
            <rFont val="Tahoma"/>
            <charset val="1"/>
          </rPr>
          <t>Свободный "1Оценка с уч веса"
Итоги подводятся только по видимым элементам (сумма).
Включена типовая формула:
=ЕСЛИ(1Вес расчетный="";"не применяется";ЕСЛИ(1Применим ли в оценке=0;"не применяется";1Вес расчетный*1Оценка показателя/100))</t>
        </r>
      </text>
    </comment>
    <comment ref="J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=ЕСЛИ(ЕЧИСЛО(1Оценка с уч веса);1Оценка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отклоненных планов-графиков (изменений в планы-графики) закупок, представленных в департамент финансов администрации муниципального образования город Краснодар (далее – департамент финансов) в рамках возложенных функций по осуществлению контроля в сфере закупок]</t>
        </r>
      </text>
    </comment>
    <comment ref="K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бюджета].[Своевременность представления уточнённого реестра расходных обязательств]</t>
        </r>
      </text>
    </comment>
    <comment ref="L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бюджета].[Своевременность представления уточнённого реестра расходных обязательств]</t>
        </r>
      </text>
    </comment>
    <comment ref="M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бюджета].[Своевременность представления уточнённого реестра расходных обязательств]</t>
        </r>
      </text>
    </comment>
    <comment ref="N27" authorId="0" shapeId="0">
      <text>
        <r>
          <rPr>
            <b/>
            <sz val="9"/>
            <color indexed="81"/>
            <rFont val="Tahoma"/>
            <charset val="1"/>
          </rPr>
          <t>Свободный "3Вес расчетный"
Итоги подводятся только по видимым элементам (сумма).
Включена типовая формула:
=ЕСЛИ(3Применим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весов*Вес1.3/MIN(Вес1.1;Вес1.3;Вес1.4;Вес1.5;Вес1.6;Вес1.7;Вес1.8;Вес1.9;Вес1.11;Вес1.12;Вес1.13;Вес1.14;Вес1.15;Вес1.16;Вес1.17;Вес1.18));"")</t>
        </r>
      </text>
    </comment>
    <comment ref="O27" authorId="0" shapeId="0">
      <text>
        <r>
          <rPr>
            <b/>
            <sz val="9"/>
            <color indexed="81"/>
            <rFont val="Tahoma"/>
            <charset val="1"/>
          </rPr>
          <t>Свободный "3Оценка с уч веса"
Итоги подводятся только по видимым элементам (сумма).
Включена типовая формула:
=ЕСЛИ(3Вес расчетный="";"не применяется";ЕСЛИ(3Применим ли в оценке=0;"не применяется";3Вес расчетный*3Оценка показателя/100))</t>
        </r>
      </text>
    </comment>
    <comment ref="P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=ЕСЛИ(ЕЧИСЛО(3Оценка с уч веса);3Оценка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бюджета].[Своевременность представления уточнённого реестра расходных обязательств]</t>
        </r>
      </text>
    </comment>
    <comment ref="Q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правового акта главного распорядителя средств местного бюджета (далее – ГРБС), регулирующего порядок составления, утверждения и ведения бюджетных смет]</t>
        </r>
      </text>
    </comment>
    <comment ref="R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правового акта главного распорядителя средств местного бюджета (далее – ГРБС), регулирующего порядок составления, утверждения и ведения бюджетных смет]</t>
        </r>
      </text>
    </comment>
    <comment ref="S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правового акта главного распорядителя средств местного бюджета (далее – ГРБС), регулирующего порядок составления, утверждения и ведения бюджетных смет]</t>
        </r>
      </text>
    </comment>
    <comment ref="T27" authorId="0" shapeId="0">
      <text>
        <r>
          <rPr>
            <b/>
            <sz val="9"/>
            <color indexed="81"/>
            <rFont val="Tahoma"/>
            <charset val="1"/>
          </rPr>
          <t>Свободный "4Вес расчетный"
Итоги подводятся только по видимым элементам (сумма).
Включена типовая формула:
=ЕСЛИ(4Применим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весов*Вес1.4/MIN(Вес1.1;Вес1.3;Вес1.4;Вес1.5;Вес1.6;Вес1.7;Вес1.8;Вес1.9;Вес1.11;Вес1.12;Вес1.13;Вес1.14;Вес1.15;Вес1.16;Вес1.17;Вес1.18));"")</t>
        </r>
      </text>
    </comment>
    <comment ref="U27" authorId="0" shapeId="0">
      <text>
        <r>
          <rPr>
            <b/>
            <sz val="9"/>
            <color indexed="81"/>
            <rFont val="Tahoma"/>
            <charset val="1"/>
          </rPr>
          <t>Свободный "4Оценка с уч веса"
Итоги подводятся только по видимым элементам (сумма).
Включена типовая формула:
=ЕСЛИ(4Вес расчетный="";"не применяется";ЕСЛИ(4Применим ли в оценке=0;"не применяется";4Оценка показателя*4Вес расчетный/100))</t>
        </r>
      </text>
    </comment>
    <comment ref="V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=ЕСЛИ(ЕЧИСЛО(4Оценка с уч веса);4Оценка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правового акта главного распорядителя средств местного бюджета (далее – ГРБС), регулирующего порядок составления, утверждения и ведения бюджетных смет]</t>
        </r>
      </text>
    </comment>
    <comment ref="W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бюджета].[Своевременность принятия бюджетных обязательств]</t>
        </r>
      </text>
    </comment>
    <comment ref="X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бюджета].[Своевременность принятия бюджетных обязательств]</t>
        </r>
      </text>
    </comment>
    <comment ref="Y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бюджета].[Своевременность принятия бюджетных обязательств]</t>
        </r>
      </text>
    </comment>
    <comment ref="Z27" authorId="0" shapeId="0">
      <text>
        <r>
          <rPr>
            <b/>
            <sz val="9"/>
            <color indexed="81"/>
            <rFont val="Tahoma"/>
            <charset val="1"/>
          </rPr>
          <t>Свободный "5Вес расчетный"
Итоги подводятся только по видимым элементам (сумма).
Включена типовая формула:
=ЕСЛИ(5Применим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весов*Вес1.5/MIN(Вес1.1;Вес1.3;Вес1.4;Вес1.5;Вес1.6;Вес1.7;Вес1.8;Вес1.9;Вес1.11;Вес1.12;Вес1.13;Вес1.14;Вес1.15;Вес1.16;Вес1.17;Вес1.18));"")</t>
        </r>
      </text>
    </comment>
    <comment ref="AA27" authorId="0" shapeId="0">
      <text>
        <r>
          <rPr>
            <b/>
            <sz val="9"/>
            <color indexed="81"/>
            <rFont val="Tahoma"/>
            <charset val="1"/>
          </rPr>
          <t>Свободный "5Оценка с уч веса"
Итоги подводятся только по видимым элементам (сумма).
Включена типовая формула:
=ЕСЛИ(5Вес расчетный="";"не применяется";ЕСЛИ(5Применим ли в оценке=0;"не применяется";5Вес расчетный*5Оценка показателя/100))</t>
        </r>
      </text>
    </comment>
    <comment ref="AB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=ЕСЛИ(ЕЧИСЛО(5Оценка с уч веса);5Оценка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бюджета].[Своевременность принятия бюджетных обязательств]</t>
        </r>
      </text>
    </comment>
    <comment ref="AC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бюджета].[Соблюдение требований о непревышении бюджетных обязательств ГРБС над лимитами бюджетных обязательств]</t>
        </r>
      </text>
    </comment>
    <comment ref="AD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бюджета].[Соблюдение требований о непревышении бюджетных обязательств ГРБС над лимитами бюджетных обязательств]</t>
        </r>
      </text>
    </comment>
    <comment ref="AE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бюджета].[Соблюдение требований о непревышении бюджетных обязательств ГРБС над лимитами бюджетных обязательств]</t>
        </r>
      </text>
    </comment>
    <comment ref="AF27" authorId="0" shapeId="0">
      <text>
        <r>
          <rPr>
            <b/>
            <sz val="9"/>
            <color indexed="81"/>
            <rFont val="Tahoma"/>
            <charset val="1"/>
          </rPr>
          <t>Свободный "6Вес расчетный"
Итоги подводятся только по видимым элементам (сумма).
Включена типовая формула:
=ЕСЛИ(6Применим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весов*Вес1.6/MIN(Вес1.1;Вес1.3;Вес1.4;Вес1.5;Вес1.6;Вес1.7;Вес1.8;Вес1.9;Вес1.11;Вес1.12;Вес1.13;Вес1.14;Вес1.15;Вес1.16;Вес1.17;Вес1.18));"")</t>
        </r>
      </text>
    </comment>
    <comment ref="AG27" authorId="0" shapeId="0">
      <text>
        <r>
          <rPr>
            <b/>
            <sz val="9"/>
            <color indexed="81"/>
            <rFont val="Tahoma"/>
            <charset val="1"/>
          </rPr>
          <t>Свободный "6Оценка с уч веса"
Итоги подводятся только по видимым элементам (сумма).
Включена типовая формула:
=ЕСЛИ(6Вес расчетный="";"не применяется";ЕСЛИ(6Применим ли в оценке=0;"не применяется";6Вес расчетный*6Оценка показателя/100))</t>
        </r>
      </text>
    </comment>
    <comment ref="AH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=ЕСЛИ(ЕЧИСЛО(6Оценка с уч веса);6Оценка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бюджета].[Соблюдение требований о непревышении бюджетных обязательств ГРБС над лимитами бюджетных обязательств]</t>
        </r>
      </text>
    </comment>
    <comment ref="AI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планирования расходов]</t>
        </r>
      </text>
    </comment>
    <comment ref="AJ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планирования расходов]</t>
        </r>
      </text>
    </comment>
    <comment ref="AK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планирования расходов]</t>
        </r>
      </text>
    </comment>
    <comment ref="AL27" authorId="0" shapeId="0">
      <text>
        <r>
          <rPr>
            <b/>
            <sz val="9"/>
            <color indexed="81"/>
            <rFont val="Tahoma"/>
            <charset val="1"/>
          </rPr>
          <t>Свободный "7Вес расчетный"
Итоги подводятся только по видимым элементам (сумма).
Включена типовая формула:
=ЕСЛИ(7Применим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весов*Вес1.7/MIN(Вес1.1;Вес1.3;Вес1.4;Вес1.5;Вес1.6;Вес1.7;Вес1.8;Вес1.9;Вес1.11;Вес1.12;Вес1.13;Вес1.14;Вес1.15;Вес1.16;Вес1.17;Вес1.18));"")</t>
        </r>
      </text>
    </comment>
    <comment ref="AM27" authorId="0" shapeId="0">
      <text>
        <r>
          <rPr>
            <b/>
            <sz val="9"/>
            <color indexed="81"/>
            <rFont val="Tahoma"/>
            <charset val="1"/>
          </rPr>
          <t>Свободный "7Оценка с уч веса"
Итоги подводятся только по видимым элементам (сумма).
Включена типовая формула:
=ЕСЛИ(7Вес расчетный="";"не применяется";ЕСЛИ(7Применим ли в оценке=0;"не применяется";7Вес расчетный*7Оценка показателя/100))</t>
        </r>
      </text>
    </comment>
    <comment ref="AN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=ЕСЛИ(ЕЧИСЛО(7Оценка с уч веса);7Оценка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планирования расходов]</t>
        </r>
      </text>
    </comment>
    <comment ref="AO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составления прогнозных показателей исполнения бюджетных обязательств]</t>
        </r>
      </text>
    </comment>
    <comment ref="AP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составления прогнозных показателей исполнения бюджетных обязательств]</t>
        </r>
      </text>
    </comment>
    <comment ref="AQ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составления прогнозных показателей исполнения бюджетных обязательств]</t>
        </r>
      </text>
    </comment>
    <comment ref="AR27" authorId="0" shapeId="0">
      <text>
        <r>
          <rPr>
            <b/>
            <sz val="9"/>
            <color indexed="81"/>
            <rFont val="Tahoma"/>
            <charset val="1"/>
          </rPr>
          <t>Свободный "8Вес расчетный"
Итоги подводятся только по видимым элементам (сумма).
Включена типовая формула:
=ЕСЛИ(8Применим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весов*Вес1.8/MIN(Вес1.1;Вес1.3;Вес1.4;Вес1.5;Вес1.6;Вес1.7;Вес1.8;Вес1.9;Вес1.11;Вес1.12;Вес1.13;Вес1.14;Вес1.15;Вес1.16;Вес1.17;Вес1.18));"")</t>
        </r>
      </text>
    </comment>
    <comment ref="AS27" authorId="0" shapeId="0">
      <text>
        <r>
          <rPr>
            <b/>
            <sz val="9"/>
            <color indexed="81"/>
            <rFont val="Tahoma"/>
            <charset val="1"/>
          </rPr>
          <t>Свободный "8Оценка с уч веса"
Итоги подводятся только по видимым элементам (сумма).
Включена типовая формула:
=ЕСЛИ(8Вес расчетный="";"не применяется";ЕСЛИ(8Применим ли в оценке=0;"не применяется";8Вес расчетный*8Оценка показателя/100))</t>
        </r>
      </text>
    </comment>
    <comment ref="AT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=ЕСЛИ(ЕЧИСЛО(8Оценка с уч веса);8Оценка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составления прогнозных показателей исполнения бюджетных обязательств]</t>
        </r>
      </text>
    </comment>
    <comment ref="AU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осуществления равномерности расходов]</t>
        </r>
      </text>
    </comment>
    <comment ref="AV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осуществления равномерности расходов]</t>
        </r>
      </text>
    </comment>
    <comment ref="AW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осуществления равномерности расходов]</t>
        </r>
      </text>
    </comment>
    <comment ref="AX27" authorId="0" shapeId="0">
      <text>
        <r>
          <rPr>
            <b/>
            <sz val="9"/>
            <color indexed="81"/>
            <rFont val="Tahoma"/>
            <charset val="1"/>
          </rPr>
          <t>Свободный "9Вес расчетный"
Итоги подводятся только по видимым элементам (сумма).
Включена типовая формула:
=ЕСЛИ(9Применим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весов*Вес1.9/MIN(Вес1.1;Вес1.3;Вес1.4;Вес1.5;Вес1.6;Вес1.7;Вес1.8;Вес1.9;Вес1.11;Вес1.12;Вес1.13;Вес1.14;Вес1.15;Вес1.16;Вес1.17;Вес1.18));"")</t>
        </r>
      </text>
    </comment>
    <comment ref="AY27" authorId="0" shapeId="0">
      <text>
        <r>
          <rPr>
            <b/>
            <sz val="9"/>
            <color indexed="81"/>
            <rFont val="Tahoma"/>
            <charset val="1"/>
          </rPr>
          <t>Свободный "9Оценка с уч веса"
Итоги подводятся только по видимым элементам (сумма).
Включена типовая формула:
=ЕСЛИ(9Вес расчетный="";"не применяется";ЕСЛИ(9Применим ли в оценке=0;"не применяется";9Вес расчетный*9Оценка показателя/100))</t>
        </r>
      </text>
    </comment>
    <comment ref="AZ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=ЕСЛИ(ЕЧИСЛО(9Оценка с уч веса);9Оценка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осуществления равномерности расходов]</t>
        </r>
      </text>
    </comment>
    <comment ref="BA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помесячного исполнения кассового плана ГАБС в части кассовых выплат по расходам местного бюджета с учётом прогнозных значений* (показатель применим с 2021г)]</t>
        </r>
      </text>
    </comment>
    <comment ref="BB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помесячного исполнения кассового плана ГАБС в части кассовых выплат по расходам местного бюджета с учётом прогнозных значений* (показатель применим с 2021г)]</t>
        </r>
      </text>
    </comment>
    <comment ref="BC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помесячного исполнения кассового плана ГАБС в части кассовых выплат по расходам местного бюджета с учётом прогнозных значений* (показатель применим с 2021г)]</t>
        </r>
      </text>
    </comment>
    <comment ref="BD27" authorId="0" shapeId="0">
      <text>
        <r>
          <rPr>
            <b/>
            <sz val="9"/>
            <color indexed="81"/>
            <rFont val="Tahoma"/>
            <charset val="1"/>
          </rPr>
          <t>Свободный "11 Вес расчетный"
Итоги подводятся только по видимым элементам (сумма).
Включена типовая формула:
=ЕСЛИ(11 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весов*Вес1.11/MIN(Вес1.1;Вес1.3;Вес1.4;Вес1.5;Вес1.6;Вес1.7;Вес1.8;Вес1.9;Вес1.11;Вес1.12;Вес1.13;Вес1.14;Вес1.15;Вес1.16;Вес1.17;Вес1.18));"")</t>
        </r>
      </text>
    </comment>
    <comment ref="BE27" authorId="0" shapeId="0">
      <text>
        <r>
          <rPr>
            <b/>
            <sz val="9"/>
            <color indexed="81"/>
            <rFont val="Tahoma"/>
            <charset val="1"/>
          </rPr>
          <t>Свободный "11 Оценка с уч веса"
Итоги подводятся только по видимым элементам (сумма).
Включена типовая формула:
=ЕСЛИ(11 Вес расчетный="";"не применяется";ЕСЛИ(11 Применим ли в оценке=0;"не применяется";11 Вес расчетный*11 Оценка показателя/100))</t>
        </r>
      </text>
    </comment>
    <comment ref="BF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=ЕСЛИ(ЕЧИСЛО(11 Оценка с уч веса);11 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бюджета].[Качество помесячного исполнения кассового плана ГАБС в части кассовых выплат по расходам местного бюджета с учётом прогнозных значений* (показатель применим с 2021г)]</t>
        </r>
      </text>
    </comment>
    <comment ref="BG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не использованных на конец года бюджетных ассигнований]</t>
        </r>
      </text>
    </comment>
    <comment ref="BH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не использованных на конец года бюджетных ассигнований]</t>
        </r>
      </text>
    </comment>
    <comment ref="BI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не использованных на конец года бюджетных ассигнований]</t>
        </r>
      </text>
    </comment>
    <comment ref="BJ27" authorId="0" shapeId="0">
      <text>
        <r>
          <rPr>
            <b/>
            <sz val="9"/>
            <color indexed="81"/>
            <rFont val="Tahoma"/>
            <charset val="1"/>
          </rPr>
          <t>Свободный "12Вес расчетный"
Итоги подводятся только по видимым элементам (сумма).
Включена типовая формула:
=ЕСЛИ(12Применим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весов*Вес1.12/MIN(Вес1.1;Вес1.3;Вес1.4;Вес1.5;Вес1.6;Вес1.7;Вес1.8;Вес1.9;Вес1.11;Вес1.12;Вес1.13;Вес1.14;Вес1.15;Вес1.16;Вес1.17;Вес1.18));"")</t>
        </r>
      </text>
    </comment>
    <comment ref="BK27" authorId="0" shapeId="0">
      <text>
        <r>
          <rPr>
            <b/>
            <sz val="9"/>
            <color indexed="81"/>
            <rFont val="Tahoma"/>
            <charset val="1"/>
          </rPr>
          <t>Свободный "12Оценка с уч веса"
Итоги подводятся только по видимым элементам (сумма).
Включена типовая формула:
=ЕСЛИ(12Вес расчетный="";"не применяется";ЕСЛИ(12Применим ли в оценке=0;"не применяется";12Вес расчетный*12Оценка показателя/100))</t>
        </r>
      </text>
    </comment>
    <comment ref="BL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=ЕСЛИ(ЕЧИСЛО(12Оценка с уч веса);12Оценка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не использованных на конец года бюджетных ассигнований]</t>
        </r>
      </text>
    </comment>
    <comment ref="BM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бюджета].[Эффективность использования межбюджетных трансфертов, имеющих целевое назначение, источником финансового обеспечения которых являются средства федерального бюджета, краевого бюджета]</t>
        </r>
      </text>
    </comment>
    <comment ref="BN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бюджета].[Эффективность использования межбюджетных трансфертов, имеющих целевое назначение, источником финансового обеспечения которых являются средства федерального бюджета, краевого бюджета]</t>
        </r>
      </text>
    </comment>
    <comment ref="BO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бюджета].[Эффективность использования межбюджетных трансфертов, имеющих целевое назначение, источником финансового обеспечения которых являются средства федерального бюджета, краевого бюджета]</t>
        </r>
      </text>
    </comment>
    <comment ref="BP27" authorId="0" shapeId="0">
      <text>
        <r>
          <rPr>
            <b/>
            <sz val="9"/>
            <color indexed="81"/>
            <rFont val="Tahoma"/>
            <charset val="1"/>
          </rPr>
          <t>Свободный "13Вес расчетный"
Итоги подводятся только по видимым элементам (сумма).
Включена типовая формула:
=ЕСЛИ(13Применим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весов*Вес1.13/MIN(Вес1.1;Вес1.3;Вес1.4;Вес1.5;Вес1.6;Вес1.7;Вес1.8;Вес1.9;Вес1.11;Вес1.12;Вес1.13;Вес1.14;Вес1.15;Вес1.16;Вес1.17;Вес1.18));"")</t>
        </r>
      </text>
    </comment>
    <comment ref="BQ27" authorId="0" shapeId="0">
      <text>
        <r>
          <rPr>
            <b/>
            <sz val="9"/>
            <color indexed="81"/>
            <rFont val="Tahoma"/>
            <charset val="1"/>
          </rPr>
          <t>Свободный "13Оценка с уч веса"
Итоги подводятся только по видимым элементам (сумма).
Включена типовая формула:
=ЕСЛИ(13Вес расчетный="";"не применяется";ЕСЛИ(13Применим ли в оценке=0;"не применяется";13Вес расчетный*13Оценка показателя/100))</t>
        </r>
      </text>
    </comment>
    <comment ref="BR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=ЕСЛИ(ЕЧИСЛО(13Оценка с уч веса);13Оценка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бюджета].[Эффективность использования межбюджетных трансфертов, имеющих целевое назначение, источником финансового обеспечения которых являются средства федерального бюджета, краевого бюджета]</t>
        </r>
      </text>
    </comment>
    <comment ref="BS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не использованных на конец года бюджетных ассигнований на предоставление межбюджетных трансфертов]</t>
        </r>
      </text>
    </comment>
    <comment ref="BT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не использованных на конец года бюджетных ассигнований на предоставление межбюджетных трансфертов]</t>
        </r>
      </text>
    </comment>
    <comment ref="BU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не использованных на конец года бюджетных ассигнований на предоставление межбюджетных трансфертов]</t>
        </r>
      </text>
    </comment>
    <comment ref="BV27" authorId="0" shapeId="0">
      <text>
        <r>
          <rPr>
            <b/>
            <sz val="9"/>
            <color indexed="81"/>
            <rFont val="Tahoma"/>
            <charset val="1"/>
          </rPr>
          <t>Свободный "14Вес расчетный"
Итоги подводятся только по видимым элементам (сумма).
Включена типовая формула:
=ЕСЛИ(14Применим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весов*Вес1.14/MIN(Вес1.1;Вес1.3;Вес1.4;Вес1.5;Вес1.6;Вес1.7;Вес1.8;Вес1.9;Вес1.11;Вес1.12;Вес1.13;Вес1.14;Вес1.15;Вес1.16;Вес1.17;Вес1.18));"")</t>
        </r>
      </text>
    </comment>
    <comment ref="BW27" authorId="0" shapeId="0">
      <text>
        <r>
          <rPr>
            <b/>
            <sz val="9"/>
            <color indexed="81"/>
            <rFont val="Tahoma"/>
            <charset val="1"/>
          </rPr>
          <t>Свободный "14Оценка с уч веса"
Итоги подводятся только по видимым элементам (сумма).
Включена типовая формула:
=ЕСЛИ(14Вес расчетный="";"не применяется";ЕСЛИ(14Применим ли в оценке=0;"не применяется";14Вес расчетный*14Оценка показателя/100))</t>
        </r>
      </text>
    </comment>
    <comment ref="BX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=ЕСЛИ(ЕЧИСЛО(14Оценка с уч веса);14Оценка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бюджета].[Доля не использованных на конец года бюджетных ассигнований на предоставление межбюджетных трансфертов]</t>
        </r>
      </text>
    </comment>
    <comment ref="BY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бюджета].[Эффективность управления кредиторской задолженностью по расчётам с поставщиками и подрядчиками]</t>
        </r>
      </text>
    </comment>
    <comment ref="BZ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бюджета].[Эффективность управления кредиторской задолженностью по расчётам с поставщиками и подрядчиками]</t>
        </r>
      </text>
    </comment>
    <comment ref="CA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бюджета].[Эффективность управления кредиторской задолженностью по расчётам с поставщиками и подрядчиками]</t>
        </r>
      </text>
    </comment>
    <comment ref="CB27" authorId="0" shapeId="0">
      <text>
        <r>
          <rPr>
            <b/>
            <sz val="9"/>
            <color indexed="81"/>
            <rFont val="Tahoma"/>
            <charset val="1"/>
          </rPr>
          <t>Свободный "15Вес расчетный"
Итоги подводятся только по видимым элементам (сумма).
Включена типовая формула:
=ЕСЛИ(15Применим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весов*Вес1.15/MIN(Вес1.1;Вес1.3;Вес1.4;Вес1.5;Вес1.6;Вес1.7;Вес1.8;Вес1.9;Вес1.11;Вес1.12;Вес1.13;Вес1.14;Вес1.15;Вес1.16;Вес1.17;Вес1.18));"")</t>
        </r>
      </text>
    </comment>
    <comment ref="CC27" authorId="0" shapeId="0">
      <text>
        <r>
          <rPr>
            <b/>
            <sz val="9"/>
            <color indexed="81"/>
            <rFont val="Tahoma"/>
            <charset val="1"/>
          </rPr>
          <t>Свободный "15Оценка с уч веса"
Итоги подводятся только по видимым элементам (сумма).
Включена типовая формула:
=ЕСЛИ(15Вес расчетный="";"не применяется";ЕСЛИ(15Применим ли в оценке=0;"не применяется";15Вес расчетный*15Оценка показателя/100))</t>
        </r>
      </text>
    </comment>
    <comment ref="CD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=ЕСЛИ(ЕЧИСЛО(15Оценка с уч веса);15Оценка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бюджета].[Эффективность управления кредиторской задолженностью по расчётам с поставщиками и подрядчиками]</t>
        </r>
      </text>
    </comment>
    <comment ref="CE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бюджета].[Наличие просроченной кредиторской задолженности по расходам]</t>
        </r>
      </text>
    </comment>
    <comment ref="CF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бюджета].[Наличие просроченной кредиторской задолженности по расходам]</t>
        </r>
      </text>
    </comment>
    <comment ref="CG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бюджета].[Наличие просроченной кредиторской задолженности по расходам]</t>
        </r>
      </text>
    </comment>
    <comment ref="CH27" authorId="0" shapeId="0">
      <text>
        <r>
          <rPr>
            <b/>
            <sz val="9"/>
            <color indexed="81"/>
            <rFont val="Tahoma"/>
            <charset val="1"/>
          </rPr>
          <t>Свободный "16Вес расчетный"
Итоги подводятся только по видимым элементам (сумма).
Включена типовая формула:
=ЕСЛИ(16Применим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весов*Вес1.16/MIN(Вес1.1;Вес1.3;Вес1.4;Вес1.5;Вес1.6;Вес1.7;Вес1.8;Вес1.9;Вес1.11;Вес1.12;Вес1.13;Вес1.14;Вес1.15;Вес1.16;Вес1.17;Вес1.18));"")</t>
        </r>
      </text>
    </comment>
    <comment ref="CI27" authorId="0" shapeId="0">
      <text>
        <r>
          <rPr>
            <b/>
            <sz val="9"/>
            <color indexed="81"/>
            <rFont val="Tahoma"/>
            <charset val="1"/>
          </rPr>
          <t>Свободный "16Оценка с уч веса"
Итоги подводятся только по видимым элементам (сумма).
Включена типовая формула:
=ЕСЛИ(16Вес расчетный="";"не применяется";ЕСЛИ(16Применим ли в оценке=0;"не применяется";16Вес расчетный*16Оценка показателя/100))</t>
        </r>
      </text>
    </comment>
    <comment ref="CJ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=ЕСЛИ(ЕЧИСЛО(16Оценка с уч веса);16Оценка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бюджета].[Наличие просроченной кредиторской задолженности по расходам]</t>
        </r>
      </text>
    </comment>
    <comment ref="CK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актов, предусматривающих обращение взыскания на средства местного бюджета по обязательствам муниципальных казенных учреждений]</t>
        </r>
      </text>
    </comment>
    <comment ref="CL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актов, предусматривающих обращение взыскания на средства местного бюджета по обязательствам муниципальных казенных учреждений]</t>
        </r>
      </text>
    </comment>
    <comment ref="CM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актов, предусматривающих обращение взыскания на средства местного бюджета по обязательствам муниципальных казенных учреждений]</t>
        </r>
      </text>
    </comment>
    <comment ref="CN27" authorId="0" shapeId="0">
      <text>
        <r>
          <rPr>
            <b/>
            <sz val="9"/>
            <color indexed="81"/>
            <rFont val="Tahoma"/>
            <charset val="1"/>
          </rPr>
          <t>Свободный "17Вес расчетный"
Итоги подводятся только по видимым элементам (сумма).
Включена типовая формула:
=ЕСЛИ(17Применим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весов*Вес1.17/MIN(Вес1.1;Вес1.3;Вес1.4;Вес1.5;Вес1.6;Вес1.7;Вес1.8;Вес1.9;Вес1.11;Вес1.12;Вес1.13;Вес1.14;Вес1.15;Вес1.16;Вес1.17;Вес1.18));"")</t>
        </r>
      </text>
    </comment>
    <comment ref="CO27" authorId="0" shapeId="0">
      <text>
        <r>
          <rPr>
            <b/>
            <sz val="9"/>
            <color indexed="81"/>
            <rFont val="Tahoma"/>
            <charset val="1"/>
          </rPr>
          <t>Свободный "17Оценка с уч веса"
Итоги подводятся только по видимым элементам (сумма).
Включена типовая формула:
=ЕСЛИ(17Вес расчетный="";"не применяется";ЕСЛИ(17Применим ли в оценке=0;"не применяется";17Вес расчетный*17Оценка показателя/100))</t>
        </r>
      </text>
    </comment>
    <comment ref="CP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=ЕСЛИ(ЕЧИСЛО(17Оценка с уч веса);17Оценка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актов, предусматривающих обращение взыскания на средства местного бюджета по обязательствам муниципальных казенных учреждений]</t>
        </r>
      </text>
    </comment>
    <comment ref="CQ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бюджета].[Динамика количества поступивших в департамент финансов исполнительных документов, подлежащих взысканию (в количественном выражении)]</t>
        </r>
      </text>
    </comment>
    <comment ref="CR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бюджета].[Динамика количества поступивших в департамент финансов исполнительных документов, подлежащих взысканию (в количественном выражении)]</t>
        </r>
      </text>
    </comment>
    <comment ref="CS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бюджета].[Динамика количества поступивших в департамент финансов исполнительных документов, подлежащих взысканию (в количественном выражении)]</t>
        </r>
      </text>
    </comment>
    <comment ref="CT27" authorId="0" shapeId="0">
      <text>
        <r>
          <rPr>
            <b/>
            <sz val="9"/>
            <color indexed="81"/>
            <rFont val="Tahoma"/>
            <charset val="1"/>
          </rPr>
          <t>Свободный "18Вес расчетный"
Итоги подводятся только по видимым элементам (сумма).
Включена типовая формула:
=ЕСЛИ(18Применим ли в оценке=1;(MIN(Вес1.1;Вес1.3;Вес1.4;Вес1.5;Вес1.6;Вес1.7;Вес1.8;Вес1.9;Вес1.11;Вес1.12;Вес1.13;Вес1.14;Вес1.15;Вес1.16;Вес1.17;Вес1.18))*((100/MIN(Вес1.1;Вес1.3;Вес1.4;Вес1.5;Вес1.6;Вес1.7;Вес1.8;Вес1.9;Вес1.11;Вес1.12;Вес1.13;Вес1.14;Вес1.15;Вес1.16;Вес1.17;Вес1.18))/Сумма весов*Вес1.18/MIN(Вес1.1;Вес1.3;Вес1.4;Вес1.5;Вес1.6;Вес1.7;Вес1.8;Вес1.9;Вес1.11;Вес1.12;Вес1.13;Вес1.14;Вес1.15;Вес1.16;Вес1.17;Вес1.18));"")</t>
        </r>
      </text>
    </comment>
    <comment ref="CU27" authorId="0" shapeId="0">
      <text>
        <r>
          <rPr>
            <b/>
            <sz val="9"/>
            <color indexed="81"/>
            <rFont val="Tahoma"/>
            <charset val="1"/>
          </rPr>
          <t>Свободный "18Оценка с уч веса"
Итоги подводятся только по видимым элементам (сумма).
Включена типовая формула:
=ЕСЛИ(18Вес расчетный="";"не применяется";ЕСЛИ(18Применим ли в оценке=0;"не применяется";18Вес расчетный*18Оценка показателя/100))</t>
        </r>
      </text>
    </comment>
    <comment ref="CV2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=ЕСЛИ(ЕЧИСЛО(18Оценка с уч веса);18Оценка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бюджета].[Динамика количества поступивших в департамент финансов исполнительных документов, подлежащих взысканию (в количественном выражении)]</t>
        </r>
      </text>
    </comment>
    <comment ref="CW27" authorId="0" shapeId="0">
      <text>
        <r>
          <rPr>
            <b/>
            <sz val="9"/>
            <color indexed="81"/>
            <rFont val="Tahoma"/>
            <charset val="1"/>
          </rPr>
          <t>Свободный "1"
Итоги подводятся только по видимым элементам (сумма).
Включена типовая формула:
=ЕСЛИ(1Применим ли в оценке=1;Вес1.1/MIN(Вес1.1;Вес1.3;Вес1.4;Вес1.5;Вес1.6;Вес1.7;Вес1.8;Вес1.9;Вес1.11;Вес1.12;Вес1.13;Вес1.14;Вес1.15;Вес1.16;Вес1.17;Вес1.18);"")</t>
        </r>
      </text>
    </comment>
    <comment ref="CX27" authorId="0" shapeId="0">
      <text>
        <r>
          <rPr>
            <b/>
            <sz val="9"/>
            <color indexed="81"/>
            <rFont val="Tahoma"/>
            <charset val="1"/>
          </rPr>
          <t>Свободный "3"
Итоги подводятся только по видимым элементам (сумма).
Включена типовая формула:
=ЕСЛИ(3Применим ли в оценке=1;Вес1.3/MIN(Вес1.1;Вес1.3;Вес1.4;Вес1.5;Вес1.6;Вес1.7;Вес1.8;Вес1.9;Вес1.11;Вес1.12;Вес1.13;Вес1.14;Вес1.15;Вес1.16;Вес1.17;Вес1.18);"")</t>
        </r>
      </text>
    </comment>
    <comment ref="CY27" authorId="0" shapeId="0">
      <text>
        <r>
          <rPr>
            <b/>
            <sz val="9"/>
            <color indexed="81"/>
            <rFont val="Tahoma"/>
            <charset val="1"/>
          </rPr>
          <t>Свободный "4"
Итоги подводятся только по видимым элементам (сумма).
Включена типовая формула:
=ЕСЛИ(4Применим ли в оценке=1;Вес1.4/MIN(Вес1.1;Вес1.3;Вес1.4;Вес1.5;Вес1.6;Вес1.7;Вес1.8;Вес1.9;Вес1.11;Вес1.12;Вес1.13;Вес1.14;Вес1.15;Вес1.16;Вес1.17;Вес1.18);"")</t>
        </r>
      </text>
    </comment>
    <comment ref="CZ27" authorId="0" shapeId="0">
      <text>
        <r>
          <rPr>
            <b/>
            <sz val="9"/>
            <color indexed="81"/>
            <rFont val="Tahoma"/>
            <charset val="1"/>
          </rPr>
          <t>Свободный "5"
Итоги подводятся только по видимым элементам (сумма).
Включена типовая формула:
=ЕСЛИ(5Применим ли в оценке=1;Вес1.5/MIN(Вес1.1;Вес1.3;Вес1.4;Вес1.5;Вес1.6;Вес1.7;Вес1.8;Вес1.9;Вес1.11;Вес1.12;Вес1.13;Вес1.14;Вес1.15;Вес1.16;Вес1.17;Вес1.18);"")</t>
        </r>
      </text>
    </comment>
    <comment ref="DA27" authorId="0" shapeId="0">
      <text>
        <r>
          <rPr>
            <b/>
            <sz val="9"/>
            <color indexed="81"/>
            <rFont val="Tahoma"/>
            <charset val="1"/>
          </rPr>
          <t>Свободный "6"
Итоги подводятся только по видимым элементам (сумма).
Включена типовая формула:
=ЕСЛИ(6Применим ли в оценке=1;Вес1.6/MIN(Вес1.6;Вес1.3;Вес1.4;Вес1.5;Вес1.6;Вес1.7;Вес1.8;Вес1.9;Вес1.11;Вес1.12;Вес1.13;Вес1.14;Вес1.15;Вес1.16;Вес1.17;Вес1.18);"")</t>
        </r>
      </text>
    </comment>
    <comment ref="DB27" authorId="0" shapeId="0">
      <text>
        <r>
          <rPr>
            <b/>
            <sz val="9"/>
            <color indexed="81"/>
            <rFont val="Tahoma"/>
            <charset val="1"/>
          </rPr>
          <t>Свободный "7"
Итоги подводятся только по видимым элементам (сумма).
Включена типовая формула:
=ЕСЛИ(7Применим ли в оценке=1;Вес1.7/MIN(Вес1.1;Вес1.3;Вес1.4;Вес1.5;Вес1.6;Вес1.7;Вес1.8;Вес1.9;Вес1.11;Вес1.12;Вес1.13;Вес1.14;Вес1.15;Вес1.16;Вес1.17;Вес1.18);"")</t>
        </r>
      </text>
    </comment>
    <comment ref="DC27" authorId="0" shapeId="0">
      <text>
        <r>
          <rPr>
            <b/>
            <sz val="9"/>
            <color indexed="81"/>
            <rFont val="Tahoma"/>
            <charset val="1"/>
          </rPr>
          <t>Свободный "8"
Итоги подводятся только по видимым элементам (сумма).
Включена типовая формула:
=ЕСЛИ(8Применим ли в оценке=1;Вес1.8/MIN(Вес1.1;Вес1.3;Вес1.4;Вес1.5;Вес1.6;Вес1.7;Вес1.8;Вес1.9;Вес1.11;Вес1.12;Вес1.13;Вес1.14;Вес1.15;Вес1.16;Вес1.17;Вес1.18);"")</t>
        </r>
      </text>
    </comment>
    <comment ref="DD27" authorId="0" shapeId="0">
      <text>
        <r>
          <rPr>
            <b/>
            <sz val="9"/>
            <color indexed="81"/>
            <rFont val="Tahoma"/>
            <charset val="1"/>
          </rPr>
          <t>Свободный "9"
Итоги подводятся только по видимым элементам (сумма).
Включена типовая формула:
=ЕСЛИ(9Применим ли в оценке=1;Вес1.9/MIN(Вес1.1;Вес1.3;Вес1.4;Вес1.5;Вес1.6;Вес1.7;Вес1.8;Вес1.9;Вес1.11;Вес1.12;Вес1.13;Вес1.14;Вес1.15;Вес1.16;Вес1.17;Вес1.18);"")</t>
        </r>
      </text>
    </comment>
    <comment ref="DE27" authorId="0" shapeId="0">
      <text>
        <r>
          <rPr>
            <b/>
            <sz val="9"/>
            <color indexed="81"/>
            <rFont val="Tahoma"/>
            <charset val="1"/>
          </rPr>
          <t>Свободный "11"
Итоги подводятся только по видимым элементам (сумма).
Включена типовая формула:
=ЕСЛИ(11 Применим ли в оценке=1;Вес1.11/MIN(Вес1.1;Вес1.3;Вес1.4;Вес1.5;Вес1.6;Вес1.7;Вес1.8;Вес1.9;Вес1.11;Вес1.12;Вес1.13;Вес1.14;Вес1.15;Вес1.16;Вес1.17;Вес1.18);"")</t>
        </r>
      </text>
    </comment>
    <comment ref="DF27" authorId="0" shapeId="0">
      <text>
        <r>
          <rPr>
            <b/>
            <sz val="9"/>
            <color indexed="81"/>
            <rFont val="Tahoma"/>
            <charset val="1"/>
          </rPr>
          <t>Свободный "12"
Итоги подводятся только по видимым элементам (сумма).
Включена типовая формула:
=ЕСЛИ(12Применим ли в оценке=1;Вес1.12/MIN(Вес1.1;Вес1.3;Вес1.4;Вес1.5;Вес1.6;Вес1.7;Вес1.8;Вес1.9;Вес1.11;Вес1.12;Вес1.13;Вес1.14;Вес1.15;Вес1.16;Вес1.17;Вес1.18);"")</t>
        </r>
      </text>
    </comment>
    <comment ref="DG27" authorId="0" shapeId="0">
      <text>
        <r>
          <rPr>
            <b/>
            <sz val="9"/>
            <color indexed="81"/>
            <rFont val="Tahoma"/>
            <charset val="1"/>
          </rPr>
          <t>Свободный "13"
Итоги подводятся только по видимым элементам (сумма).
Включена типовая формула:
=ЕСЛИ(13Применим ли в оценке=1;Вес1.13/MIN(Вес1.1;Вес1.3;Вес1.4;Вес1.5;Вес1.6;Вес1.7;Вес1.8;Вес1.9;Вес1.11;Вес1.12;Вес1.13;Вес1.14;Вес1.15;Вес1.16;Вес1.17;Вес1.18);"")</t>
        </r>
      </text>
    </comment>
    <comment ref="DH27" authorId="0" shapeId="0">
      <text>
        <r>
          <rPr>
            <b/>
            <sz val="9"/>
            <color indexed="81"/>
            <rFont val="Tahoma"/>
            <charset val="1"/>
          </rPr>
          <t>Свободный "14"
Итоги подводятся только по видимым элементам (сумма).
Включена типовая формула:
=ЕСЛИ(14Применим ли в оценке=1;Вес1.14/MIN(Вес1.1;Вес1.3;Вес1.4;Вес1.5;Вес1.6;Вес1.7;Вес1.8;Вес1.9;Вес1.11;Вес1.12;Вес1.13;Вес1.14;Вес1.15;Вес1.16;Вес1.17;Вес1.18);"")</t>
        </r>
      </text>
    </comment>
    <comment ref="DI27" authorId="0" shapeId="0">
      <text>
        <r>
          <rPr>
            <b/>
            <sz val="9"/>
            <color indexed="81"/>
            <rFont val="Tahoma"/>
            <charset val="1"/>
          </rPr>
          <t>Свободный "15"
Итоги подводятся только по видимым элементам (сумма).
Включена типовая формула:
=ЕСЛИ(15Применим ли в оценке=1;Вес1.15/MIN(Вес1.1;Вес1.3;Вес1.4;Вес1.5;Вес1.6;Вес1.7;Вес1.8;Вес1.9;Вес1.11;Вес1.12;Вес1.13;Вес1.14;Вес1.15;Вес1.16;Вес1.17;Вес1.18);"")</t>
        </r>
      </text>
    </comment>
    <comment ref="DJ27" authorId="0" shapeId="0">
      <text>
        <r>
          <rPr>
            <b/>
            <sz val="9"/>
            <color indexed="81"/>
            <rFont val="Tahoma"/>
            <charset val="1"/>
          </rPr>
          <t>Свободный "16"
Итоги подводятся только по видимым элементам (сумма).
Включена типовая формула:
=ЕСЛИ(16Применим ли в оценке=1;Вес1.16/MIN(Вес1.1;Вес1.3;Вес1.4;Вес1.5;Вес1.6;Вес1.7;Вес1.8;Вес1.9;Вес1.11;Вес1.12;Вес1.13;Вес1.14;Вес1.15;Вес1.16;Вес1.17;Вес1.18);"")</t>
        </r>
      </text>
    </comment>
    <comment ref="DK27" authorId="0" shapeId="0">
      <text>
        <r>
          <rPr>
            <b/>
            <sz val="9"/>
            <color indexed="81"/>
            <rFont val="Tahoma"/>
            <charset val="1"/>
          </rPr>
          <t>Свободный "17"
Итоги подводятся только по видимым элементам (сумма).
Включена типовая формула:
=ЕСЛИ(17Применим ли в оценке=1;Вес1.17/MIN(Вес1.1;Вес1.3;Вес1.4;Вес1.5;Вес1.6;Вес1.7;Вес1.8;Вес1.9;Вес1.11;Вес1.12;Вес1.13;Вес1.14;Вес1.15;Вес1.16;Вес1.17;Вес1.18);"")</t>
        </r>
      </text>
    </comment>
    <comment ref="DL27" authorId="0" shapeId="0">
      <text>
        <r>
          <rPr>
            <b/>
            <sz val="9"/>
            <color indexed="81"/>
            <rFont val="Tahoma"/>
            <charset val="1"/>
          </rPr>
          <t>Свободный "18"
Итоги подводятся только по видимым элементам (сумма).
Включена типовая формула:
=ЕСЛИ(18Применим ли в оценке=1;Вес1.18/MIN(Вес1.1;Вес1.3;Вес1.4;Вес1.5;Вес1.6;Вес1.7;Вес1.8;Вес1.9;Вес1.11;Вес1.12;Вес1.13;Вес1.14;Вес1.15;Вес1.16;Вес1.17;Вес1.18);"")</t>
        </r>
      </text>
    </comment>
    <comment ref="DM27" authorId="0" shapeId="0">
      <text>
        <r>
          <rPr>
            <b/>
            <sz val="9"/>
            <color indexed="81"/>
            <rFont val="Tahoma"/>
            <charset val="1"/>
          </rPr>
          <t>Свободный "Сумма весов"
Итоги подводятся только по видимым элементам (сумма).
Включена типовая формула:
=SUM(1:18)</t>
        </r>
      </text>
    </comment>
  </commentList>
</comments>
</file>

<file path=xl/comments2.xml><?xml version="1.0" encoding="utf-8"?>
<comments xmlns="http://schemas.openxmlformats.org/spreadsheetml/2006/main">
  <authors>
    <author>Скрынникова Ж.А.</author>
  </authors>
  <commentList>
    <comment ref="B16" authorId="0" shapeId="0">
      <text>
        <r>
          <rPr>
            <b/>
            <sz val="9"/>
            <color indexed="81"/>
            <rFont val="Tahoma"/>
            <charset val="1"/>
          </rPr>
          <t>Измерение "Администратор.Сопоставим"
Параметр "Администратор" (от родительской задачи)</t>
        </r>
      </text>
    </comment>
    <comment ref="C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=ЕСЛИ(Применим ли в оценке&lt;&gt;1;"";SUM(1Взвешенное значение;2Взвешенное значение;3Взвешенное значение;4Взвешенное значение;5Взвешенное значение))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бюджета].[Управление доходами местного бюджета]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Включена типовая формула:
=ЕСЛИ(SUM(1Применим ли в оценке;2Применим ли в оценке;3Применим ли в оценке;4Применим ли в оценке;5Применим ли в оценке)=0;0;1)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бюджета].[Управление доходами местного бюджета]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планирования поступления налоговых и неналоговых доходов местного бюджета]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F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планирования поступления налоговых и неналоговых доходов местного бюджета]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G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планирования поступления налоговых и неналоговых доходов местного бюджета]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H16" authorId="0" shapeId="0">
      <text>
        <r>
          <rPr>
            <b/>
            <sz val="9"/>
            <color indexed="81"/>
            <rFont val="Tahoma"/>
            <charset val="1"/>
          </rPr>
          <t>Свободный "1Вес расчетный"
Итоги подводятся только по видимым элементам (сумма).
Включена типовая формула:
=ЕСЛИ(1Применим ли в оценке=1;(MIN(Вес2.1;Вес2.2;Вес2.3;Вес2.4;Вес2.5))*((100/MIN(Вес2.1;Вес2.2;Вес2.3;Вес2.4;Вес2.5))/Сумма весов*Вес2.1/MIN(Вес2.1;Вес2.2;Вес2.3;Вес2.4;Вес2.5));"")</t>
        </r>
      </text>
    </comment>
    <comment ref="I16" authorId="0" shapeId="0">
      <text>
        <r>
          <rPr>
            <b/>
            <sz val="9"/>
            <color indexed="81"/>
            <rFont val="Tahoma"/>
            <charset val="1"/>
          </rPr>
          <t>Свободный "1Оценка с уч веса"
Итоги подводятся только по видимым элементам (сумма).
Включена типовая формула:
=ЕСЛИ(1Вес расчетный="";"не применяется";ЕСЛИ(1Применим ли в оценке=0;"не применяется";1Вес расчетный*1Оценка показателя/100))</t>
        </r>
      </text>
    </comment>
    <comment ref="J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=ЕСЛИ(ЕЧИСЛО(1Оценка с уч веса);1Оценка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планирования поступления налоговых и неналоговых доходов местного бюджета]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K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администрирования доходов по возврату из местного бюджета неиспользованных остатков межбюджетных трансфертов, имеющих целевое назначение (далее – целевых остатков прошлых лет), в краевой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L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администрирования доходов по возврату из местного бюджета неиспользованных остатков межбюджетных трансфертов, имеющих целевое назначение (далее – целевых остатков прошлых лет), в краевой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M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администрирования доходов по возврату из местного бюджета неиспользованных остатков межбюджетных трансфертов, имеющих целевое назначение (далее – целевых остатков прошлых лет), в краевой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N16" authorId="0" shapeId="0">
      <text>
        <r>
          <rPr>
            <b/>
            <sz val="9"/>
            <color indexed="81"/>
            <rFont val="Tahoma"/>
            <charset val="1"/>
          </rPr>
          <t>Свободный "2Вес расчетный"
Итоги подводятся только по видимым элементам (сумма).
Включена типовая формула:
=ЕСЛИ(2Применим ли в оценке=1;(MIN(Вес2.1;Вес2.2;Вес2.3;Вес2.4;Вес2.5))*((100/MIN(Вес2.1;Вес2.2;Вес2.3;Вес2.4;Вес2.5))/Сумма весов*Вес2.2/MIN(Вес2.1;Вес2.2;Вес2.3;Вес2.4;Вес2.5));"")</t>
        </r>
      </text>
    </comment>
    <comment ref="O16" authorId="0" shapeId="0">
      <text>
        <r>
          <rPr>
            <b/>
            <sz val="9"/>
            <color indexed="81"/>
            <rFont val="Tahoma"/>
            <charset val="1"/>
          </rPr>
          <t>Свободный "2Оценка с уч веса"
Итоги подводятся только по видимым элементам (сумма).
Включена типовая формула:
=ЕСЛИ(2Вес расчетный="";"не применяется";ЕСЛИ(2Применим ли в оценке=0;"не применяется";2Вес расчетный*2Оценка показателя/100))</t>
        </r>
      </text>
    </comment>
    <comment ref="P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=ЕСЛИ(ЕЧИСЛО(2Оценка с уч веса);2Оценка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администрирования доходов по возврату из местного бюджета неиспользованных остатков межбюджетных трансфертов, имеющих целевое назначение (далее – целевых остатков прошлых лет), в краевой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Q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бюджета].[Наличие утверждённой методики прогнозирования поступлений доходов в местный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R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бюджета].[Наличие утверждённой методики прогнозирования поступлений доходов в местный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S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бюджета].[Наличие утверждённой методики прогнозирования поступлений доходов в местный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T16" authorId="0" shapeId="0">
      <text>
        <r>
          <rPr>
            <b/>
            <sz val="9"/>
            <color indexed="81"/>
            <rFont val="Tahoma"/>
            <charset val="1"/>
          </rPr>
          <t>Свободный "3Вес расчетный"
Итоги подводятся только по видимым элементам (сумма).
Включена типовая формула:
=ЕСЛИ(3Применим ли в оценке=1;(MIN(Вес2.1;Вес2.2;Вес2.3;Вес2.4;Вес2.5))*((100/MIN(Вес2.1;Вес2.2;Вес2.3;Вес2.4;Вес2.5))/Сумма весов*Вес2.3/MIN(Вес2.1;Вес2.2;Вес2.3;Вес2.4;Вес2.5));"")</t>
        </r>
      </text>
    </comment>
    <comment ref="U16" authorId="0" shapeId="0">
      <text>
        <r>
          <rPr>
            <b/>
            <sz val="9"/>
            <color indexed="81"/>
            <rFont val="Tahoma"/>
            <charset val="1"/>
          </rPr>
          <t>Свободный "3Оценка с уч веса"
Итоги подводятся только по видимым элементам (сумма).
Включена типовая формула:
=ЕСЛИ(3Вес расчетный="";"не применяется";ЕСЛИ(3Применим ли в оценке=0;"не применяется";3Вес расчетный*3Оценка показателя/100))</t>
        </r>
      </text>
    </comment>
    <comment ref="V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=ЕСЛИ(ЕЧИСЛО(3Оценка с уч веса);3Оценка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бюджета].[Наличие утверждённой методики прогнозирования поступлений доходов в местный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W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бюджета].[Наличие просроченной дебиторской задолженности по доходам]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X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бюджета].[Наличие просроченной дебиторской задолженности по доходам]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Y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бюджета].[Наличие просроченной дебиторской задолженности по доходам]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Z16" authorId="0" shapeId="0">
      <text>
        <r>
          <rPr>
            <b/>
            <sz val="9"/>
            <color indexed="81"/>
            <rFont val="Tahoma"/>
            <charset val="1"/>
          </rPr>
          <t>Свободный "4Вес расчетный"
Итоги подводятся только по видимым элементам (сумма).
Включена типовая формула:
=ЕСЛИ(1Применим ли в оценке=1;(MIN(Вес2.1;Вес2.2;Вес2.3;Вес2.4;Вес2.5))*((100/MIN(Вес2.1;Вес2.2;Вес2.3;Вес2.4;Вес2.5))/Сумма весов*Вес2.4/MIN(Вес2.1;Вес2.2;Вес2.3;Вес2.4;Вес2.5));"")</t>
        </r>
      </text>
    </comment>
    <comment ref="AA16" authorId="0" shapeId="0">
      <text>
        <r>
          <rPr>
            <b/>
            <sz val="9"/>
            <color indexed="81"/>
            <rFont val="Tahoma"/>
            <charset val="1"/>
          </rPr>
          <t>Свободный "4Оценка с уч веса"
Итоги подводятся только по видимым элементам (сумма).
Включена типовая формула:
=ЕСЛИ(4Вес расчетный="";"не применяется";ЕСЛИ(4Применим ли в оценке=0;"не применяется";4Вес расчетный*4Оценка показателя/100))</t>
        </r>
      </text>
    </comment>
    <comment ref="AB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=ЕСЛИ(ЕЧИСЛО(4Оценка с уч веса);4Оценка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бюджета].[Наличие просроченной дебиторской задолженности по доходам]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AC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управления просроченной дебиторской задолженностью по неналоговым платежам в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AD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управления просроченной дебиторской задолженностью по неналоговым платежам в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AE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управления просроченной дебиторской задолженностью по неналоговым платежам в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AF16" authorId="0" shapeId="0">
      <text>
        <r>
          <rPr>
            <b/>
            <sz val="9"/>
            <color indexed="81"/>
            <rFont val="Tahoma"/>
            <charset val="1"/>
          </rPr>
          <t>Свободный "5Вес расчетный"
Итоги подводятся только по видимым элементам (сумма).
Включена типовая формула:
=ЕСЛИ(1Применим ли в оценке=1;(MIN(Вес2.1;Вес2.2;Вес2.3;Вес2.4;Вес2.5))*((100/MIN(Вес2.1;Вес2.2;Вес2.3;Вес2.4;Вес2.5))/Сумма весов*Вес2.5/MIN(Вес2.1;Вес2.2;Вес2.3;Вес2.4;Вес2.5));"")</t>
        </r>
      </text>
    </comment>
    <comment ref="AG16" authorId="0" shapeId="0">
      <text>
        <r>
          <rPr>
            <b/>
            <sz val="9"/>
            <color indexed="81"/>
            <rFont val="Tahoma"/>
            <charset val="1"/>
          </rPr>
          <t>Свободный "5Оценка с уч веса"
Итоги подводятся только по видимым элементам (сумма).
Включена типовая формула:
=ЕСЛИ(5Вес расчетный="";"не применяется";ЕСЛИ(5Применим ли в оценке=0;"не применяется";5Вес расчетный*5Оценка показателя/100))</t>
        </r>
      </text>
    </comment>
    <comment ref="AH16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=ЕСЛИ(ЕЧИСЛО(5Оценка с уч веса);5Оценка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доходами местного бюджета].[Качество управления просроченной дебиторской задолженностью по неналоговым платежам в бюджет]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AI16" authorId="0" shapeId="0">
      <text>
        <r>
          <rPr>
            <b/>
            <sz val="9"/>
            <color indexed="81"/>
            <rFont val="Tahoma"/>
            <charset val="1"/>
          </rPr>
          <t>Свободный "1"
Итоги подводятся только по видимым элементам (сумма).
Включена типовая формула:
=ЕСЛИ(1Применим ли в оценке=1;Вес2.1/MIN(Вес2.1;Вес2.2;Вес2.3;Вес2.4;Вес2.5);"")</t>
        </r>
      </text>
    </comment>
    <comment ref="AJ16" authorId="0" shapeId="0">
      <text>
        <r>
          <rPr>
            <b/>
            <sz val="9"/>
            <color indexed="81"/>
            <rFont val="Tahoma"/>
            <charset val="1"/>
          </rPr>
          <t>Свободный "2"
Итоги подводятся только по видимым элементам (сумма).
Включена типовая формула:
=ЕСЛИ(2Применим ли в оценке=1;Вес2.2/MIN(Вес2.1;Вес2.2;Вес2.3;Вес2.4;Вес2.5);"")</t>
        </r>
      </text>
    </comment>
    <comment ref="AK16" authorId="0" shapeId="0">
      <text>
        <r>
          <rPr>
            <b/>
            <sz val="9"/>
            <color indexed="81"/>
            <rFont val="Tahoma"/>
            <charset val="1"/>
          </rPr>
          <t>Свободный "3"
Итоги подводятся только по видимым элементам (сумма).
Включена типовая формула:
=ЕСЛИ(3Применим ли в оценке=1;Вес2.3/MIN(Вес2.1;Вес2.2;Вес2.3;Вес2.4;Вес2.5);"")</t>
        </r>
      </text>
    </comment>
    <comment ref="AL16" authorId="0" shapeId="0">
      <text>
        <r>
          <rPr>
            <b/>
            <sz val="9"/>
            <color indexed="81"/>
            <rFont val="Tahoma"/>
            <charset val="1"/>
          </rPr>
          <t>Свободный "4"
Итоги подводятся только по видимым элементам (сумма).
Включена типовая формула:
=ЕСЛИ(4Применим ли в оценке=1;Вес2.4/MIN(Вес2.1;Вес2.2;Вес2.3;Вес2.4;Вес2.5);"")</t>
        </r>
      </text>
    </comment>
    <comment ref="AM16" authorId="0" shapeId="0">
      <text>
        <r>
          <rPr>
            <b/>
            <sz val="9"/>
            <color indexed="81"/>
            <rFont val="Tahoma"/>
            <charset val="1"/>
          </rPr>
          <t>Свободный "5"
Итоги подводятся только по видимым элементам (сумма).
Включена типовая формула:
=ЕСЛИ(5Применим ли в оценке=1;Вес2.5/MIN(Вес2.1;Вес2.2;Вес2.3;Вес2.4;Вес2.5);"")</t>
        </r>
      </text>
    </comment>
    <comment ref="AN16" authorId="0" shapeId="0">
      <text>
        <r>
          <rPr>
            <b/>
            <sz val="9"/>
            <color indexed="81"/>
            <rFont val="Tahoma"/>
            <charset val="1"/>
          </rPr>
          <t>Свободный "Сумма весов"
Итоги подводятся только по видимым элементам (сумма).
Включена типовая формула:
=SUM(1:5)</t>
        </r>
      </text>
    </comment>
  </commentList>
</comments>
</file>

<file path=xl/comments3.xml><?xml version="1.0" encoding="utf-8"?>
<comments xmlns="http://schemas.openxmlformats.org/spreadsheetml/2006/main">
  <authors>
    <author>Скрынникова Ж.А.</author>
  </authors>
  <commentList>
    <comment ref="B14" authorId="0" shapeId="0">
      <text>
        <r>
          <rPr>
            <b/>
            <sz val="9"/>
            <color indexed="81"/>
            <rFont val="Tahoma"/>
            <charset val="1"/>
          </rPr>
          <t>Измерение "Администратор.Сопоставим"
Параметр "Администратор" (от родительской задачи)</t>
        </r>
      </text>
    </comment>
    <comment ref="C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=ЕСЛИ(Применим ли в оценке&lt;&gt;1;"";SUM(1Взвешенное значение;2Взвешенное значение;3Взвешенное значение))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отчётности].[Ведение учета и составление бюджетной отчётности]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Включена типовая формула:
=ЕСЛИ(SUM(1Применим ли в оценке;2Применим ли в оценке;3Применим ли в оценке)=0;0;1)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отчётности].[Ведение учета и составление бюджетной отчётности]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отчётности].[Степень достоверности бюджетной отчётности (ст.264.4 БК РФ)]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отчётности].[Степень достоверности бюджетной отчётности (ст.264.4 БК РФ)]</t>
        </r>
      </text>
    </comment>
    <comment ref="G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отчётности].[Степень достоверности бюджетной отчётности (ст.264.4 БК РФ)]</t>
        </r>
      </text>
    </comment>
    <comment ref="H14" authorId="0" shapeId="0">
      <text>
        <r>
          <rPr>
            <b/>
            <sz val="9"/>
            <color indexed="81"/>
            <rFont val="Tahoma"/>
            <charset val="1"/>
          </rPr>
          <t>Свободный "1Вес расчетный"
Итоги подводятся только по видимым элементам (сумма).
Включена типовая формула:
=ЕСЛИ(1Применим ли в оценке=1;(MIN(Вес3.1;Вес3.2;Вес3.3))*((100/MIN(Вес3.1;Вес3.2;Вес3.3))/Сумма весов*Вес3.1/MIN(Вес3.1;Вес3.2;Вес3.3));"")</t>
        </r>
      </text>
    </comment>
    <comment ref="I14" authorId="0" shapeId="0">
      <text>
        <r>
          <rPr>
            <b/>
            <sz val="9"/>
            <color indexed="81"/>
            <rFont val="Tahoma"/>
            <charset val="1"/>
          </rPr>
          <t>Свободный "1Оценка с уч веса"
Итоги подводятся только по видимым элементам (сумма).
Включена типовая формула:
=ЕСЛИ(1Вес расчетный="";"не применяется";ЕСЛИ(1Применим ли в оценке=0;"не применяется";1Вес расчетный*1Оценка показателя/100))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=ЕСЛИ(ЕЧИСЛО(1Оценка с уч веса);1Оценка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отчётности].[Степень достоверности бюджетной отчётности (ст.264.4 БК РФ)]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отчётности].[Нарушение требований к бюджетному учёту, в том числе к составлению, представлению бюджетной отчётности]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отчётности].[Нарушение требований к бюджетному учёту, в том числе к составлению, представлению бюджетной отчётности]</t>
        </r>
      </text>
    </comment>
    <comment ref="M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отчётности].[Нарушение требований к бюджетному учёту, в том числе к составлению, представлению бюджетной отчётности]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Свободный "2Вес расчетный"
Итоги подводятся только по видимым элементам (сумма).
Включена типовая формула:
=ЕСЛИ(2Применим ли в оценке=1;(MIN(Вес3.1;Вес3.2;Вес3.3))*((100/MIN(Вес3.1;Вес3.2;Вес3.3))/Сумма весов*Вес3.2/MIN(Вес3.1;Вес3.2;Вес3.3));"")</t>
        </r>
      </text>
    </comment>
    <comment ref="O14" authorId="0" shapeId="0">
      <text>
        <r>
          <rPr>
            <b/>
            <sz val="9"/>
            <color indexed="81"/>
            <rFont val="Tahoma"/>
            <charset val="1"/>
          </rPr>
          <t>Свободный "2Оценка с уч веса"
Итоги подводятся только по видимым элементам (сумма).
Включена типовая формула:
=ЕСЛИ(2Вес расчетный="";"не применяется";ЕСЛИ(2Применим ли в оценке=0;"не применяется";2Вес расчетный*2Оценка показателя/100))</t>
        </r>
      </text>
    </comment>
    <comment ref="P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=ЕСЛИ(ЕЧИСЛО(2Оценка с уч веса);2Оценка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отчётности].[Нарушение требований к бюджетному учёту, в том числе к составлению, представлению бюджетной отчётности]</t>
        </r>
      </text>
    </comment>
    <comment ref="Q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отчётности].[Соблюдение сроков представления ГРБС годовой бюджетной (бухгалтерской) отчётности, устанавливаемых ежегодно приказом департамента финансов]</t>
        </r>
      </text>
    </comment>
    <comment ref="R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отчётности].[Соблюдение сроков представления ГРБС годовой бюджетной (бухгалтерской) отчётности, устанавливаемых ежегодно приказом департамента финансов]</t>
        </r>
      </text>
    </comment>
    <comment ref="S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отчётности].[Соблюдение сроков представления ГРБС годовой бюджетной (бухгалтерской) отчётности, устанавливаемых ежегодно приказом департамента финансов]</t>
        </r>
      </text>
    </comment>
    <comment ref="T14" authorId="0" shapeId="0">
      <text>
        <r>
          <rPr>
            <b/>
            <sz val="9"/>
            <color indexed="81"/>
            <rFont val="Tahoma"/>
            <charset val="1"/>
          </rPr>
          <t>Свободный "3Вес расчетный"
Итоги подводятся только по видимым элементам (сумма).
Включена типовая формула:
=ЕСЛИ(3Применим ли в оценке=1;(MIN(Вес3.1;Вес3.2;Вес3.3))*((100/MIN(Вес3.1;Вес3.2;Вес3.3))/Сумма весов*Вес3.3/MIN(Вес3.1;Вес3.2;Вес3.3));"")</t>
        </r>
      </text>
    </comment>
    <comment ref="U14" authorId="0" shapeId="0">
      <text>
        <r>
          <rPr>
            <b/>
            <sz val="9"/>
            <color indexed="81"/>
            <rFont val="Tahoma"/>
            <charset val="1"/>
          </rPr>
          <t>Свободный "3Оценка с уч веса"
Итоги подводятся только по видимым элементам (сумма).
Включена типовая формула:
=ЕСЛИ(3Вес расчетный="";"не применяется";ЕСЛИ(3Применим ли в оценке=0;"не применяется";3Вес расчетный*3Оценка показателя/100))</t>
        </r>
      </text>
    </comment>
    <comment ref="V14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=ЕСЛИ(ЕЧИСЛО(3Оценка с уч веса);3Оценка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отчётности].[Соблюдение сроков представления ГРБС годовой бюджетной (бухгалтерской) отчётности, устанавливаемых ежегодно приказом департамента финансов]</t>
        </r>
      </text>
    </comment>
    <comment ref="W14" authorId="0" shapeId="0">
      <text>
        <r>
          <rPr>
            <b/>
            <sz val="9"/>
            <color indexed="81"/>
            <rFont val="Tahoma"/>
            <charset val="1"/>
          </rPr>
          <t>Свободный "1"
Итоги подводятся только по видимым элементам (сумма).
Включена типовая формула:
=ЕСЛИ(1Применим ли в оценке=1;Вес3.1/MIN(Вес3.1;Вес3.2;Вес3.3);"")</t>
        </r>
      </text>
    </comment>
    <comment ref="X14" authorId="0" shapeId="0">
      <text>
        <r>
          <rPr>
            <b/>
            <sz val="9"/>
            <color indexed="81"/>
            <rFont val="Tahoma"/>
            <charset val="1"/>
          </rPr>
          <t>Свободный "2"
Итоги подводятся только по видимым элементам (сумма).
Включена типовая формула:
=ЕСЛИ(2Применим ли в оценке=1;Вес3.2/MIN(Вес3.1;Вес3.2;Вес3.3);"")</t>
        </r>
      </text>
    </comment>
    <comment ref="Y14" authorId="0" shapeId="0">
      <text>
        <r>
          <rPr>
            <b/>
            <sz val="9"/>
            <color indexed="81"/>
            <rFont val="Tahoma"/>
            <charset val="1"/>
          </rPr>
          <t>Свободный "3"
Итоги подводятся только по видимым элементам (сумма).
Включена типовая формула:
=ЕСЛИ(3Применим ли в оценке=1;Вес3.3/MIN(Вес3.1;Вес3.2;Вес3.3);"")</t>
        </r>
      </text>
    </comment>
    <comment ref="Z14" authorId="0" shapeId="0">
      <text>
        <r>
          <rPr>
            <b/>
            <sz val="9"/>
            <color indexed="81"/>
            <rFont val="Tahoma"/>
            <charset val="1"/>
          </rPr>
          <t>Свободный "Сумма весов"
Итоги подводятся только по видимым элементам (сумма).
Включена типовая формула:
=SUM(1:3)</t>
        </r>
      </text>
    </comment>
  </commentList>
</comments>
</file>

<file path=xl/comments4.xml><?xml version="1.0" encoding="utf-8"?>
<comments xmlns="http://schemas.openxmlformats.org/spreadsheetml/2006/main">
  <authors>
    <author>Скрынникова Ж.А.</author>
  </authors>
  <commentList>
    <comment ref="B15" authorId="0" shapeId="0">
      <text>
        <r>
          <rPr>
            <b/>
            <sz val="9"/>
            <color indexed="81"/>
            <rFont val="Tahoma"/>
            <charset val="1"/>
          </rPr>
          <t>Измерение "Администратор.Сопоставим"
Параметр "Администратор" (от родительской задачи)</t>
        </r>
      </text>
    </comment>
    <comment ref="C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=ЕСЛИ(Применим ли в оценке&lt;&gt;1;"";SUM(1Взвешенное значение;2Взвешенное значение;3Взвешенное значение;4Взвешенное значение))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аудита].[Организация и осуществление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Включена типовая формула:
=ЕСЛИ(SUM(1Применим ли в оценке;2Применим ли в оценке;3Применим ли в оценке;4Применим ли в оценке)=0;0;1)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аудита].[Организация и осуществление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E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правого акта об организации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F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правого акта об организации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G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правого акта об организации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H15" authorId="0" shapeId="0">
      <text>
        <r>
          <rPr>
            <b/>
            <sz val="9"/>
            <color indexed="81"/>
            <rFont val="Tahoma"/>
            <charset val="1"/>
          </rPr>
          <t>Свободный "1Вес расчетный"
Итоги подводятся только по видимым элементам (сумма).
Включена типовая формула:
=ЕСЛИ(1Применим ли в оценке=1;(MIN(Вес4.1;Вес4.2;Вес4.3;Вес4.4))*((100/MIN(Вес4.1;Вес4.2;Вес4.3;Вес4.4))/Сумма весов*Вес4.1/MIN(Вес4.1;Вес4.2;Вес4.3;Вес4.4));"")</t>
        </r>
      </text>
    </comment>
    <comment ref="I15" authorId="0" shapeId="0">
      <text>
        <r>
          <rPr>
            <b/>
            <sz val="9"/>
            <color indexed="81"/>
            <rFont val="Tahoma"/>
            <charset val="1"/>
          </rPr>
          <t>Свободный "1Оценка с уч веса"
Итоги подводятся только по видимым элементам (сумма).
Включена типовая формула:
=ЕСЛИ(1Вес расчетный="";"не применяется";ЕСЛИ(1Применим ли в оценке=0;"не применяется";1Вес расчетный*1Оценка показателя/100))</t>
        </r>
      </text>
    </comment>
    <comment ref="J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=ЕСЛИ(ЕЧИСЛО(1Оценка с уч веса);1Оценка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правого акта об организации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планирования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L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планирования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M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планирования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N15" authorId="0" shapeId="0">
      <text>
        <r>
          <rPr>
            <b/>
            <sz val="9"/>
            <color indexed="81"/>
            <rFont val="Tahoma"/>
            <charset val="1"/>
          </rPr>
          <t>Свободный "2Вес расчетный"
Итоги подводятся только по видимым элементам (сумма).
Включена типовая формула:
=ЕСЛИ(2Применим ли в оценке=1;(MIN(Вес4.1;Вес4.2;Вес4.3;Вес4.4))*((100/MIN(Вес4.1;Вес4.2;Вес4.3;Вес4.4))/Сумма весов*Вес4.2/MIN(Вес4.1;Вес4.2;Вес4.3;Вес4.4));"")</t>
        </r>
      </text>
    </comment>
    <comment ref="O15" authorId="0" shapeId="0">
      <text>
        <r>
          <rPr>
            <b/>
            <sz val="9"/>
            <color indexed="81"/>
            <rFont val="Tahoma"/>
            <charset val="1"/>
          </rPr>
          <t>Свободный "2Оценка с уч веса"
Итоги подводятся только по видимым элементам (сумма).
Включена типовая формула:
=ЕСЛИ(2Вес расчетный="";"не применяется";ЕСЛИ(2Применим ли в оценке=0;"не применяется";2Вес расчетный*2Оценка показателя/100))</t>
        </r>
      </text>
    </comment>
    <comment ref="P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=ЕСЛИ(ЕЧИСЛО(2Оценка с уч веса);2Оценка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планирования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Q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проведения внутреннего финансового аудита и составления отчётности о результатах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R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проведения внутреннего финансового аудита и составления отчётности о результатах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S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проведения внутреннего финансового аудита и составления отчётности о результатах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T15" authorId="0" shapeId="0">
      <text>
        <r>
          <rPr>
            <b/>
            <sz val="9"/>
            <color indexed="81"/>
            <rFont val="Tahoma"/>
            <charset val="1"/>
          </rPr>
          <t>Свободный "3Вес расчетный"
Итоги подводятся только по видимым элементам (сумма).
Включена типовая формула:
=ЕСЛИ(3Применим ли в оценке=1;(MIN(Вес4.1;Вес4.2;Вес4.3;Вес4.4))*((100/MIN(Вес4.1;Вес4.2;Вес4.3;Вес4.4))/Сумма весов*Вес4.3/MIN(Вес4.1;Вес4.2;Вес4.3;Вес4.4));"")</t>
        </r>
      </text>
    </comment>
    <comment ref="U15" authorId="0" shapeId="0">
      <text>
        <r>
          <rPr>
            <b/>
            <sz val="9"/>
            <color indexed="81"/>
            <rFont val="Tahoma"/>
            <charset val="1"/>
          </rPr>
          <t>Свободный "3Оценка с уч веса"
Итоги подводятся только по видимым элементам (сумма).
Включена типовая формула:
=ЕСЛИ(3Вес расчетный="";"не применяется";ЕСЛИ(3Применим ли в оценке=0;"не применяется";3Вес расчетный*3Оценка показателя/100))</t>
        </r>
      </text>
    </comment>
    <comment ref="V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=ЕСЛИ(ЕЧИСЛО(3Оценка с уч веса);3Оценка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аудита].[Качество проведения внутреннего финансового аудита и составления отчётности о результатах внутреннего финансового аудита]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W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аудита].[Наличие на официальном сайте в сети Интернет по размещению информации о государственных и муниципальных учреждениях (www.bus.gov.ru) сведений о муниципальных учреждениях]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X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аудита].[Наличие на официальном сайте в сети Интернет по размещению информации о государственных и муниципальных учреждениях (www.bus.gov.ru) сведений о муниципальных учреждениях]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Y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аудита].[Наличие на официальном сайте в сети Интернет по размещению информации о государственных и муниципальных учреждениях (www.bus.gov.ru) сведений о муниципальных учреждениях]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Z15" authorId="0" shapeId="0">
      <text>
        <r>
          <rPr>
            <b/>
            <sz val="9"/>
            <color indexed="81"/>
            <rFont val="Tahoma"/>
            <charset val="1"/>
          </rPr>
          <t>Свободный "4Вес расчетный"
Итоги подводятся только по видимым элементам (сумма).
Включена типовая формула:
=ЕСЛИ(4Применим ли в оценке=1;(MIN(Вес4.1;Вес4.2;Вес4.3;Вес4.4))*((100/MIN(Вес4.1;Вес4.2;Вес4.3;Вес4.4))/Сумма весов*Вес4.4/MIN(Вес4.1;Вес4.2;Вес4.3;Вес4.4));"")</t>
        </r>
      </text>
    </comment>
    <comment ref="AA15" authorId="0" shapeId="0">
      <text>
        <r>
          <rPr>
            <b/>
            <sz val="9"/>
            <color indexed="81"/>
            <rFont val="Tahoma"/>
            <charset val="1"/>
          </rPr>
          <t>Свободный "4Оценка с уч веса"
Итоги подводятся только по видимым элементам (сумма).
Включена типовая формула:
=ЕСЛИ(4Вес расчетный="";"не применяется";ЕСЛИ(4Применим ли в оценке=0;"не применяется";4Оценка показателя*4Вес расчетный/100))</t>
        </r>
      </text>
    </comment>
    <comment ref="AB15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=ЕСЛИ(ЕЧИСЛО(4Оценка с уч веса);4Оценка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аудита].[Наличие на официальном сайте в сети Интернет по размещению информации о государственных и муниципальных учреждениях (www.bus.gov.ru) сведений о муниципальных учреждениях]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AC15" authorId="0" shapeId="0">
      <text>
        <r>
          <rPr>
            <b/>
            <sz val="9"/>
            <color indexed="81"/>
            <rFont val="Tahoma"/>
            <charset val="1"/>
          </rPr>
          <t>Свободный "1"
Итоги подводятся только по видимым элементам (сумма).
Включена типовая формула:
=ЕСЛИ(1Применим ли в оценке=1;Вес4.1/MIN(Вес4.1;Вес4.2;Вес4.3;Вес4.4);"")</t>
        </r>
      </text>
    </comment>
    <comment ref="AD15" authorId="0" shapeId="0">
      <text>
        <r>
          <rPr>
            <b/>
            <sz val="9"/>
            <color indexed="81"/>
            <rFont val="Tahoma"/>
            <charset val="1"/>
          </rPr>
          <t>Свободный "2"
Итоги подводятся только по видимым элементам (сумма).
Включена типовая формула:
=ЕСЛИ(2Применим ли в оценке=1;Вес4.2/MIN(Вес4.1;Вес4.2;Вес4.3;Вес4.4);"")</t>
        </r>
      </text>
    </comment>
    <comment ref="AE15" authorId="0" shapeId="0">
      <text>
        <r>
          <rPr>
            <b/>
            <sz val="9"/>
            <color indexed="81"/>
            <rFont val="Tahoma"/>
            <charset val="1"/>
          </rPr>
          <t>Свободный "3"
Итоги подводятся только по видимым элементам (сумма).
Включена типовая формула:
=ЕСЛИ(3Применим ли в оценке=1;Вес4.3/MIN(Вес4.1;Вес4.2;Вес4.3;Вес4.4);"")</t>
        </r>
      </text>
    </comment>
    <comment ref="AF15" authorId="0" shapeId="0">
      <text>
        <r>
          <rPr>
            <b/>
            <sz val="9"/>
            <color indexed="81"/>
            <rFont val="Tahoma"/>
            <charset val="1"/>
          </rPr>
          <t>Свободный "4"
Итоги подводятся только по видимым элементам (сумма).
Включена типовая формула:
=ЕСЛИ(4Применим ли в оценке=1;Вес4.4/MIN(Вес4.1;Вес4.2;Вес4.3;Вес4.4);"")</t>
        </r>
      </text>
    </comment>
    <comment ref="AG15" authorId="0" shapeId="0">
      <text>
        <r>
          <rPr>
            <b/>
            <sz val="9"/>
            <color indexed="81"/>
            <rFont val="Tahoma"/>
            <charset val="1"/>
          </rPr>
          <t>Свободный "Сумма весов"
Итоги подводятся только по видимым элементам (сумма).
Включена типовая формула:
=SUM(1:4)</t>
        </r>
      </text>
    </comment>
  </commentList>
</comments>
</file>

<file path=xl/comments5.xml><?xml version="1.0" encoding="utf-8"?>
<comments xmlns="http://schemas.openxmlformats.org/spreadsheetml/2006/main">
  <authors>
    <author>Скрынникова Ж.А.</author>
  </authors>
  <commentList>
    <comment ref="B13" authorId="0" shapeId="0">
      <text>
        <r>
          <rPr>
            <b/>
            <sz val="9"/>
            <color indexed="81"/>
            <rFont val="Tahoma"/>
            <charset val="1"/>
          </rPr>
          <t>Измерение "Администратор.Сопоставим"
Параметр "Администратор" (от родительской задачи)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=ЕСЛИ(Применим ли в оценке&lt;&gt;1;"";SUM(1Взвешенное значение;2Взвешенное значение))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нарушениями].[Исполнение бюджетных процедур во взаимосвязи с выявленными бюджетными нарушениями]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Включена типовая формула:
=ЕСЛИ(SUM(1Применим ли в оценке;2Применим ли в оценке)=0;0;1)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нарушениями].[Исполнение бюджетных процедур во взаимосвязи с выявленными бюджетными нарушениями]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нарушениями].[Качество исполнения представлений (предписаний) органов внешнего государственного (муниципального) финансового контроля]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F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нарушениями].[Качество исполнения представлений (предписаний) органов внешнего государственного (муниципального) финансового контроля]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G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нарушениями].[Качество исполнения представлений (предписаний) органов внешнего государственного (муниципального) финансового контроля]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Свободный "1Вес расчетный"
Итоги подводятся только по видимым элементам (сумма).
Включена типовая формула:
=ЕСЛИ(1Применим ли в оценке=1;(MIN(Вес5.1;Вес5.2))*((100/MIN(Вес5.1;Вес5.2))/Сумма весов*Вес5.1/MIN(Вес5.1;Вес5.2));"")</t>
        </r>
      </text>
    </comment>
    <comment ref="I13" authorId="0" shapeId="0">
      <text>
        <r>
          <rPr>
            <b/>
            <sz val="9"/>
            <color indexed="81"/>
            <rFont val="Tahoma"/>
            <charset val="1"/>
          </rPr>
          <t>Свободный "1Оценка с уч веса"
Итоги подводятся только по видимым элементам (сумма).
Включена типовая формула:
=ЕСЛИ(1Вес расчетный="";"не применяется";ЕСЛИ(1Применим ли в оценке=0;"не применяется";1Вес расчетный*1Оценка показателя/100))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=ЕСЛИ(ЕЧИСЛО(1Оценка с уч веса);1Оценка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нарушениями].[Качество исполнения представлений (предписаний) органов внешнего государственного (муниципального) финансового контроля]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нарушениями].[Качество исполнения представлений (предписаний) органов внутреннего государственного (муниципального) финансового контроля]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L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нарушениями].[Качество исполнения представлений (предписаний) органов внутреннего государственного (муниципального) финансового контроля]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M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нарушениями].[Качество исполнения представлений (предписаний) органов внутреннего государственного (муниципального) финансового контроля]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N13" authorId="0" shapeId="0">
      <text>
        <r>
          <rPr>
            <b/>
            <sz val="9"/>
            <color indexed="81"/>
            <rFont val="Tahoma"/>
            <charset val="1"/>
          </rPr>
          <t>Свободный "2Вес расчетный"
Итоги подводятся только по видимым элементам (сумма).
Включена типовая формула:
=ЕСЛИ(2Применим ли в оценке=1;(MIN(Вес5.1;Вес5.2))*((100/MIN(Вес5.1;Вес5.2))/Сумма весов*Вес5.2/MIN(Вес5.1;Вес5.2));"")</t>
        </r>
      </text>
    </comment>
    <comment ref="O13" authorId="0" shapeId="0">
      <text>
        <r>
          <rPr>
            <b/>
            <sz val="9"/>
            <color indexed="81"/>
            <rFont val="Tahoma"/>
            <charset val="1"/>
          </rPr>
          <t>Свободный "2Оценка с уч веса"
Итоги подводятся только по видимым элементам (сумма).
Включена типовая формула:
=ЕСЛИ(2Вес расчетный="";"не применяется";ЕСЛИ(2Применим ли в оценке=0;"не применяется";2Вес расчетный*2Оценка показателя/100))</t>
        </r>
      </text>
    </comment>
    <comment ref="P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=ЕСЛИ(ЕЧИСЛО(2Оценка с уч веса);2Оценка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нарушениями].[Качество исполнения представлений (предписаний) органов внутреннего государственного (муниципального) финансового контроля]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Q13" authorId="0" shapeId="0">
      <text>
        <r>
          <rPr>
            <b/>
            <sz val="9"/>
            <color indexed="81"/>
            <rFont val="Tahoma"/>
            <charset val="1"/>
          </rPr>
          <t>Свободный "1"
Итоги подводятся только по видимым элементам (сумма).
Включена типовая формула:
=ЕСЛИ(1Применим ли в оценке=1;Вес5.1/MIN(Вес5.1;Вес5.2);"")</t>
        </r>
      </text>
    </comment>
    <comment ref="R13" authorId="0" shapeId="0">
      <text>
        <r>
          <rPr>
            <b/>
            <sz val="9"/>
            <color indexed="81"/>
            <rFont val="Tahoma"/>
            <charset val="1"/>
          </rPr>
          <t>Свободный "2"
Итоги подводятся только по видимым элементам (сумма).
Включена типовая формула:
=ЕСЛИ(2Применим ли в оценке=1;Вес5.2/MIN(Вес5.1;Вес5.2);"")</t>
        </r>
      </text>
    </comment>
    <comment ref="S13" authorId="0" shapeId="0">
      <text>
        <r>
          <rPr>
            <b/>
            <sz val="9"/>
            <color indexed="81"/>
            <rFont val="Tahoma"/>
            <charset val="1"/>
          </rPr>
          <t>Свободный "Сумма весов"
Итоги подводятся только по видимым элементам (сумма).
Включена типовая формула:
=SUM(1:2)</t>
        </r>
      </text>
    </comment>
  </commentList>
</comments>
</file>

<file path=xl/comments6.xml><?xml version="1.0" encoding="utf-8"?>
<comments xmlns="http://schemas.openxmlformats.org/spreadsheetml/2006/main">
  <authors>
    <author>Скрынникова Ж.А.</author>
  </authors>
  <commentList>
    <comment ref="B13" authorId="0" shapeId="0">
      <text>
        <r>
          <rPr>
            <b/>
            <sz val="9"/>
            <color indexed="81"/>
            <rFont val="Tahoma"/>
            <charset val="1"/>
          </rPr>
          <t>Измерение "Администратор.Сопоставим"
Параметр "Администратор" (от родительской задачи)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=ЕСЛИ(Применим ли в оценке&lt;&gt;1;"";SUM(1Взвешенное значение;2Взвешенное значение))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(имуществом)].[Управление активами (имуществом)]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Включена типовая формула:
=ЕСЛИ(SUM(1Применим ли в оценке;2Применим ли в оценке)=0;0;1)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(имуществом)].[Управление активами (имуществом)]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(имуществом)].[Недостачи и хищения нефинансовых активов]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F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(имуществом)].[Недостачи и хищения нефинансовых активов]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G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(имуществом)].[Недостачи и хищения нефинансовых активов]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Свободный "1Вес расчетный"
Итоги подводятся только по видимым элементам (сумма).
Включена типовая формула:
=ЕСЛИ(1Применим ли в оценке=1;(MIN(Вес6.1;Вес6.2))*((100/MIN(Вес6.1;Вес6.2))/Сумма весов*Вес6.1/MIN(Вес6.1;Вес6.2));"")</t>
        </r>
      </text>
    </comment>
    <comment ref="I13" authorId="0" shapeId="0">
      <text>
        <r>
          <rPr>
            <b/>
            <sz val="9"/>
            <color indexed="81"/>
            <rFont val="Tahoma"/>
            <charset val="1"/>
          </rPr>
          <t>Свободный "1Оценка с уч веса"
Итоги подводятся только по видимым элементам (сумма).
Включена типовая формула:
=ЕСЛИ(1Вес расчетный="";"не применяется";ЕСЛИ(1Применим ли в оценке=0;"не применяется";1Вес расчетный*1Оценка показателя/100))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=ЕСЛИ(ЕЧИСЛО(1Оценка с уч веса);1Оценка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(имуществом)].[Недостачи и хищения нефинансовых активов]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(имуществом)].[Проведение инвентаризации активов и обязательств перед составлением годовой бюджетной отчётности]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L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(имуществом)].[Проведение инвентаризации активов и обязательств перед составлением годовой бюджетной отчётности]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M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"Оценка показателя"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(имуществом)].[Проведение инвентаризации активов и обязательств перед составлением годовой бюджетной отчётности]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N13" authorId="0" shapeId="0">
      <text>
        <r>
          <rPr>
            <b/>
            <sz val="9"/>
            <color indexed="81"/>
            <rFont val="Tahoma"/>
            <charset val="1"/>
          </rPr>
          <t>Свободный "2Вес расчетный"
Итоги подводятся только по видимым элементам (сумма).
Включена типовая формула:
=ЕСЛИ(2Применим ли в оценке=1;(MIN(Вес6.1;Вес6.2))*((100/MIN(Вес6.1;Вес6.2))/Сумма весов*Вес6.2/MIN(Вес6.1;Вес6.2));"")</t>
        </r>
      </text>
    </comment>
    <comment ref="O13" authorId="0" shapeId="0">
      <text>
        <r>
          <rPr>
            <b/>
            <sz val="9"/>
            <color indexed="81"/>
            <rFont val="Tahoma"/>
            <charset val="1"/>
          </rPr>
          <t>Свободный "2Оценка с уч веса"
Итоги подводятся только по видимым элементам (сумма).
Включена типовая формула:
=ЕСЛИ(2Вес расчетный="";"не применяется";ЕСЛИ(2Применим ли в оценке=0;"не применяется";2Вес расчетный*2Оценка показателя/100))</t>
        </r>
      </text>
    </comment>
    <comment ref="P13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=ЕСЛИ(ЕЧИСЛО(2Оценка с уч веса);2Оценка с уч веса;"")
Частный фильтр "Период.Период"
[Данные всех периодов].[2024]
Параметр "Год" (от родительской задачи)
Частный фильтр "Показатели.Оценка качества ФМ_Сопоставимый"
[Все показатели].[Управление активами (имуществом)].[Проведение инвентаризации активов и обязательств перед составлением годовой бюджетной отчётности]
Частный фильтр "Источники данных"
[Все источники данных].[ФО Оценка качества ФМ - 2024]
Параметр "Источник данных" (от родительской задачи)</t>
        </r>
      </text>
    </comment>
    <comment ref="Q13" authorId="0" shapeId="0">
      <text>
        <r>
          <rPr>
            <b/>
            <sz val="9"/>
            <color indexed="81"/>
            <rFont val="Tahoma"/>
            <charset val="1"/>
          </rPr>
          <t>Свободный "1"
Итоги подводятся только по видимым элементам (сумма).
Включена типовая формула:
=ЕСЛИ(1Применим ли в оценке=1;Вес6.1/MIN(Вес6.1;Вес6.2);"")</t>
        </r>
      </text>
    </comment>
    <comment ref="R13" authorId="0" shapeId="0">
      <text>
        <r>
          <rPr>
            <b/>
            <sz val="9"/>
            <color indexed="81"/>
            <rFont val="Tahoma"/>
            <charset val="1"/>
          </rPr>
          <t>Свободный "2"
Итоги подводятся только по видимым элементам (сумма).
Включена типовая формула:
=ЕСЛИ(2Применим ли в оценке=1;Вес6.2/MIN(Вес6.1;Вес6.2);"")</t>
        </r>
      </text>
    </comment>
    <comment ref="S13" authorId="0" shapeId="0">
      <text>
        <r>
          <rPr>
            <b/>
            <sz val="9"/>
            <color indexed="81"/>
            <rFont val="Tahoma"/>
            <charset val="1"/>
          </rPr>
          <t>Свободный "Сумма весов"
Итоги подводятся только по видимым элементам (сумма).
Включена типовая формула:
=SUM(1:2)</t>
        </r>
      </text>
    </comment>
  </commentList>
</comments>
</file>

<file path=xl/comments7.xml><?xml version="1.0" encoding="utf-8"?>
<comments xmlns="http://schemas.openxmlformats.org/spreadsheetml/2006/main">
  <authors>
    <author>Скрынникова Ж.А.</author>
  </authors>
  <commentList>
    <comment ref="B17" authorId="0" shapeId="0">
      <text>
        <r>
          <rPr>
            <b/>
            <sz val="9"/>
            <color indexed="81"/>
            <rFont val="Tahoma"/>
            <charset val="1"/>
          </rPr>
          <t>Измерение "Администратор.Сопоставим"
Параметр "Администратор" (от родительской задачи)</t>
        </r>
      </text>
    </comment>
    <comment ref="C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=ЕСЛИ(Применим ли в оценке&lt;&gt;1;"";SUM(1Взвешенное значение;2Взвешенное значение;3Взвешенное значение;4Взвешенное значение;5Взвешенное значение;6Взвешенное значение))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показатели].[Итоговая оценка по главному распорядителю средств местного бюджета]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(не вычислять).
Включена типовая формула:
=ЕСЛИ(SUM(1Применим ли в оценке;2Применим ли в оценке;3Применим ли в оценке;4Применим ли в оценке;5Применим ли в оценке;6Применим ли в оценке)=0;0;1)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показатели].[Итоговая оценка по главному распорядителю средств местного бюджета]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(не вычислять).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бюджета].[Управление расходами местного бюджета]
Значение из базы (по всем элементам): 1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(среднее).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бюджета].[Управление расходами местного бюджета]
Значение из базы (по всем элементам): 0,8253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Свободный "1Оценка показателя (%)"
Итоги подводятся только по видимым элементам (среднее).
Включена типовая формула:
=1Взвешенное значение_копия*100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Свободный "1Вес расчетный"
Итоги подводятся только по видимым элементам (не вычислять).
Включена типовая формула:
=ЕСЛИ(1Применим ли в оценке=1;(MIN(Вес1;Вес2;Вес3;Вес4;Вес5;Вес6))*((100/MIN(Вес1;Вес2;Вес3;Вес4;Вес5;Вес6))/Сумма весов*Вес1/MIN(Вес1;Вес2;Вес3;Вес4;Вес5;Вес6));"")</t>
        </r>
      </text>
    </comment>
    <comment ref="I17" authorId="0" shapeId="0">
      <text>
        <r>
          <rPr>
            <b/>
            <sz val="9"/>
            <color indexed="81"/>
            <rFont val="Tahoma"/>
            <charset val="1"/>
          </rPr>
          <t>Свободный "1Оценка с уч веса"
Итоги подводятся только по видимым элементам (сумма).
Включена типовая формула:
=ЕСЛИ(1Вес расчетный="";"не применяется";ЕСЛИ(1Применим ли в оценке=0;"не применяется";1Вес расчетный*1Оценка показателя (%)/100))</t>
        </r>
      </text>
    </comment>
    <comment ref="J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(среднее).
Включена типовая формула:
=ЕСЛИ(ЕЧИСЛО(1Оценка с уч веса);1Оценка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расходами местного бюджета].[Управление расходами местного бюджета]
Значение показателя из базы: 0,8253</t>
        </r>
      </text>
    </comment>
    <comment ref="K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(не вычислять).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доходами местного бюджета].[Управление доходами местного бюджета]
Значение из базы (по всем элементам): 1</t>
        </r>
      </text>
    </comment>
    <comment ref="L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(среднее).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доходами местного бюджета].[Управление доходами местного бюджета]
Значение из базы (по всем элементам): 0,8125</t>
        </r>
      </text>
    </comment>
    <comment ref="M17" authorId="0" shapeId="0">
      <text>
        <r>
          <rPr>
            <b/>
            <sz val="9"/>
            <color indexed="81"/>
            <rFont val="Tahoma"/>
            <charset val="1"/>
          </rPr>
          <t>Свободный "2Оценка показателя (%)"
Итоги подводятся только по видимым элементам (среднее).
Включена типовая формула:
=2Взвешенное значение_копия*100</t>
        </r>
      </text>
    </comment>
    <comment ref="N17" authorId="0" shapeId="0">
      <text>
        <r>
          <rPr>
            <b/>
            <sz val="9"/>
            <color indexed="81"/>
            <rFont val="Tahoma"/>
            <charset val="1"/>
          </rPr>
          <t>Свободный "2Вес расчетный"
Итоги подводятся только по видимым элементам (не вычислять).
Включена типовая формула:
=ЕСЛИ(1Применим ли в оценке=1;(MIN(Вес1;Вес2;Вес3;Вес4;Вес5;Вес6))*((100/MIN(Вес1;Вес2;Вес3;Вес4;Вес5;Вес6))/Сумма весов*Вес2/MIN(Вес1;Вес2;Вес3;Вес4;Вес5;Вес6));"")</t>
        </r>
      </text>
    </comment>
    <comment ref="O17" authorId="0" shapeId="0">
      <text>
        <r>
          <rPr>
            <b/>
            <sz val="9"/>
            <color indexed="81"/>
            <rFont val="Tahoma"/>
            <charset val="1"/>
          </rPr>
          <t>Свободный "2Оценка с уч веса"
Итоги подводятся только по видимым элементам (сумма).
Включена типовая формула:
=ЕСЛИ(2Вес расчетный="";"не применяется";ЕСЛИ(2Применим ли в оценке=0;"не применяется";2Вес расчетный*2Оценка показателя (%)/100))</t>
        </r>
      </text>
    </comment>
    <comment ref="P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(среднее).
Включена типовая формула:
=ЕСЛИ(ЕЧИСЛО(2Оценка с уч веса);2Оценка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доходами местного бюджета].[Управление доходами местного бюджета]
Значение показателя из базы: 0,8125</t>
        </r>
      </text>
    </comment>
    <comment ref="Q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отчётности].[Ведение учета и составление бюджетной отчётности]
Значение из базы (по всем элементам): 1</t>
        </r>
      </text>
    </comment>
    <comment ref="R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отчётности].[Ведение учета и составление бюджетной отчётности]
Значение из базы (по всем элементам): 1</t>
        </r>
      </text>
    </comment>
    <comment ref="S17" authorId="0" shapeId="0">
      <text>
        <r>
          <rPr>
            <b/>
            <sz val="9"/>
            <color indexed="81"/>
            <rFont val="Tahoma"/>
            <charset val="1"/>
          </rPr>
          <t>Свободный "3Оценка показателя (%)"
Итоги подводятся только по видимым элементам (сумма).
Включена типовая формула:
=3Взвешенное значение_копия*100</t>
        </r>
      </text>
    </comment>
    <comment ref="T17" authorId="0" shapeId="0">
      <text>
        <r>
          <rPr>
            <b/>
            <sz val="9"/>
            <color indexed="81"/>
            <rFont val="Tahoma"/>
            <charset val="1"/>
          </rPr>
          <t>Свободный "3Вес расчетный"
Итоги подводятся только по видимым элементам (сумма).
Включена типовая формула:
=ЕСЛИ(1Применим ли в оценке=1;(MIN(Вес1;Вес2;Вес3;Вес4;Вес5;Вес6))*((100/MIN(Вес1;Вес2;Вес3;Вес4;Вес5;Вес6))/Сумма весов*Вес3/MIN(Вес1;Вес2;Вес3;Вес4;Вес5;Вес6));"")</t>
        </r>
      </text>
    </comment>
    <comment ref="U17" authorId="0" shapeId="0">
      <text>
        <r>
          <rPr>
            <b/>
            <sz val="9"/>
            <color indexed="81"/>
            <rFont val="Tahoma"/>
            <charset val="1"/>
          </rPr>
          <t>Свободный "3Оценка с уч веса"
Итоги подводятся только по видимым элементам (сумма).
Включена типовая формула:
=ЕСЛИ(3Вес расчетный="";"не применяется";ЕСЛИ(3Применим ли в оценке=0;"не применяется";3Вес расчетный*3Оценка показателя (%)/100))</t>
        </r>
      </text>
    </comment>
    <comment ref="V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=ЕСЛИ(ЕЧИСЛО(3Оценка с уч веса);3Оценка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показатели].[Ведение учета и составление бюджетной отчётности].[Ведение учета и составление бюджетной отчётности]
Значение показателя из базы: 1</t>
        </r>
      </text>
    </comment>
    <comment ref="W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аудита].[Организация и осуществление внутреннего финансового аудита]
Значение из базы (по всем элементам): 1</t>
        </r>
      </text>
    </comment>
    <comment ref="X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аудита].[Организация и осуществление внутреннего финансового аудита]
Значение из базы (по всем элементам): 1</t>
        </r>
      </text>
    </comment>
    <comment ref="Y17" authorId="0" shapeId="0">
      <text>
        <r>
          <rPr>
            <b/>
            <sz val="9"/>
            <color indexed="81"/>
            <rFont val="Tahoma"/>
            <charset val="1"/>
          </rPr>
          <t>Свободный "4Оценка показателя (%)"
Итоги подводятся только по видимым элементам (сумма).
Включена типовая формула:
=4Взвешенное значение_копия*100</t>
        </r>
      </text>
    </comment>
    <comment ref="Z17" authorId="0" shapeId="0">
      <text>
        <r>
          <rPr>
            <b/>
            <sz val="9"/>
            <color indexed="81"/>
            <rFont val="Tahoma"/>
            <charset val="1"/>
          </rPr>
          <t>Свободный "4Вес расчетный"
Итоги подводятся только по видимым элементам (сумма).
Включена типовая формула:
=ЕСЛИ(1Применим ли в оценке=1;(MIN(Вес1;Вес2;Вес3;Вес4;Вес5;Вес6))*((100/MIN(Вес1;Вес2;Вес3;Вес4;Вес5;Вес6))/Сумма весов*Вес4/MIN(Вес1;Вес2;Вес3;Вес4;Вес5;Вес6));"")</t>
        </r>
      </text>
    </comment>
    <comment ref="AA17" authorId="0" shapeId="0">
      <text>
        <r>
          <rPr>
            <b/>
            <sz val="9"/>
            <color indexed="81"/>
            <rFont val="Tahoma"/>
            <charset val="1"/>
          </rPr>
          <t>Свободный "4Оценка с уч веса"
Итоги подводятся только по видимым элементам (сумма).
Включена типовая формула:
=ЕСЛИ(4Вес расчетный="";"не применяется";ЕСЛИ(4Применим ли в оценке=0;"не применяется";4Вес расчетный*4Оценка показателя (%)/100))</t>
        </r>
      </text>
    </comment>
    <comment ref="AB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=ЕСЛИ(ЕЧИСЛО(4Оценка с уч веса);4Оценка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показатели].[Организация и осуществление внутреннего финансового аудита].[Организация и осуществление внутреннего финансового аудита]
Значение показателя из базы: 1</t>
        </r>
      </text>
    </comment>
    <comment ref="AC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нарушениями].[Исполнение бюджетных процедур во взаимосвязи с выявленными бюджетными нарушениями]
Значение из базы (по всем элементам): 1</t>
        </r>
      </text>
    </comment>
    <comment ref="AD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нарушениями].[Исполнение бюджетных процедур во взаимосвязи с выявленными бюджетными нарушениями]
Значение из базы (по всем элементам): 1</t>
        </r>
      </text>
    </comment>
    <comment ref="AE17" authorId="0" shapeId="0">
      <text>
        <r>
          <rPr>
            <b/>
            <sz val="9"/>
            <color indexed="81"/>
            <rFont val="Tahoma"/>
            <charset val="1"/>
          </rPr>
          <t>Свободный "5Оценка показателя (%)"
Итоги подводятся только по видимым элементам (сумма).
Включена типовая формула:
=5Взвешенное значение_копия*100</t>
        </r>
      </text>
    </comment>
    <comment ref="AF17" authorId="0" shapeId="0">
      <text>
        <r>
          <rPr>
            <b/>
            <sz val="9"/>
            <color indexed="81"/>
            <rFont val="Tahoma"/>
            <charset val="1"/>
          </rPr>
          <t>Свободный "5Вес расчетный"
Итоги подводятся только по видимым элементам (сумма).
Включена типовая формула:
=ЕСЛИ(1Применим ли в оценке=1;(MIN(Вес1;Вес2;Вес3;Вес4;Вес5;Вес6))*((100/MIN(Вес1;Вес2;Вес3;Вес4;Вес5;Вес6))/Сумма весов*Вес5/MIN(Вес1;Вес2;Вес3;Вес4;Вес5;Вес6));"")</t>
        </r>
      </text>
    </comment>
    <comment ref="AG17" authorId="0" shapeId="0">
      <text>
        <r>
          <rPr>
            <b/>
            <sz val="9"/>
            <color indexed="81"/>
            <rFont val="Tahoma"/>
            <charset val="1"/>
          </rPr>
          <t>Свободный "5Оценка с уч веса"
Итоги подводятся только по видимым элементам (сумма).
Включена типовая формула:
=ЕСЛИ(5Вес расчетный="";"не применяется";ЕСЛИ(5Применим ли в оценке=0;"не применяется";5Вес расчетный*5Оценка показателя (%)/100))</t>
        </r>
      </text>
    </comment>
    <comment ref="AH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=ЕСЛИ(ЕЧИСЛО(5Оценка с уч веса);5Оценка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показатели].[Исполнение бюджетных процедур во взаимосвязи с выявленными бюджетными нарушениями].[Исполнение бюджетных процедур во взаимосвязи с выявленными бюджетными нарушениями]
Значение показателя из базы: 1</t>
        </r>
      </text>
    </comment>
    <comment ref="AI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"Применим ли в оценке"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активами (имуществом)].[Управление активами (имуществом)]
Значение из базы (по всем элементам): 1</t>
        </r>
      </text>
    </comment>
    <comment ref="AJ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активами (имуществом)].[Управление активами (имуществом)]
Значение из базы (по всем элементам): 1</t>
        </r>
      </text>
    </comment>
    <comment ref="AK17" authorId="0" shapeId="0">
      <text>
        <r>
          <rPr>
            <b/>
            <sz val="9"/>
            <color indexed="81"/>
            <rFont val="Tahoma"/>
            <charset val="1"/>
          </rPr>
          <t>Свободный "6Оценка показателя (%)"
Итоги подводятся только по видимым элементам (сумма).
Включена типовая формула:
=6Взвешенное значение_копия*100</t>
        </r>
      </text>
    </comment>
    <comment ref="AL17" authorId="0" shapeId="0">
      <text>
        <r>
          <rPr>
            <b/>
            <sz val="9"/>
            <color indexed="81"/>
            <rFont val="Tahoma"/>
            <charset val="1"/>
          </rPr>
          <t>Свободный "6Вес расчетный"
Итоги подводятся только по видимым элементам (сумма).
Включена типовая формула:
=ЕСЛИ(1Применим ли в оценке=1;(MIN(Вес1;Вес2;Вес3;Вес4;Вес5;Вес6))*((100/MIN(Вес1;Вес2;Вес3;Вес4;Вес5;Вес6))/Сумма весов*Вес6/MIN(Вес1;Вес2;Вес3;Вес4;Вес5;Вес6));"")</t>
        </r>
      </text>
    </comment>
    <comment ref="AM17" authorId="0" shapeId="0">
      <text>
        <r>
          <rPr>
            <b/>
            <sz val="9"/>
            <color indexed="81"/>
            <rFont val="Tahoma"/>
            <charset val="1"/>
          </rPr>
          <t>Свободный "6Оценка с уч веса"
Итоги подводятся только по видимым элементам (сумма).
Включена типовая формула:
=ЕСЛИ(6Вес расчетный="";"не применяется";ЕСЛИ(6Применим ли в оценке=0;"не применяется";6Вес расчетный*6Оценка показателя (%)/100))</t>
        </r>
      </text>
    </comment>
    <comment ref="AN1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Включена типовая формула:
=ЕСЛИ(ЕЧИСЛО(6Оценка с уч веса);6Оценка с уч веса;"")
Частный фильтр "Период.Период"
[Данные всех периодов].[2024]
Параметр "Год" (от родительской задачи)
Частный фильтр "Источники данных"
[Все источники данных].[ФО Оценка качества ФМ - 2024]
Параметр "Источник данных" (от родительской задачи)
Частный фильтр "Показатели.Оценка качества ФМ_Сопоставимый"
[Все показатели].[Управление активами (имуществом)].[Управление активами (имуществом)]
Значение показателя из базы: 1</t>
        </r>
      </text>
    </comment>
    <comment ref="AO17" authorId="0" shapeId="0">
      <text>
        <r>
          <rPr>
            <b/>
            <sz val="9"/>
            <color indexed="81"/>
            <rFont val="Tahoma"/>
            <charset val="1"/>
          </rPr>
          <t>Свободный "1"
Итоги подводятся только по видимым элементам (сумма).
Включена типовая формула:
=ЕСЛИ(1Применим ли в оценке=1;Вес1/MIN(Вес1;Вес2;Вес3;Вес4;Вес5;Вес6);"")</t>
        </r>
      </text>
    </comment>
    <comment ref="AP17" authorId="0" shapeId="0">
      <text>
        <r>
          <rPr>
            <b/>
            <sz val="9"/>
            <color indexed="81"/>
            <rFont val="Tahoma"/>
            <charset val="1"/>
          </rPr>
          <t>Свободный "2"
Итоги подводятся только по видимым элементам (сумма).
Включена типовая формула:
=ЕСЛИ(2Применим ли в оценке=1;Вес2/MIN(Вес1;Вес2;Вес3;Вес4;Вес5;Вес6);"")</t>
        </r>
      </text>
    </comment>
    <comment ref="AQ17" authorId="0" shapeId="0">
      <text>
        <r>
          <rPr>
            <b/>
            <sz val="9"/>
            <color indexed="81"/>
            <rFont val="Tahoma"/>
            <charset val="1"/>
          </rPr>
          <t>Свободный "3"
Итоги подводятся только по видимым элементам (сумма).
Включена типовая формула:
=ЕСЛИ(3Применим ли в оценке=1;Вес3/MIN(Вес1;Вес2;Вес3;Вес4;Вес5;Вес6);"")</t>
        </r>
      </text>
    </comment>
    <comment ref="AR17" authorId="0" shapeId="0">
      <text>
        <r>
          <rPr>
            <b/>
            <sz val="9"/>
            <color indexed="81"/>
            <rFont val="Tahoma"/>
            <charset val="1"/>
          </rPr>
          <t>Свободный "4"
Итоги подводятся только по видимым элементам (сумма).
Включена типовая формула:
=ЕСЛИ(4Применим ли в оценке=1;Вес4/MIN(Вес1;Вес2;Вес3;Вес4;Вес5;Вес6);"")</t>
        </r>
      </text>
    </comment>
    <comment ref="AS17" authorId="0" shapeId="0">
      <text>
        <r>
          <rPr>
            <b/>
            <sz val="9"/>
            <color indexed="81"/>
            <rFont val="Tahoma"/>
            <charset val="1"/>
          </rPr>
          <t>Свободный "5"
Итоги подводятся только по видимым элементам (сумма).
Включена типовая формула:
=ЕСЛИ(5Применим ли в оценке=1;Вес5/MIN(Вес1;Вес2;Вес3;Вес4;Вес5;Вес6);"")</t>
        </r>
      </text>
    </comment>
    <comment ref="AT17" authorId="0" shapeId="0">
      <text>
        <r>
          <rPr>
            <b/>
            <sz val="9"/>
            <color indexed="81"/>
            <rFont val="Tahoma"/>
            <charset val="1"/>
          </rPr>
          <t>Свободный "6"
Итоги подводятся только по видимым элементам (сумма).
Включена типовая формула:
=ЕСЛИ(6Применим ли в оценке=1;Вес6/MIN(Вес1;Вес2;Вес3;Вес4;Вес5;Вес6);"")</t>
        </r>
      </text>
    </comment>
    <comment ref="AU17" authorId="0" shapeId="0">
      <text>
        <r>
          <rPr>
            <b/>
            <sz val="9"/>
            <color indexed="81"/>
            <rFont val="Tahoma"/>
            <charset val="1"/>
          </rPr>
          <t>Свободный "Сумма весов"
Итоги подводятся только по видимым элементам (сумма).
Включена типовая формула:
=SUM(1:6)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0,918</t>
        </r>
      </text>
    </comment>
    <comment ref="J1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0,918</t>
        </r>
      </text>
    </comment>
    <comment ref="K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</t>
        </r>
      </text>
    </comment>
    <comment ref="P1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</t>
        </r>
      </text>
    </comment>
    <comment ref="Q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0,15</t>
        </r>
      </text>
    </comment>
    <comment ref="V1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0,15</t>
        </r>
      </text>
    </comment>
    <comment ref="W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1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</t>
        </r>
      </text>
    </comment>
    <comment ref="AH1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</t>
        </r>
      </text>
    </comment>
    <comment ref="AI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1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0,8551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0,8551</t>
        </r>
      </text>
    </comment>
    <comment ref="K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P1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Q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V1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W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0,6667</t>
        </r>
      </text>
    </comment>
    <comment ref="AB1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0,6667</t>
        </r>
      </text>
    </comment>
    <comment ref="AC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1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1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0,9093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0,9093</t>
        </r>
      </text>
    </comment>
    <comment ref="K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0,8125</t>
        </r>
      </text>
    </comment>
    <comment ref="P2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0,8125</t>
        </r>
      </text>
    </comment>
    <comment ref="Q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V2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W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2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2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2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0,8471</t>
        </r>
      </text>
    </comment>
    <comment ref="J2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0,8471</t>
        </r>
      </text>
    </comment>
    <comment ref="K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0,6875</t>
        </r>
      </text>
    </comment>
    <comment ref="P2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0,6875</t>
        </r>
      </text>
    </comment>
    <comment ref="Q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2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</t>
        </r>
      </text>
    </comment>
    <comment ref="AB2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</t>
        </r>
      </text>
    </comment>
    <comment ref="AC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2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2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0,725</t>
        </r>
      </text>
    </comment>
    <comment ref="J2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0,725</t>
        </r>
      </text>
    </comment>
    <comment ref="K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P2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Q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2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0,1</t>
        </r>
      </text>
    </comment>
    <comment ref="AB2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0,1</t>
        </r>
      </text>
    </comment>
    <comment ref="AC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2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2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0,6163</t>
        </r>
      </text>
    </comment>
    <comment ref="J2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0,6163</t>
        </r>
      </text>
    </comment>
    <comment ref="K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0,5625</t>
        </r>
      </text>
    </comment>
    <comment ref="P2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0,5625</t>
        </r>
      </text>
    </comment>
    <comment ref="Q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2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</t>
        </r>
      </text>
    </comment>
    <comment ref="AB2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</t>
        </r>
      </text>
    </comment>
    <comment ref="AC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2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2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0,83</t>
        </r>
      </text>
    </comment>
    <comment ref="J2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0,83</t>
        </r>
      </text>
    </comment>
    <comment ref="K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P2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Q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0,15</t>
        </r>
      </text>
    </comment>
    <comment ref="V2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0,15</t>
        </r>
      </text>
    </comment>
    <comment ref="W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0,9</t>
        </r>
      </text>
    </comment>
    <comment ref="AB2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0,9</t>
        </r>
      </text>
    </comment>
    <comment ref="AC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</t>
        </r>
      </text>
    </comment>
    <comment ref="AH2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</t>
        </r>
      </text>
    </comment>
    <comment ref="AI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2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0,7203</t>
        </r>
      </text>
    </comment>
    <comment ref="J2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0,7203</t>
        </r>
      </text>
    </comment>
    <comment ref="K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</t>
        </r>
      </text>
    </comment>
    <comment ref="P2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</t>
        </r>
      </text>
    </comment>
    <comment ref="Q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0,15</t>
        </r>
      </text>
    </comment>
    <comment ref="V2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0,15</t>
        </r>
      </text>
    </comment>
    <comment ref="W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0,9</t>
        </r>
      </text>
    </comment>
    <comment ref="AB2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0,9</t>
        </r>
      </text>
    </comment>
    <comment ref="AC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</t>
        </r>
      </text>
    </comment>
    <comment ref="AH2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</t>
        </r>
      </text>
    </comment>
    <comment ref="AI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2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0,7541</t>
        </r>
      </text>
    </comment>
    <comment ref="J2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0,7541</t>
        </r>
      </text>
    </comment>
    <comment ref="K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0,85</t>
        </r>
      </text>
    </comment>
    <comment ref="P2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0,85</t>
        </r>
      </text>
    </comment>
    <comment ref="Q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0,15</t>
        </r>
      </text>
    </comment>
    <comment ref="V2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0,15</t>
        </r>
      </text>
    </comment>
    <comment ref="W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2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</t>
        </r>
      </text>
    </comment>
    <comment ref="AH2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</t>
        </r>
      </text>
    </comment>
    <comment ref="AI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0,5</t>
        </r>
      </text>
    </comment>
    <comment ref="AN2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0,5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0,8795</t>
        </r>
      </text>
    </comment>
    <comment ref="J2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0,8795</t>
        </r>
      </text>
    </comment>
    <comment ref="K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0,875</t>
        </r>
      </text>
    </comment>
    <comment ref="P2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0,875</t>
        </r>
      </text>
    </comment>
    <comment ref="Q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0,15</t>
        </r>
      </text>
    </comment>
    <comment ref="V2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0,15</t>
        </r>
      </text>
    </comment>
    <comment ref="W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0,9625</t>
        </r>
      </text>
    </comment>
    <comment ref="AB2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0,9625</t>
        </r>
      </text>
    </comment>
    <comment ref="AC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</t>
        </r>
      </text>
    </comment>
    <comment ref="AH2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</t>
        </r>
      </text>
    </comment>
    <comment ref="AI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2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0,7498</t>
        </r>
      </text>
    </comment>
    <comment ref="J2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0,7498</t>
        </r>
      </text>
    </comment>
    <comment ref="K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0,85</t>
        </r>
      </text>
    </comment>
    <comment ref="P2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0,85</t>
        </r>
      </text>
    </comment>
    <comment ref="Q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0,15</t>
        </r>
      </text>
    </comment>
    <comment ref="V2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0,15</t>
        </r>
      </text>
    </comment>
    <comment ref="W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2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</t>
        </r>
      </text>
    </comment>
    <comment ref="AH2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</t>
        </r>
      </text>
    </comment>
    <comment ref="AI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28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0,809</t>
        </r>
      </text>
    </comment>
    <comment ref="J2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0,809</t>
        </r>
      </text>
    </comment>
    <comment ref="K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0,5625</t>
        </r>
      </text>
    </comment>
    <comment ref="P2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0,5625</t>
        </r>
      </text>
    </comment>
    <comment ref="Q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0,15</t>
        </r>
      </text>
    </comment>
    <comment ref="V2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0,15</t>
        </r>
      </text>
    </comment>
    <comment ref="W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2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2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2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29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0,8515</t>
        </r>
      </text>
    </comment>
    <comment ref="J3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0,8515</t>
        </r>
      </text>
    </comment>
    <comment ref="K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0,8125</t>
        </r>
      </text>
    </comment>
    <comment ref="P3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0,8125</t>
        </r>
      </text>
    </comment>
    <comment ref="Q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3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3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3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3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30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0,8447</t>
        </r>
      </text>
    </comment>
    <comment ref="J3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0,8447</t>
        </r>
      </text>
    </comment>
    <comment ref="K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0,5625</t>
        </r>
      </text>
    </comment>
    <comment ref="P3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0,5625</t>
        </r>
      </text>
    </comment>
    <comment ref="Q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3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3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3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3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31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0,8793</t>
        </r>
      </text>
    </comment>
    <comment ref="J3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0,8793</t>
        </r>
      </text>
    </comment>
    <comment ref="K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0,6875</t>
        </r>
      </text>
    </comment>
    <comment ref="P3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0,6875</t>
        </r>
      </text>
    </comment>
    <comment ref="Q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3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3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3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3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0,5</t>
        </r>
      </text>
    </comment>
    <comment ref="AN32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0,5</t>
        </r>
      </text>
    </comment>
    <comment ref="E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0,7136</t>
        </r>
      </text>
    </comment>
    <comment ref="J3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0,7136</t>
        </r>
      </text>
    </comment>
    <comment ref="K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P3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Q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V3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W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3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3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3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33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0,9182</t>
        </r>
      </text>
    </comment>
    <comment ref="J3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0,9182</t>
        </r>
      </text>
    </comment>
    <comment ref="K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P3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Q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3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0,525</t>
        </r>
      </text>
    </comment>
    <comment ref="AB3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0,525</t>
        </r>
      </text>
    </comment>
    <comment ref="AC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3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3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34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0,8581</t>
        </r>
      </text>
    </comment>
    <comment ref="J3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0,8581</t>
        </r>
      </text>
    </comment>
    <comment ref="K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0,75</t>
        </r>
      </text>
    </comment>
    <comment ref="P3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0,75</t>
        </r>
      </text>
    </comment>
    <comment ref="Q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3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0,7</t>
        </r>
      </text>
    </comment>
    <comment ref="AB3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0,7</t>
        </r>
      </text>
    </comment>
    <comment ref="AC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3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3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35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0,8489</t>
        </r>
      </text>
    </comment>
    <comment ref="J3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0,8489</t>
        </r>
      </text>
    </comment>
    <comment ref="K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0,8</t>
        </r>
      </text>
    </comment>
    <comment ref="P3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0,8</t>
        </r>
      </text>
    </comment>
    <comment ref="Q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3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B3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C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3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3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36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E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F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0,9112</t>
        </r>
      </text>
    </comment>
    <comment ref="J3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0,9112</t>
        </r>
      </text>
    </comment>
    <comment ref="K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L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P3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Q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R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0,65</t>
        </r>
      </text>
    </comment>
    <comment ref="V3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0,65</t>
        </r>
      </text>
    </comment>
    <comment ref="W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X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0,6667</t>
        </r>
      </text>
    </comment>
    <comment ref="AB3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0,6667</t>
        </r>
      </text>
    </comment>
    <comment ref="AC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D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H3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  <comment ref="AI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J3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1</t>
        </r>
      </text>
    </comment>
    <comment ref="AN37" authorId="0" shapeId="0">
      <text>
        <r>
          <rPr>
            <b/>
            <sz val="9"/>
            <color indexed="81"/>
            <rFont val="Tahoma"/>
            <charset val="1"/>
          </rPr>
          <t>Значение показателя из базы: 1</t>
        </r>
      </text>
    </comment>
  </commentList>
</comments>
</file>

<file path=xl/comments8.xml><?xml version="1.0" encoding="utf-8"?>
<comments xmlns="http://schemas.openxmlformats.org/spreadsheetml/2006/main">
  <authors>
    <author>Скрынникова Ж.А.</author>
  </authors>
  <commentList>
    <comment ref="B7" authorId="0" shapeId="0">
      <text>
        <r>
          <rPr>
            <b/>
            <sz val="9"/>
            <color indexed="81"/>
            <rFont val="Tahoma"/>
            <charset val="1"/>
          </rPr>
          <t>Измерение "Администратор.Сопоставим"
Параметр "Администратор" (от родительской задачи)</t>
        </r>
      </text>
    </comment>
    <comment ref="C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Частный фильтр "Показатели.Оценка качества ФМ_Сопоставимый"
[Все показатели].[Итоговая оценка по главному распорядителю средств местного бюджета]
Частный фильтр "Период.Период"
[Данные всех периодов].[2024]
Параметр "Год" (от родительской задачи)
Значение из базы (по всем элементам): 88,4525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Свободный "Ранг"
Итоги подводятся только по видимым элементам (сумма).
Включена типовая формула:
=ЕСЛИ(Взвешенное значение="";"";RANK(Взвешенное значение;Криста_Мера_17_0))</t>
        </r>
      </text>
    </comment>
    <comment ref="C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78,15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89,422</t>
        </r>
      </text>
    </comment>
    <comment ref="C1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92,6525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79,4175</t>
        </r>
      </text>
    </comment>
    <comment ref="C1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66,75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66,0025</t>
        </r>
      </text>
    </comment>
    <comment ref="C1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71,25</t>
        </r>
      </text>
    </comment>
    <comment ref="C1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67,265</t>
        </r>
      </text>
    </comment>
    <comment ref="C1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68,955</t>
        </r>
      </text>
    </comment>
    <comment ref="C1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77,725</t>
        </r>
      </text>
    </comment>
    <comment ref="C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71,24</t>
        </r>
      </text>
    </comment>
    <comment ref="C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71,1375</t>
        </r>
      </text>
    </comment>
    <comment ref="C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84,5125</t>
        </r>
      </text>
    </comment>
    <comment ref="C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80,4225</t>
        </r>
      </text>
    </comment>
    <comment ref="C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81,5275</t>
        </r>
      </text>
    </comment>
    <comment ref="C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85,68</t>
        </r>
      </text>
    </comment>
    <comment ref="C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85,91</t>
        </r>
      </text>
    </comment>
    <comment ref="C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80,905</t>
        </r>
      </text>
    </comment>
    <comment ref="C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84,195</t>
        </r>
      </text>
    </comment>
    <comment ref="C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86,977</t>
        </r>
      </text>
    </comment>
  </commentList>
</comments>
</file>

<file path=xl/comments9.xml><?xml version="1.0" encoding="utf-8"?>
<comments xmlns="http://schemas.openxmlformats.org/spreadsheetml/2006/main">
  <authors>
    <author>Скрынникова Ж.А.</author>
  </authors>
  <commentList>
    <comment ref="B7" authorId="0" shapeId="0">
      <text>
        <r>
          <rPr>
            <b/>
            <sz val="9"/>
            <color indexed="81"/>
            <rFont val="Tahoma"/>
            <charset val="1"/>
          </rPr>
          <t>Измерение "Администратор.Сопоставим"
Параметр "Администратор" (от родительской задачи)</t>
        </r>
      </text>
    </comment>
    <comment ref="C7" authorId="0" shapeId="0">
      <text>
        <r>
          <rPr>
            <b/>
            <sz val="9"/>
            <color indexed="81"/>
            <rFont val="Tahoma"/>
            <charset val="1"/>
          </rPr>
          <t>Куб "ФО_Оценка качества ФМ_Показатели"; Мера "Взвешенное значение"
Итоги подводятся только по видимым элементам (сумма).
Частный фильтр "Показатели.Оценка качества ФМ_Сопоставимый"
[Все показатели].[Итоговая оценка по главному распорядителю средств местного бюджета]
Частный фильтр "Период.Период"
[Данные всех периодов].[2024]
Параметр "Год" (от родительской задачи)
Значение из базы (по всем элементам): 88,4525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Свободный "Уровень качества"
Итоги подводятся только по видимым элементам (не вычислять).
Включена типовая формула:
=ЕСЛИ(Взвешенное значение="";"";ЕСЛИ(Взвешенное значение=100;"Максимальный";ЕСЛИ(И(70&lt;Взвешенное значение;Взвешенное значение&lt;=99.9);"Высокий";ЕСЛИ(И(55&lt;Взвешенное значение;Взвешенное значение&lt;=70);"Хороший";ЕСЛИ(И(45&lt;Взвешенное значение;Взвешенное значение&lt;=55);"Удовлетворительный";ЕСЛИ(И(35&lt;Взвешенное значение;Взвешенное значение&lt;=45);"Низкий";""))))))</t>
        </r>
      </text>
    </comment>
    <comment ref="C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78,15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89,422</t>
        </r>
      </text>
    </comment>
    <comment ref="C1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92,6525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79,4175</t>
        </r>
      </text>
    </comment>
    <comment ref="C1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66,75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66,0025</t>
        </r>
      </text>
    </comment>
    <comment ref="C1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71,25</t>
        </r>
      </text>
    </comment>
    <comment ref="C1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67,265</t>
        </r>
      </text>
    </comment>
    <comment ref="C1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68,955</t>
        </r>
      </text>
    </comment>
    <comment ref="C1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77,725</t>
        </r>
      </text>
    </comment>
    <comment ref="C18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71,24</t>
        </r>
      </text>
    </comment>
    <comment ref="C19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71,1375</t>
        </r>
      </text>
    </comment>
    <comment ref="C20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84,5125</t>
        </r>
      </text>
    </comment>
    <comment ref="C21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80,4225</t>
        </r>
      </text>
    </comment>
    <comment ref="C22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81,5275</t>
        </r>
      </text>
    </comment>
    <comment ref="C23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85,68</t>
        </r>
      </text>
    </comment>
    <comment ref="C24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85,91</t>
        </r>
      </text>
    </comment>
    <comment ref="C25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80,905</t>
        </r>
      </text>
    </comment>
    <comment ref="C26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84,195</t>
        </r>
      </text>
    </comment>
    <comment ref="C27" authorId="0" shapeId="0">
      <text>
        <r>
          <rPr>
            <b/>
            <sz val="9"/>
            <color indexed="81"/>
            <rFont val="Tahoma"/>
            <charset val="1"/>
          </rPr>
          <t>Значение из базы (по всем элементам): 86,977</t>
        </r>
      </text>
    </comment>
  </commentList>
</comments>
</file>

<file path=xl/sharedStrings.xml><?xml version="1.0" encoding="utf-8"?>
<sst xmlns="http://schemas.openxmlformats.org/spreadsheetml/2006/main" count="797" uniqueCount="122">
  <si>
    <t>Итоговая оценка качества финансового менеджмента</t>
  </si>
  <si>
    <t>2. По необходимости откорректировать значение показателя "Применим ли в оценке" и веса показателей по НПА.</t>
  </si>
  <si>
    <t>Вес показателя, согласно НПА:</t>
  </si>
  <si>
    <t>применимость направления 1</t>
  </si>
  <si>
    <t>Применим ли к оценке</t>
  </si>
  <si>
    <t>Вспомогательные столбцы для расчета веса</t>
  </si>
  <si>
    <t>Сумма балов</t>
  </si>
  <si>
    <t>3. Проверить данные. Если всё корректно, то записать данные в систему (нажать на кнопку "Записать данные" на панели инструментов).</t>
  </si>
  <si>
    <t>Наименование ГРБС</t>
  </si>
  <si>
    <t>Код</t>
  </si>
  <si>
    <t>Вес направления оценки, согласно НПА:</t>
  </si>
  <si>
    <t>2. По необходимости откорректировать значение оценки направления "Применим ли в оценке" и веса направлений оценки по НПА.</t>
  </si>
  <si>
    <t>Итого баллов</t>
  </si>
  <si>
    <t>Сумма баллов</t>
  </si>
  <si>
    <t>Инструкция:</t>
  </si>
  <si>
    <t>1. Необходимо обновить лист (нажать на кнопку "Обновить" на панелиинструментов).</t>
  </si>
  <si>
    <t>Значение показателя (в %)</t>
  </si>
  <si>
    <t>Оценка показателя       (в баллах)</t>
  </si>
  <si>
    <t>Вес направления</t>
  </si>
  <si>
    <t>Итоговая оценка</t>
  </si>
  <si>
    <t>Городская Дума Краснодара</t>
  </si>
  <si>
    <t>Департамент финансов администрации муниципального образования город Краснодар</t>
  </si>
  <si>
    <t>Контрольно-счётная палата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</si>
  <si>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</si>
  <si>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Департамент строительства администрации муниципального образования город Краснодар</t>
  </si>
  <si>
    <t>Управление гражданской защиты администрации муниципального образования город Краснодар</t>
  </si>
  <si>
    <t>Департамент муниципальной собственности и городских земель администрации муниципального образования город Краснодар</t>
  </si>
  <si>
    <t>Департамент образования администрации муниципального образования город Краснодар</t>
  </si>
  <si>
    <t>Управление культуры администрации муниципального образования город Краснодар</t>
  </si>
  <si>
    <t>Администрация Западного внутригородского округа города Краснодара</t>
  </si>
  <si>
    <t>Администрация Центрального внутригородского округа города Краснодара</t>
  </si>
  <si>
    <t>Администрация Прикубанского внутригородского округа города Краснодара</t>
  </si>
  <si>
    <t>Администрация Карасунского внутригородского округа города Краснодара</t>
  </si>
  <si>
    <t>Управление по социальным вопросам администрации муниципального образования город Краснодар</t>
  </si>
  <si>
    <t>Управление по делам молодёжи администрации муниципального образования город Краснодар</t>
  </si>
  <si>
    <t>Управление по вопросам семьи и детства администрации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</si>
  <si>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</si>
  <si>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Вес показателя (расчетный)</t>
  </si>
  <si>
    <t>Применимость показателя</t>
  </si>
  <si>
    <t>Оценка с учетом веса         (в баллах)</t>
  </si>
  <si>
    <t>применимость направления</t>
  </si>
  <si>
    <t>Рейтинг</t>
  </si>
  <si>
    <t>1. Необходимо обновить лист (нажать на кнопку "Обновить" на панели инструментов).</t>
  </si>
  <si>
    <t>Ранг</t>
  </si>
  <si>
    <t>3.5 Наличие просроченной кредиторской задолженности ГРБС и подведомственных ПБС на конец отчётного периода</t>
  </si>
  <si>
    <t>Оценка направления</t>
  </si>
  <si>
    <t xml:space="preserve">Значение показателя </t>
  </si>
  <si>
    <t>Значение показателя )</t>
  </si>
  <si>
    <t>Оценка (с учетом веса)</t>
  </si>
  <si>
    <t>Оценка с учетом 
веса (в баллах)</t>
  </si>
  <si>
    <t>Оценка 
направления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</si>
  <si>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</si>
  <si>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Администрация муниципального образования город Краснодар</t>
  </si>
  <si>
    <t>1. Управление расходами местного бюджета</t>
  </si>
  <si>
    <t>1.8 "Качество составления прогнозных показателей исполнения бюджетных обязательств"</t>
  </si>
  <si>
    <t>1.3 "Своевременность представления уточнённого реестра расходных обязательств"</t>
  </si>
  <si>
    <t>1.5 "Своевременность принятия бюджетных обязательств"</t>
  </si>
  <si>
    <t>1.6 "Соблюдение требований о непревышении бюджетных обязательств ГРБС над лимитами бюджетных обязательств"</t>
  </si>
  <si>
    <t>1.7 "Качество планирования расходов"</t>
  </si>
  <si>
    <t>1.9 "Качество осуществления равномерности расходов"</t>
  </si>
  <si>
    <t>1.12 "Доля не использованных на конец года бюджетных ассигнований"</t>
  </si>
  <si>
    <t>1.14 "Доля не использованных на конец года бюджетных ассигнований"</t>
  </si>
  <si>
    <t>1. Необходимо обновить лист (нажать кнопку "Обновить" на панели инструментов).</t>
  </si>
  <si>
    <t>3. Проверить данные. Если всё корректно, то записать данные в систему (нажать кнопку "Записать данные" на панели инструментов).</t>
  </si>
  <si>
    <t>1.13 "Эффективность использования межбюджетных трансфертов, имеющих целевое назначение, источником финансового обеспечения которых являются средства федерального бюджета, краевого бюджета"</t>
  </si>
  <si>
    <t>1.15 "Эффективность управления кредиторской задолженностью по расчётам с поставщиками и подрядчиками"</t>
  </si>
  <si>
    <t>1.16 "Наличие просроченной кредиторской задолженности по расходам"</t>
  </si>
  <si>
    <t>1.18 "Динамика количества поступивших в департамент финансов исполнительных документов, подлежащих взысканию (в количественном выражении)"</t>
  </si>
  <si>
    <t>1.1 "Доля отклоненных планов-графиков (изменений в планы-графики) закупок, представленных в департамент финансов администрации муниципального образования город Краснодар в рамках возложенных функций по осуществлению контроля в сфере закупок"</t>
  </si>
  <si>
    <t>2.1 Качество планирования поступления налоговых и неналоговых доходов местного бюджета</t>
  </si>
  <si>
    <t>2. Управление доходами местного бюджета</t>
  </si>
  <si>
    <t>2.3 Наличие утверждённой методики прогнозирования поступлений доходов в местный бюджет</t>
  </si>
  <si>
    <t>2.4 Наличие просроченной дебиторской задолженности по доходам</t>
  </si>
  <si>
    <t>2.5 Качество управления просроченной дебиторской задолженностью по неналоговым платежам в бюджет</t>
  </si>
  <si>
    <t>3. Ведение учета и составление бюджетной отчётности</t>
  </si>
  <si>
    <t xml:space="preserve">3.2 Нарушение требований к бюджетному учёту, в том числе к составлению, представлению бюджетной отчётности </t>
  </si>
  <si>
    <t>3.3 Соблюдение сроков представления ГРБС годовой бюджетной (бухгалтерской) отчётности, устанавливаемых ежегодно приказом департамента финансов</t>
  </si>
  <si>
    <t>4.Организация и осуществление внутреннего финансового аудита</t>
  </si>
  <si>
    <t xml:space="preserve">4.1 Качество правого акта об организации внутреннего финансового аудита </t>
  </si>
  <si>
    <t>4.2 Качество планирования внутреннего финансового аудита</t>
  </si>
  <si>
    <t>4.3 Качество проведения внутреннего финансового аудита и составления отчётности о результатах внутреннего финансового аудита</t>
  </si>
  <si>
    <t>4.4 Наличие на официальном сайте в сети Интернет по размещению информации о государственных и муниципальных учреждениях (www.bus.gov.ru) сведений о муниципальных учреждениях</t>
  </si>
  <si>
    <t>5. Исполнение бюджетных процедур во взаимосвязи с выявленными бюджетными нарушениями</t>
  </si>
  <si>
    <t>5.1 Качество исполнения представлений (предписаний) органов внешнего государственного (муниципального) финансового контроля</t>
  </si>
  <si>
    <t>5.2 Качество исполнения представлений (предписаний) органов внутреннего государственного (муниципального) финансового контроля</t>
  </si>
  <si>
    <t>6. Управление активами (имуществом)</t>
  </si>
  <si>
    <t>6.1 Недостачи и хищения нефинансовых активов</t>
  </si>
  <si>
    <t>6.2 Проведение инвентаризации активов и обязательств перед составлением годовой бюджетной отчётности</t>
  </si>
  <si>
    <t>4. Организация и осуществление внутреннего финансового аудита</t>
  </si>
  <si>
    <t>Департамент транспорта и дорожного хозяйства администрации муниципального образования город Краснодар</t>
  </si>
  <si>
    <t xml:space="preserve">Применимость направления </t>
  </si>
  <si>
    <t>Применимость направления</t>
  </si>
  <si>
    <t>1.17 "Приостановление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актов, предусматривающих обращение взыскания на средства местного бюджета по обязательствам муниципальных казенных учреждений"</t>
  </si>
  <si>
    <t>3.1 Степень достоверности бюджетной отчётности (ст.264.4 БК РФ)</t>
  </si>
  <si>
    <t>1.4 "Качество правового акта главного распорядителя средств местного бюджета, регулирующего порядок составления, утверждения и ведения бюджетных смет"</t>
  </si>
  <si>
    <t>2.2 Качество администрирования доходов по возврату из местного бюджета неиспользованных остатков межбюджетных трансфертов, имеющих целевое назначение, в краевой бюджет</t>
  </si>
  <si>
    <t>Уровень качества</t>
  </si>
  <si>
    <t>1.14 "Доля не использованных на конец года бюджетных ассигнований по межбюджетным трансфертам"</t>
  </si>
  <si>
    <t>1.11 "Качество помесячного исполнения кассового плана ГАБС в части кассовых выплат по расходам местного бюджета с учётом прогнозных значений* (показатель применим с 2021 года)"</t>
  </si>
  <si>
    <t>1.11 "Качество помесячного исполнения кассового плана ГАБС в части кассовых выплат по расходам местного бюджета с учётом прогнозных значений*</t>
  </si>
  <si>
    <t>901</t>
  </si>
  <si>
    <t>902</t>
  </si>
  <si>
    <t>905</t>
  </si>
  <si>
    <t>910</t>
  </si>
  <si>
    <t>917</t>
  </si>
  <si>
    <t>918</t>
  </si>
  <si>
    <t>920</t>
  </si>
  <si>
    <t>921</t>
  </si>
  <si>
    <t>923</t>
  </si>
  <si>
    <t>925</t>
  </si>
  <si>
    <t>926</t>
  </si>
  <si>
    <t>932</t>
  </si>
  <si>
    <t>933</t>
  </si>
  <si>
    <t>934</t>
  </si>
  <si>
    <t>935</t>
  </si>
  <si>
    <t>936</t>
  </si>
  <si>
    <t>938</t>
  </si>
  <si>
    <t>942</t>
  </si>
  <si>
    <t>953</t>
  </si>
  <si>
    <t>956</t>
  </si>
  <si>
    <t>Департамент по физической культуре и спорту администрации муниципального образования город Краснодар</t>
  </si>
  <si>
    <t>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</si>
</sst>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;[Red]\-#,##0.000"/>
    <numFmt numFmtId="165" formatCode="#,##0.0;[Red]\-#,##0.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8"/>
      <color indexed="23"/>
      <name val="Calibri"/>
      <family val="2"/>
      <charset val="204"/>
    </font>
    <font>
      <sz val="11"/>
      <name val="Calibri"/>
      <family val="2"/>
      <charset val="204"/>
    </font>
    <font>
      <b/>
      <sz val="9"/>
      <color indexed="81"/>
      <name val="Tahoma"/>
      <charset val="1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06">
    <xf numFmtId="0" fontId="0" fillId="0" borderId="0" applyBorder="0">
      <protection locked="0"/>
    </xf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5" fillId="5" borderId="1" applyNumberFormat="0" applyAlignment="0" applyProtection="0"/>
    <xf numFmtId="0" fontId="6" fillId="13" borderId="2" applyNumberFormat="0" applyAlignment="0" applyProtection="0"/>
    <xf numFmtId="0" fontId="7" fillId="13" borderId="1" applyNumberFormat="0" applyAlignment="0" applyProtection="0"/>
    <xf numFmtId="0" fontId="2" fillId="14" borderId="3" applyNumberFormat="0">
      <alignment horizontal="right" vertical="top" wrapText="1"/>
    </xf>
    <xf numFmtId="0" fontId="25" fillId="14" borderId="3" applyNumberFormat="0">
      <alignment horizontal="right" vertical="top" wrapText="1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2" fillId="0" borderId="3" applyNumberFormat="0">
      <alignment horizontal="right" vertical="top"/>
    </xf>
    <xf numFmtId="0" fontId="25" fillId="0" borderId="3" applyNumberFormat="0">
      <alignment horizontal="right" vertical="top"/>
    </xf>
    <xf numFmtId="0" fontId="3" fillId="0" borderId="4" applyNumberFormat="0">
      <alignment horizontal="right" vertical="top"/>
    </xf>
    <xf numFmtId="0" fontId="2" fillId="15" borderId="3" applyNumberFormat="0">
      <alignment horizontal="right" vertical="top"/>
    </xf>
    <xf numFmtId="0" fontId="2" fillId="15" borderId="3" applyNumberFormat="0">
      <alignment horizontal="right" vertical="top"/>
    </xf>
    <xf numFmtId="0" fontId="3" fillId="15" borderId="4" applyNumberFormat="0">
      <alignment horizontal="right" vertical="top"/>
    </xf>
    <xf numFmtId="49" fontId="2" fillId="13" borderId="3">
      <alignment horizontal="left" vertical="top"/>
    </xf>
    <xf numFmtId="49" fontId="8" fillId="0" borderId="3">
      <alignment horizontal="left" vertical="top"/>
    </xf>
    <xf numFmtId="49" fontId="8" fillId="0" borderId="3">
      <alignment horizontal="left" vertical="top"/>
    </xf>
    <xf numFmtId="49" fontId="13" fillId="0" borderId="4">
      <alignment horizontal="left" vertical="top"/>
    </xf>
    <xf numFmtId="49" fontId="2" fillId="13" borderId="3">
      <alignment horizontal="left" vertical="top"/>
    </xf>
    <xf numFmtId="49" fontId="3" fillId="16" borderId="4">
      <alignment horizontal="center" vertical="center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2" fillId="6" borderId="3">
      <alignment horizontal="left" vertical="top" wrapText="1"/>
    </xf>
    <xf numFmtId="0" fontId="2" fillId="6" borderId="3">
      <alignment horizontal="left" vertical="top" wrapText="1"/>
    </xf>
    <xf numFmtId="0" fontId="3" fillId="17" borderId="4">
      <alignment horizontal="center" vertical="center" wrapText="1"/>
    </xf>
    <xf numFmtId="0" fontId="8" fillId="0" borderId="3">
      <alignment horizontal="left" vertical="top" wrapText="1"/>
    </xf>
    <xf numFmtId="0" fontId="8" fillId="0" borderId="3">
      <alignment horizontal="left" vertical="top" wrapText="1"/>
    </xf>
    <xf numFmtId="0" fontId="13" fillId="0" borderId="4">
      <alignment horizontal="left" vertical="top" wrapText="1"/>
    </xf>
    <xf numFmtId="0" fontId="2" fillId="2" borderId="3">
      <alignment horizontal="left" vertical="top" wrapText="1"/>
    </xf>
    <xf numFmtId="0" fontId="2" fillId="2" borderId="3">
      <alignment horizontal="left" vertical="top" wrapText="1"/>
    </xf>
    <xf numFmtId="0" fontId="3" fillId="18" borderId="4">
      <alignment horizontal="left" vertical="top" wrapText="1"/>
    </xf>
    <xf numFmtId="0" fontId="2" fillId="19" borderId="3">
      <alignment horizontal="left" vertical="top" wrapText="1"/>
    </xf>
    <xf numFmtId="0" fontId="2" fillId="19" borderId="3">
      <alignment horizontal="left" vertical="top" wrapText="1"/>
    </xf>
    <xf numFmtId="0" fontId="3" fillId="20" borderId="4">
      <alignment horizontal="center" vertical="center" wrapText="1"/>
    </xf>
    <xf numFmtId="0" fontId="2" fillId="21" borderId="3">
      <alignment horizontal="left" vertical="top" wrapText="1"/>
    </xf>
    <xf numFmtId="0" fontId="2" fillId="21" borderId="3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center" vertical="center" wrapText="1"/>
    </xf>
    <xf numFmtId="0" fontId="2" fillId="23" borderId="3">
      <alignment horizontal="left"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4">
      <alignment horizontal="left" vertical="top" wrapText="1"/>
    </xf>
    <xf numFmtId="0" fontId="2" fillId="23" borderId="3">
      <alignment horizontal="left" vertical="top" wrapText="1"/>
    </xf>
    <xf numFmtId="0" fontId="3" fillId="24" borderId="4">
      <alignment horizontal="left" vertical="top" wrapText="1"/>
    </xf>
    <xf numFmtId="0" fontId="12" fillId="0" borderId="0">
      <alignment horizontal="left" vertical="top"/>
    </xf>
    <xf numFmtId="0" fontId="12" fillId="0" borderId="0">
      <alignment horizontal="left" vertical="top"/>
    </xf>
    <xf numFmtId="0" fontId="26" fillId="0" borderId="0">
      <alignment horizontal="left" vertical="top"/>
    </xf>
    <xf numFmtId="0" fontId="13" fillId="0" borderId="8" applyNumberFormat="0" applyFill="0" applyAlignment="0" applyProtection="0"/>
    <xf numFmtId="0" fontId="14" fillId="25" borderId="9" applyNumberFormat="0" applyAlignment="0" applyProtection="0"/>
    <xf numFmtId="0" fontId="15" fillId="0" borderId="0" applyNumberFormat="0" applyFill="0" applyBorder="0" applyAlignment="0" applyProtection="0"/>
    <xf numFmtId="0" fontId="16" fillId="26" borderId="0" applyNumberFormat="0" applyBorder="0" applyAlignment="0" applyProtection="0"/>
    <xf numFmtId="0" fontId="2" fillId="0" borderId="0"/>
    <xf numFmtId="0" fontId="24" fillId="0" borderId="0"/>
    <xf numFmtId="0" fontId="25" fillId="0" borderId="0"/>
    <xf numFmtId="0" fontId="3" fillId="0" borderId="0">
      <protection locked="0"/>
    </xf>
    <xf numFmtId="0" fontId="2" fillId="6" borderId="10" applyNumberFormat="0">
      <alignment horizontal="right" vertical="top"/>
    </xf>
    <xf numFmtId="0" fontId="2" fillId="2" borderId="10" applyNumberFormat="0">
      <alignment horizontal="right" vertical="top"/>
    </xf>
    <xf numFmtId="0" fontId="2" fillId="0" borderId="3" applyNumberFormat="0">
      <alignment horizontal="right" vertical="top"/>
    </xf>
    <xf numFmtId="0" fontId="2" fillId="0" borderId="3" applyNumberFormat="0">
      <alignment horizontal="right" vertical="top"/>
    </xf>
    <xf numFmtId="0" fontId="3" fillId="0" borderId="4" applyNumberFormat="0">
      <alignment horizontal="right" vertical="top"/>
    </xf>
    <xf numFmtId="0" fontId="2" fillId="2" borderId="10" applyNumberFormat="0">
      <alignment horizontal="right" vertical="top"/>
    </xf>
    <xf numFmtId="0" fontId="3" fillId="18" borderId="10" applyNumberFormat="0">
      <alignment horizontal="right" vertical="top"/>
    </xf>
    <xf numFmtId="0" fontId="2" fillId="0" borderId="3" applyNumberFormat="0">
      <alignment horizontal="right" vertical="top"/>
    </xf>
    <xf numFmtId="0" fontId="2" fillId="0" borderId="3" applyNumberFormat="0">
      <alignment horizontal="right" vertical="top"/>
    </xf>
    <xf numFmtId="0" fontId="3" fillId="0" borderId="4" applyNumberFormat="0">
      <alignment horizontal="right" vertical="top"/>
    </xf>
    <xf numFmtId="0" fontId="2" fillId="6" borderId="10" applyNumberFormat="0">
      <alignment horizontal="right" vertical="top"/>
    </xf>
    <xf numFmtId="0" fontId="3" fillId="17" borderId="10" applyNumberFormat="0">
      <alignment horizontal="right" vertical="top"/>
    </xf>
    <xf numFmtId="0" fontId="2" fillId="19" borderId="10" applyNumberFormat="0">
      <alignment horizontal="right" vertical="top"/>
    </xf>
    <xf numFmtId="0" fontId="2" fillId="0" borderId="3" applyNumberFormat="0">
      <alignment horizontal="right" vertical="top"/>
    </xf>
    <xf numFmtId="0" fontId="2" fillId="0" borderId="3" applyNumberFormat="0">
      <alignment horizontal="right" vertical="top"/>
    </xf>
    <xf numFmtId="0" fontId="3" fillId="0" borderId="4" applyNumberFormat="0">
      <alignment horizontal="right" vertical="top"/>
    </xf>
    <xf numFmtId="0" fontId="2" fillId="19" borderId="10" applyNumberFormat="0">
      <alignment horizontal="right" vertical="top"/>
    </xf>
    <xf numFmtId="0" fontId="3" fillId="20" borderId="10" applyNumberFormat="0">
      <alignment horizontal="right" vertical="top"/>
    </xf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27" borderId="11" applyNumberFormat="0" applyFont="0" applyAlignment="0" applyProtection="0"/>
    <xf numFmtId="49" fontId="19" fillId="14" borderId="3">
      <alignment horizontal="center" vertical="top" wrapText="1"/>
    </xf>
    <xf numFmtId="49" fontId="2" fillId="0" borderId="3">
      <alignment horizontal="left" vertical="top" wrapText="1"/>
    </xf>
    <xf numFmtId="49" fontId="2" fillId="0" borderId="3">
      <alignment horizontal="left" vertical="top" wrapText="1"/>
    </xf>
    <xf numFmtId="49" fontId="27" fillId="0" borderId="4">
      <alignment horizontal="left" vertical="top" wrapText="1"/>
    </xf>
    <xf numFmtId="49" fontId="19" fillId="26" borderId="3">
      <alignment horizontal="left" vertical="top" wrapText="1"/>
    </xf>
    <xf numFmtId="49" fontId="5" fillId="28" borderId="4">
      <alignment horizontal="left" vertical="top" wrapText="1"/>
    </xf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" fillId="14" borderId="3">
      <alignment horizontal="left"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4">
      <alignment horizontal="left" vertical="top" wrapText="1"/>
    </xf>
    <xf numFmtId="0" fontId="25" fillId="14" borderId="3">
      <alignment horizontal="left" vertical="top" wrapText="1"/>
    </xf>
    <xf numFmtId="0" fontId="3" fillId="24" borderId="4">
      <alignment horizontal="left" vertical="top" wrapText="1"/>
    </xf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5" borderId="1" applyNumberFormat="0" applyAlignment="0" applyProtection="0"/>
    <xf numFmtId="0" fontId="5" fillId="5" borderId="1" applyNumberFormat="0" applyAlignment="0" applyProtection="0"/>
    <xf numFmtId="0" fontId="5" fillId="5" borderId="1" applyNumberFormat="0" applyAlignment="0" applyProtection="0"/>
    <xf numFmtId="0" fontId="6" fillId="13" borderId="2" applyNumberFormat="0" applyAlignment="0" applyProtection="0"/>
    <xf numFmtId="0" fontId="6" fillId="13" borderId="2" applyNumberFormat="0" applyAlignment="0" applyProtection="0"/>
    <xf numFmtId="0" fontId="6" fillId="13" borderId="2" applyNumberFormat="0" applyAlignment="0" applyProtection="0"/>
    <xf numFmtId="0" fontId="7" fillId="13" borderId="1" applyNumberFormat="0" applyAlignment="0" applyProtection="0"/>
    <xf numFmtId="0" fontId="7" fillId="13" borderId="1" applyNumberFormat="0" applyAlignment="0" applyProtection="0"/>
    <xf numFmtId="0" fontId="7" fillId="13" borderId="1" applyNumberFormat="0" applyAlignment="0" applyProtection="0"/>
    <xf numFmtId="0" fontId="2" fillId="14" borderId="3" applyNumberFormat="0">
      <alignment horizontal="right" vertical="top" wrapText="1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2" fillId="0" borderId="3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15" borderId="4" applyNumberFormat="0">
      <alignment horizontal="right" vertical="top"/>
    </xf>
    <xf numFmtId="0" fontId="3" fillId="15" borderId="4" applyNumberFormat="0">
      <alignment horizontal="right" vertical="top"/>
    </xf>
    <xf numFmtId="0" fontId="3" fillId="15" borderId="4" applyNumberFormat="0">
      <alignment horizontal="right" vertical="top"/>
    </xf>
    <xf numFmtId="0" fontId="3" fillId="15" borderId="4" applyNumberFormat="0">
      <alignment horizontal="right" vertical="top"/>
    </xf>
    <xf numFmtId="0" fontId="3" fillId="15" borderId="4" applyNumberFormat="0">
      <alignment horizontal="right" vertical="top"/>
    </xf>
    <xf numFmtId="0" fontId="3" fillId="15" borderId="4" applyNumberFormat="0">
      <alignment horizontal="right" vertical="top"/>
    </xf>
    <xf numFmtId="49" fontId="13" fillId="0" borderId="4">
      <alignment horizontal="left" vertical="top"/>
    </xf>
    <xf numFmtId="49" fontId="13" fillId="0" borderId="4">
      <alignment horizontal="left" vertical="top"/>
    </xf>
    <xf numFmtId="49" fontId="13" fillId="0" borderId="4">
      <alignment horizontal="left" vertical="top"/>
    </xf>
    <xf numFmtId="49" fontId="13" fillId="0" borderId="4">
      <alignment horizontal="left" vertical="top"/>
    </xf>
    <xf numFmtId="49" fontId="13" fillId="0" borderId="4">
      <alignment horizontal="left" vertical="top"/>
    </xf>
    <xf numFmtId="49" fontId="13" fillId="0" borderId="4">
      <alignment horizontal="left" vertical="top"/>
    </xf>
    <xf numFmtId="49" fontId="3" fillId="16" borderId="4">
      <alignment horizontal="left" vertical="top"/>
    </xf>
    <xf numFmtId="49" fontId="3" fillId="16" borderId="4">
      <alignment horizontal="left" vertical="top"/>
    </xf>
    <xf numFmtId="49" fontId="3" fillId="16" borderId="4">
      <alignment horizontal="left" vertical="top"/>
    </xf>
    <xf numFmtId="49" fontId="3" fillId="16" borderId="4">
      <alignment horizontal="left" vertical="top"/>
    </xf>
    <xf numFmtId="49" fontId="3" fillId="16" borderId="4">
      <alignment horizontal="left" vertical="top"/>
    </xf>
    <xf numFmtId="49" fontId="3" fillId="16" borderId="4">
      <alignment horizontal="left" vertical="top"/>
    </xf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17" borderId="4">
      <alignment horizontal="left" vertical="top" wrapText="1"/>
    </xf>
    <xf numFmtId="0" fontId="3" fillId="17" borderId="4">
      <alignment horizontal="left" vertical="top" wrapText="1"/>
    </xf>
    <xf numFmtId="0" fontId="3" fillId="17" borderId="4">
      <alignment horizontal="left" vertical="top" wrapText="1"/>
    </xf>
    <xf numFmtId="0" fontId="3" fillId="17" borderId="4">
      <alignment horizontal="left" vertical="top" wrapText="1"/>
    </xf>
    <xf numFmtId="0" fontId="3" fillId="17" borderId="4">
      <alignment horizontal="left" vertical="top" wrapText="1"/>
    </xf>
    <xf numFmtId="0" fontId="3" fillId="17" borderId="4">
      <alignment horizontal="left" vertical="top" wrapText="1"/>
    </xf>
    <xf numFmtId="0" fontId="13" fillId="0" borderId="4">
      <alignment horizontal="left" vertical="top" wrapText="1"/>
    </xf>
    <xf numFmtId="0" fontId="13" fillId="0" borderId="4">
      <alignment horizontal="left" vertical="top" wrapText="1"/>
    </xf>
    <xf numFmtId="0" fontId="13" fillId="0" borderId="4">
      <alignment horizontal="left" vertical="top" wrapText="1"/>
    </xf>
    <xf numFmtId="0" fontId="13" fillId="0" borderId="4">
      <alignment horizontal="left" vertical="top" wrapText="1"/>
    </xf>
    <xf numFmtId="0" fontId="13" fillId="0" borderId="4">
      <alignment horizontal="left" vertical="top" wrapText="1"/>
    </xf>
    <xf numFmtId="0" fontId="13" fillId="0" borderId="4">
      <alignment horizontal="left" vertical="top" wrapText="1"/>
    </xf>
    <xf numFmtId="0" fontId="3" fillId="18" borderId="4">
      <alignment horizontal="left" vertical="top" wrapText="1"/>
    </xf>
    <xf numFmtId="0" fontId="3" fillId="18" borderId="4">
      <alignment horizontal="left" vertical="top" wrapText="1"/>
    </xf>
    <xf numFmtId="0" fontId="3" fillId="18" borderId="4">
      <alignment horizontal="left" vertical="top" wrapText="1"/>
    </xf>
    <xf numFmtId="0" fontId="3" fillId="18" borderId="4">
      <alignment horizontal="left" vertical="top" wrapText="1"/>
    </xf>
    <xf numFmtId="0" fontId="3" fillId="18" borderId="4">
      <alignment horizontal="left" vertical="top" wrapText="1"/>
    </xf>
    <xf numFmtId="0" fontId="3" fillId="18" borderId="4">
      <alignment horizontal="left" vertical="top" wrapText="1"/>
    </xf>
    <xf numFmtId="0" fontId="3" fillId="20" borderId="4">
      <alignment horizontal="left" vertical="top" wrapText="1"/>
    </xf>
    <xf numFmtId="0" fontId="3" fillId="20" borderId="4">
      <alignment horizontal="left" vertical="top" wrapText="1"/>
    </xf>
    <xf numFmtId="0" fontId="3" fillId="20" borderId="4">
      <alignment horizontal="left" vertical="top" wrapText="1"/>
    </xf>
    <xf numFmtId="0" fontId="3" fillId="20" borderId="4">
      <alignment horizontal="left" vertical="top" wrapText="1"/>
    </xf>
    <xf numFmtId="0" fontId="3" fillId="20" borderId="4">
      <alignment horizontal="left" vertical="top" wrapText="1"/>
    </xf>
    <xf numFmtId="0" fontId="3" fillId="20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4" fillId="25" borderId="9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18" borderId="10" applyNumberFormat="0">
      <alignment horizontal="right" vertical="top"/>
    </xf>
    <xf numFmtId="0" fontId="3" fillId="18" borderId="10" applyNumberFormat="0">
      <alignment horizontal="right" vertical="top"/>
    </xf>
    <xf numFmtId="0" fontId="3" fillId="18" borderId="10" applyNumberFormat="0">
      <alignment horizontal="right" vertical="top"/>
    </xf>
    <xf numFmtId="0" fontId="3" fillId="18" borderId="10" applyNumberFormat="0">
      <alignment horizontal="right" vertical="top"/>
    </xf>
    <xf numFmtId="0" fontId="3" fillId="18" borderId="10" applyNumberFormat="0">
      <alignment horizontal="right" vertical="top"/>
    </xf>
    <xf numFmtId="0" fontId="3" fillId="18" borderId="10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17" borderId="10" applyNumberFormat="0">
      <alignment horizontal="right" vertical="top"/>
    </xf>
    <xf numFmtId="0" fontId="3" fillId="17" borderId="10" applyNumberFormat="0">
      <alignment horizontal="right" vertical="top"/>
    </xf>
    <xf numFmtId="0" fontId="3" fillId="17" borderId="10" applyNumberFormat="0">
      <alignment horizontal="right" vertical="top"/>
    </xf>
    <xf numFmtId="0" fontId="3" fillId="17" borderId="10" applyNumberFormat="0">
      <alignment horizontal="right" vertical="top"/>
    </xf>
    <xf numFmtId="0" fontId="3" fillId="17" borderId="10" applyNumberFormat="0">
      <alignment horizontal="right" vertical="top"/>
    </xf>
    <xf numFmtId="0" fontId="3" fillId="17" borderId="10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20" borderId="10" applyNumberFormat="0">
      <alignment horizontal="right" vertical="top"/>
    </xf>
    <xf numFmtId="0" fontId="3" fillId="20" borderId="10" applyNumberFormat="0">
      <alignment horizontal="right" vertical="top"/>
    </xf>
    <xf numFmtId="0" fontId="3" fillId="20" borderId="10" applyNumberFormat="0">
      <alignment horizontal="right" vertical="top"/>
    </xf>
    <xf numFmtId="0" fontId="3" fillId="20" borderId="10" applyNumberFormat="0">
      <alignment horizontal="right" vertical="top"/>
    </xf>
    <xf numFmtId="0" fontId="3" fillId="20" borderId="10" applyNumberFormat="0">
      <alignment horizontal="right" vertical="top"/>
    </xf>
    <xf numFmtId="0" fontId="3" fillId="20" borderId="10" applyNumberFormat="0">
      <alignment horizontal="right" vertical="top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49" fontId="27" fillId="0" borderId="4">
      <alignment horizontal="left" vertical="top" wrapText="1"/>
    </xf>
    <xf numFmtId="49" fontId="27" fillId="0" borderId="4">
      <alignment horizontal="left" vertical="top" wrapText="1"/>
    </xf>
    <xf numFmtId="49" fontId="27" fillId="0" borderId="4">
      <alignment horizontal="left" vertical="top" wrapText="1"/>
    </xf>
    <xf numFmtId="49" fontId="27" fillId="0" borderId="4">
      <alignment horizontal="left" vertical="top" wrapText="1"/>
    </xf>
    <xf numFmtId="49" fontId="27" fillId="0" borderId="4">
      <alignment horizontal="left" vertical="top" wrapText="1"/>
    </xf>
    <xf numFmtId="49" fontId="27" fillId="0" borderId="4">
      <alignment horizontal="left" vertical="top" wrapText="1"/>
    </xf>
    <xf numFmtId="49" fontId="5" fillId="28" borderId="4">
      <alignment horizontal="left" vertical="top" wrapText="1"/>
    </xf>
    <xf numFmtId="49" fontId="5" fillId="28" borderId="4">
      <alignment horizontal="left" vertical="top" wrapText="1"/>
    </xf>
    <xf numFmtId="49" fontId="5" fillId="28" borderId="4">
      <alignment horizontal="left" vertical="top" wrapText="1"/>
    </xf>
    <xf numFmtId="49" fontId="5" fillId="28" borderId="4">
      <alignment horizontal="left" vertical="top" wrapText="1"/>
    </xf>
    <xf numFmtId="49" fontId="5" fillId="28" borderId="4">
      <alignment horizontal="left" vertical="top" wrapText="1"/>
    </xf>
    <xf numFmtId="49" fontId="5" fillId="28" borderId="4">
      <alignment horizontal="left" vertical="top" wrapText="1"/>
    </xf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2" fillId="14" borderId="3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  <xf numFmtId="0" fontId="3" fillId="24" borderId="4">
      <alignment horizontal="left" vertical="top" wrapText="1"/>
    </xf>
  </cellStyleXfs>
  <cellXfs count="142">
    <xf numFmtId="0" fontId="0" fillId="0" borderId="0" xfId="0">
      <protection locked="0"/>
    </xf>
    <xf numFmtId="49" fontId="19" fillId="14" borderId="3" xfId="84">
      <alignment horizontal="center" vertical="top" wrapText="1"/>
    </xf>
    <xf numFmtId="0" fontId="0" fillId="28" borderId="0" xfId="0" applyFill="1">
      <protection locked="0"/>
    </xf>
    <xf numFmtId="0" fontId="0" fillId="0" borderId="13" xfId="0" applyBorder="1" applyAlignment="1">
      <alignment horizontal="center" vertical="center" wrapText="1"/>
      <protection locked="0"/>
    </xf>
    <xf numFmtId="0" fontId="0" fillId="29" borderId="0" xfId="0" applyFill="1">
      <protection locked="0"/>
    </xf>
    <xf numFmtId="0" fontId="8" fillId="29" borderId="14" xfId="0" applyFont="1" applyFill="1" applyBorder="1" applyAlignment="1">
      <alignment horizontal="center" vertical="center"/>
      <protection locked="0"/>
    </xf>
    <xf numFmtId="0" fontId="0" fillId="31" borderId="0" xfId="0" applyFill="1">
      <protection locked="0"/>
    </xf>
    <xf numFmtId="0" fontId="0" fillId="30" borderId="0" xfId="0" applyFill="1">
      <protection locked="0"/>
    </xf>
    <xf numFmtId="0" fontId="0" fillId="0" borderId="0" xfId="0" applyFill="1">
      <protection locked="0"/>
    </xf>
    <xf numFmtId="0" fontId="2" fillId="14" borderId="3" xfId="93">
      <alignment horizontal="left" vertical="top" wrapText="1"/>
    </xf>
    <xf numFmtId="0" fontId="2" fillId="14" borderId="3" xfId="10" applyNumberFormat="1">
      <alignment horizontal="right" vertical="top" wrapText="1"/>
    </xf>
    <xf numFmtId="0" fontId="0" fillId="0" borderId="0" xfId="0" applyAlignment="1" applyProtection="1">
      <alignment wrapText="1"/>
    </xf>
    <xf numFmtId="0" fontId="0" fillId="0" borderId="0" xfId="0" applyProtection="1"/>
    <xf numFmtId="0" fontId="0" fillId="28" borderId="0" xfId="0" applyFill="1" applyProtection="1"/>
    <xf numFmtId="0" fontId="8" fillId="0" borderId="14" xfId="0" applyFont="1" applyBorder="1" applyAlignment="1" applyProtection="1">
      <alignment horizontal="center" vertical="center" wrapText="1"/>
    </xf>
    <xf numFmtId="165" fontId="2" fillId="14" borderId="3" xfId="10" applyNumberFormat="1">
      <alignment horizontal="right" vertical="top" wrapText="1"/>
    </xf>
    <xf numFmtId="164" fontId="2" fillId="14" borderId="3" xfId="10" applyNumberFormat="1">
      <alignment horizontal="right" vertical="top" wrapText="1"/>
    </xf>
    <xf numFmtId="0" fontId="0" fillId="0" borderId="0" xfId="0" applyAlignment="1">
      <alignment horizontal="left" wrapText="1"/>
      <protection locked="0"/>
    </xf>
    <xf numFmtId="0" fontId="0" fillId="0" borderId="0" xfId="0" applyAlignment="1">
      <alignment horizontal="left" vertical="center" wrapText="1"/>
      <protection locked="0"/>
    </xf>
    <xf numFmtId="0" fontId="8" fillId="0" borderId="0" xfId="0" applyFont="1" applyFill="1" applyBorder="1" applyAlignment="1">
      <alignment horizontal="center" vertical="center"/>
      <protection locked="0"/>
    </xf>
    <xf numFmtId="0" fontId="0" fillId="0" borderId="0" xfId="0" applyFill="1" applyBorder="1" applyAlignment="1">
      <alignment horizontal="left" vertical="center" wrapText="1"/>
      <protection locked="0"/>
    </xf>
    <xf numFmtId="0" fontId="0" fillId="0" borderId="0" xfId="0" applyFill="1" applyAlignment="1">
      <alignment horizontal="left" vertical="center" wrapText="1"/>
      <protection locked="0"/>
    </xf>
    <xf numFmtId="0" fontId="0" fillId="0" borderId="0" xfId="0" applyFill="1" applyBorder="1" applyAlignment="1">
      <alignment horizontal="left" wrapText="1"/>
      <protection locked="0"/>
    </xf>
    <xf numFmtId="0" fontId="0" fillId="0" borderId="0" xfId="0" applyFill="1" applyAlignment="1">
      <alignment horizontal="left" wrapText="1"/>
      <protection locked="0"/>
    </xf>
    <xf numFmtId="0" fontId="0" fillId="30" borderId="24" xfId="0" applyFill="1" applyBorder="1" applyAlignment="1">
      <alignment horizontal="center" vertical="center" wrapText="1"/>
      <protection locked="0"/>
    </xf>
    <xf numFmtId="0" fontId="0" fillId="30" borderId="25" xfId="0" applyFill="1" applyBorder="1" applyAlignment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  <protection locked="0"/>
    </xf>
    <xf numFmtId="0" fontId="0" fillId="29" borderId="0" xfId="0" applyFill="1" applyAlignment="1">
      <alignment horizontal="left" vertical="center"/>
      <protection locked="0"/>
    </xf>
    <xf numFmtId="0" fontId="8" fillId="29" borderId="19" xfId="0" applyFont="1" applyFill="1" applyBorder="1" applyAlignment="1">
      <alignment horizontal="center" vertical="center"/>
      <protection locked="0"/>
    </xf>
    <xf numFmtId="0" fontId="8" fillId="29" borderId="13" xfId="0" applyFont="1" applyFill="1" applyBorder="1" applyAlignment="1">
      <alignment horizontal="center" vertical="center"/>
      <protection locked="0"/>
    </xf>
    <xf numFmtId="0" fontId="0" fillId="0" borderId="31" xfId="0" applyBorder="1" applyAlignment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  <protection locked="0"/>
    </xf>
    <xf numFmtId="0" fontId="0" fillId="0" borderId="29" xfId="0" applyBorder="1" applyAlignment="1">
      <alignment horizontal="center" vertical="center" wrapText="1"/>
      <protection locked="0"/>
    </xf>
    <xf numFmtId="0" fontId="0" fillId="0" borderId="25" xfId="0" applyBorder="1" applyAlignment="1">
      <alignment horizontal="center" vertical="center" wrapText="1"/>
      <protection locked="0"/>
    </xf>
    <xf numFmtId="0" fontId="0" fillId="30" borderId="29" xfId="0" applyFill="1" applyBorder="1" applyAlignment="1">
      <alignment horizontal="center" vertical="center" wrapText="1"/>
      <protection locked="0"/>
    </xf>
    <xf numFmtId="164" fontId="0" fillId="0" borderId="0" xfId="0" applyNumberFormat="1" applyProtection="1"/>
    <xf numFmtId="0" fontId="0" fillId="0" borderId="0" xfId="0" applyAlignment="1">
      <alignment wrapText="1" shrinkToFit="1"/>
      <protection locked="0"/>
    </xf>
    <xf numFmtId="0" fontId="0" fillId="28" borderId="0" xfId="0" applyFill="1" applyAlignment="1">
      <alignment wrapText="1" shrinkToFit="1"/>
      <protection locked="0"/>
    </xf>
    <xf numFmtId="0" fontId="0" fillId="29" borderId="0" xfId="0" applyFill="1" applyAlignment="1">
      <alignment wrapText="1" shrinkToFit="1"/>
      <protection locked="0"/>
    </xf>
    <xf numFmtId="0" fontId="0" fillId="0" borderId="0" xfId="0" applyFill="1" applyBorder="1" applyAlignment="1">
      <alignment horizontal="left" wrapText="1" shrinkToFit="1"/>
      <protection locked="0"/>
    </xf>
    <xf numFmtId="0" fontId="0" fillId="30" borderId="4" xfId="0" applyFill="1" applyBorder="1" applyAlignment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  <protection locked="0"/>
    </xf>
    <xf numFmtId="0" fontId="0" fillId="0" borderId="34" xfId="0" applyBorder="1" applyAlignment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  <protection locked="0"/>
    </xf>
    <xf numFmtId="0" fontId="0" fillId="30" borderId="14" xfId="0" applyFill="1" applyBorder="1" applyAlignment="1">
      <alignment horizontal="center" vertical="center" wrapText="1"/>
      <protection locked="0"/>
    </xf>
    <xf numFmtId="0" fontId="0" fillId="30" borderId="23" xfId="0" applyFill="1" applyBorder="1" applyAlignment="1">
      <alignment horizontal="center" vertical="center"/>
      <protection locked="0"/>
    </xf>
    <xf numFmtId="0" fontId="0" fillId="30" borderId="14" xfId="0" applyFill="1" applyBorder="1" applyAlignment="1">
      <alignment horizontal="center" vertical="center"/>
      <protection locked="0"/>
    </xf>
    <xf numFmtId="0" fontId="0" fillId="30" borderId="40" xfId="0" applyFill="1" applyBorder="1" applyAlignment="1">
      <alignment horizontal="center" vertical="center"/>
      <protection locked="0"/>
    </xf>
    <xf numFmtId="0" fontId="0" fillId="0" borderId="0" xfId="0" applyAlignment="1">
      <alignment shrinkToFit="1"/>
      <protection locked="0"/>
    </xf>
    <xf numFmtId="0" fontId="0" fillId="28" borderId="0" xfId="0" applyFill="1" applyAlignment="1">
      <alignment shrinkToFit="1"/>
      <protection locked="0"/>
    </xf>
    <xf numFmtId="0" fontId="0" fillId="29" borderId="0" xfId="0" applyFill="1" applyAlignment="1">
      <alignment shrinkToFit="1"/>
      <protection locked="0"/>
    </xf>
    <xf numFmtId="0" fontId="8" fillId="29" borderId="0" xfId="0" applyFont="1" applyFill="1" applyAlignment="1">
      <alignment vertical="center"/>
      <protection locked="0"/>
    </xf>
    <xf numFmtId="0" fontId="0" fillId="0" borderId="0" xfId="0" applyFill="1" applyProtection="1"/>
    <xf numFmtId="164" fontId="2" fillId="0" borderId="3" xfId="14" applyNumberFormat="1">
      <alignment horizontal="right" vertical="top"/>
    </xf>
    <xf numFmtId="0" fontId="2" fillId="0" borderId="3" xfId="14" applyNumberFormat="1">
      <alignment horizontal="right" vertical="top"/>
    </xf>
    <xf numFmtId="0" fontId="0" fillId="0" borderId="0" xfId="0" applyFont="1">
      <protection locked="0"/>
    </xf>
    <xf numFmtId="0" fontId="0" fillId="30" borderId="39" xfId="0" applyFont="1" applyFill="1" applyBorder="1" applyAlignment="1">
      <alignment horizontal="center" vertical="center"/>
      <protection locked="0"/>
    </xf>
    <xf numFmtId="0" fontId="0" fillId="30" borderId="39" xfId="0" applyFont="1" applyFill="1" applyBorder="1" applyAlignment="1">
      <alignment horizontal="center" vertical="center" wrapText="1"/>
      <protection locked="0"/>
    </xf>
    <xf numFmtId="0" fontId="0" fillId="30" borderId="41" xfId="0" applyFont="1" applyFill="1" applyBorder="1" applyAlignment="1">
      <alignment horizontal="center" vertical="center"/>
      <protection locked="0"/>
    </xf>
    <xf numFmtId="0" fontId="0" fillId="0" borderId="4" xfId="0" applyFont="1" applyBorder="1" applyAlignment="1">
      <alignment vertical="center" wrapText="1"/>
      <protection locked="0"/>
    </xf>
    <xf numFmtId="0" fontId="0" fillId="0" borderId="0" xfId="0" applyAlignment="1">
      <alignment vertical="center" wrapText="1"/>
      <protection locked="0"/>
    </xf>
    <xf numFmtId="0" fontId="0" fillId="0" borderId="4" xfId="0" applyFont="1" applyBorder="1" applyAlignment="1">
      <alignment horizontal="center" vertical="center" wrapText="1"/>
      <protection locked="0"/>
    </xf>
    <xf numFmtId="0" fontId="0" fillId="0" borderId="4" xfId="0" applyFont="1" applyFill="1" applyBorder="1" applyAlignment="1">
      <alignment horizontal="center" vertical="center" wrapText="1"/>
      <protection locked="0"/>
    </xf>
    <xf numFmtId="0" fontId="0" fillId="0" borderId="22" xfId="0" applyBorder="1" applyAlignment="1">
      <alignment horizontal="center" vertical="center"/>
      <protection locked="0"/>
    </xf>
    <xf numFmtId="0" fontId="0" fillId="0" borderId="14" xfId="0" applyBorder="1" applyAlignment="1">
      <alignment horizontal="center" vertical="center" wrapText="1"/>
      <protection locked="0"/>
    </xf>
    <xf numFmtId="0" fontId="0" fillId="0" borderId="20" xfId="0" applyBorder="1" applyAlignment="1">
      <alignment horizontal="center" vertical="center" wrapText="1"/>
      <protection locked="0"/>
    </xf>
    <xf numFmtId="0" fontId="0" fillId="0" borderId="21" xfId="0" applyBorder="1" applyAlignment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  <protection locked="0"/>
    </xf>
    <xf numFmtId="0" fontId="0" fillId="29" borderId="15" xfId="0" applyFill="1" applyBorder="1" applyAlignment="1">
      <alignment horizontal="left" vertical="center" wrapText="1"/>
      <protection locked="0"/>
    </xf>
    <xf numFmtId="0" fontId="0" fillId="29" borderId="0" xfId="0" applyFill="1" applyAlignment="1">
      <alignment horizontal="left" vertical="center" wrapText="1"/>
      <protection locked="0"/>
    </xf>
    <xf numFmtId="0" fontId="0" fillId="0" borderId="0" xfId="0" applyAlignment="1">
      <alignment horizontal="left" vertical="center" wrapText="1"/>
      <protection locked="0"/>
    </xf>
    <xf numFmtId="0" fontId="0" fillId="0" borderId="0" xfId="0" applyAlignment="1">
      <protection locked="0"/>
    </xf>
    <xf numFmtId="16" fontId="0" fillId="0" borderId="20" xfId="0" applyNumberFormat="1" applyBorder="1" applyAlignment="1">
      <alignment horizontal="center" vertical="center"/>
      <protection locked="0"/>
    </xf>
    <xf numFmtId="0" fontId="0" fillId="0" borderId="21" xfId="0" applyBorder="1" applyAlignment="1">
      <alignment horizontal="center" vertical="center"/>
      <protection locked="0"/>
    </xf>
    <xf numFmtId="0" fontId="0" fillId="0" borderId="22" xfId="0" applyBorder="1" applyAlignment="1">
      <alignment horizontal="center" vertical="center"/>
      <protection locked="0"/>
    </xf>
    <xf numFmtId="16" fontId="0" fillId="0" borderId="14" xfId="0" applyNumberFormat="1" applyBorder="1" applyAlignment="1">
      <alignment horizontal="center" vertical="center" wrapText="1"/>
      <protection locked="0"/>
    </xf>
    <xf numFmtId="0" fontId="23" fillId="0" borderId="0" xfId="0" applyFont="1" applyAlignment="1">
      <alignment vertical="center" wrapText="1"/>
      <protection locked="0"/>
    </xf>
    <xf numFmtId="0" fontId="0" fillId="0" borderId="0" xfId="0" applyAlignment="1">
      <alignment vertical="center" wrapText="1"/>
      <protection locked="0"/>
    </xf>
    <xf numFmtId="0" fontId="8" fillId="0" borderId="19" xfId="0" applyFont="1" applyBorder="1" applyAlignment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 shrinkToFit="1"/>
    </xf>
    <xf numFmtId="0" fontId="8" fillId="0" borderId="13" xfId="0" applyFont="1" applyBorder="1" applyAlignment="1" applyProtection="1">
      <alignment horizontal="center" vertical="center" wrapText="1" shrinkToFi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0" fillId="30" borderId="20" xfId="0" applyFill="1" applyBorder="1" applyAlignment="1">
      <alignment horizontal="center" vertical="center"/>
      <protection locked="0"/>
    </xf>
    <xf numFmtId="17" fontId="0" fillId="0" borderId="20" xfId="0" applyNumberFormat="1" applyBorder="1" applyAlignment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  <protection locked="0"/>
    </xf>
    <xf numFmtId="16" fontId="0" fillId="0" borderId="33" xfId="0" applyNumberFormat="1" applyBorder="1" applyAlignment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  <protection locked="0"/>
    </xf>
    <xf numFmtId="16" fontId="0" fillId="30" borderId="4" xfId="0" applyNumberFormat="1" applyFill="1" applyBorder="1" applyAlignment="1">
      <alignment horizontal="center" vertical="center" wrapText="1"/>
      <protection locked="0"/>
    </xf>
    <xf numFmtId="0" fontId="0" fillId="0" borderId="4" xfId="0" applyBorder="1" applyAlignment="1">
      <protection locked="0"/>
    </xf>
    <xf numFmtId="0" fontId="0" fillId="0" borderId="28" xfId="0" applyBorder="1" applyAlignment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  <protection locked="0"/>
    </xf>
    <xf numFmtId="0" fontId="8" fillId="0" borderId="36" xfId="0" applyFont="1" applyBorder="1" applyAlignment="1">
      <alignment horizontal="center" vertical="center" wrapText="1"/>
      <protection locked="0"/>
    </xf>
    <xf numFmtId="0" fontId="8" fillId="0" borderId="37" xfId="0" applyFont="1" applyBorder="1" applyAlignment="1">
      <alignment horizontal="center" vertical="center" wrapText="1"/>
      <protection locked="0"/>
    </xf>
    <xf numFmtId="16" fontId="0" fillId="0" borderId="17" xfId="0" applyNumberFormat="1" applyBorder="1" applyAlignment="1">
      <alignment horizontal="center" vertical="center" wrapText="1"/>
      <protection locked="0"/>
    </xf>
    <xf numFmtId="16" fontId="0" fillId="0" borderId="28" xfId="0" applyNumberFormat="1" applyBorder="1" applyAlignment="1">
      <alignment horizontal="center" vertical="center" wrapText="1"/>
      <protection locked="0"/>
    </xf>
    <xf numFmtId="16" fontId="0" fillId="0" borderId="26" xfId="0" applyNumberFormat="1" applyBorder="1" applyAlignment="1">
      <alignment horizontal="center" vertical="center" wrapText="1"/>
      <protection locked="0"/>
    </xf>
    <xf numFmtId="0" fontId="0" fillId="0" borderId="27" xfId="0" applyBorder="1" applyAlignment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  <protection locked="0"/>
    </xf>
    <xf numFmtId="16" fontId="0" fillId="30" borderId="26" xfId="0" applyNumberFormat="1" applyFill="1" applyBorder="1" applyAlignment="1">
      <alignment horizontal="center" vertical="center" wrapText="1"/>
      <protection locked="0"/>
    </xf>
    <xf numFmtId="0" fontId="0" fillId="30" borderId="27" xfId="0" applyFill="1" applyBorder="1" applyAlignment="1">
      <alignment horizontal="center" vertical="center" wrapText="1"/>
      <protection locked="0"/>
    </xf>
    <xf numFmtId="0" fontId="0" fillId="30" borderId="30" xfId="0" applyFill="1" applyBorder="1" applyAlignment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  <protection locked="0"/>
    </xf>
    <xf numFmtId="16" fontId="0" fillId="0" borderId="18" xfId="0" applyNumberFormat="1" applyBorder="1" applyAlignment="1">
      <alignment horizontal="center" vertical="center" wrapText="1"/>
      <protection locked="0"/>
    </xf>
    <xf numFmtId="16" fontId="0" fillId="0" borderId="27" xfId="0" applyNumberFormat="1" applyBorder="1" applyAlignment="1">
      <alignment horizontal="center" vertical="center" wrapText="1"/>
      <protection locked="0"/>
    </xf>
    <xf numFmtId="16" fontId="0" fillId="0" borderId="16" xfId="0" applyNumberFormat="1" applyBorder="1" applyAlignment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  <protection locked="0"/>
    </xf>
    <xf numFmtId="0" fontId="8" fillId="0" borderId="26" xfId="0" applyFont="1" applyBorder="1" applyAlignment="1">
      <alignment horizontal="center" vertical="center" wrapText="1"/>
      <protection locked="0"/>
    </xf>
    <xf numFmtId="0" fontId="8" fillId="0" borderId="29" xfId="0" applyFont="1" applyBorder="1" applyAlignment="1">
      <alignment horizontal="center" vertical="center" wrapText="1"/>
      <protection locked="0"/>
    </xf>
    <xf numFmtId="0" fontId="8" fillId="0" borderId="27" xfId="0" applyFont="1" applyBorder="1" applyAlignment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/>
      <protection locked="0"/>
    </xf>
    <xf numFmtId="0" fontId="8" fillId="0" borderId="16" xfId="0" applyFont="1" applyBorder="1" applyAlignment="1">
      <alignment horizontal="center" vertical="center" wrapText="1"/>
      <protection locked="0"/>
    </xf>
    <xf numFmtId="0" fontId="8" fillId="0" borderId="31" xfId="0" applyFont="1" applyBorder="1" applyAlignment="1">
      <alignment horizontal="center" vertical="center" wrapText="1"/>
      <protection locked="0"/>
    </xf>
    <xf numFmtId="0" fontId="0" fillId="29" borderId="15" xfId="0" applyFill="1" applyBorder="1" applyAlignment="1">
      <alignment horizontal="left" wrapText="1"/>
      <protection locked="0"/>
    </xf>
    <xf numFmtId="0" fontId="0" fillId="29" borderId="0" xfId="0" applyFill="1" applyAlignment="1">
      <alignment horizontal="left" wrapText="1"/>
      <protection locked="0"/>
    </xf>
    <xf numFmtId="0" fontId="0" fillId="0" borderId="0" xfId="0" applyAlignment="1">
      <alignment horizontal="left" wrapText="1"/>
      <protection locked="0"/>
    </xf>
    <xf numFmtId="0" fontId="0" fillId="30" borderId="4" xfId="0" applyFill="1" applyBorder="1" applyAlignment="1">
      <alignment horizontal="center" vertical="center" wrapText="1"/>
      <protection locked="0"/>
    </xf>
    <xf numFmtId="16" fontId="0" fillId="30" borderId="33" xfId="0" applyNumberFormat="1" applyFill="1" applyBorder="1" applyAlignment="1">
      <alignment horizontal="center" vertical="center" wrapText="1"/>
      <protection locked="0"/>
    </xf>
    <xf numFmtId="0" fontId="0" fillId="30" borderId="17" xfId="0" applyFill="1" applyBorder="1" applyAlignment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  <protection locked="0"/>
    </xf>
    <xf numFmtId="0" fontId="8" fillId="0" borderId="34" xfId="0" applyFont="1" applyBorder="1" applyAlignment="1">
      <alignment horizontal="center" vertical="center" wrapText="1"/>
      <protection locked="0"/>
    </xf>
    <xf numFmtId="0" fontId="8" fillId="0" borderId="33" xfId="0" applyFont="1" applyBorder="1" applyAlignment="1">
      <alignment horizontal="center" vertical="center" wrapText="1"/>
      <protection locked="0"/>
    </xf>
    <xf numFmtId="0" fontId="8" fillId="0" borderId="35" xfId="0" applyFont="1" applyBorder="1" applyAlignment="1">
      <alignment horizontal="center" vertical="center" wrapText="1"/>
      <protection locked="0"/>
    </xf>
    <xf numFmtId="0" fontId="0" fillId="0" borderId="0" xfId="0" applyAlignment="1">
      <alignment vertical="center"/>
      <protection locked="0"/>
    </xf>
    <xf numFmtId="0" fontId="8" fillId="0" borderId="17" xfId="0" applyFont="1" applyBorder="1" applyAlignment="1">
      <alignment horizontal="center" vertical="center" wrapText="1" shrinkToFit="1"/>
      <protection locked="0"/>
    </xf>
    <xf numFmtId="0" fontId="8" fillId="0" borderId="38" xfId="0" applyFont="1" applyBorder="1" applyAlignment="1">
      <alignment horizontal="center" vertical="center" wrapText="1" shrinkToFit="1"/>
      <protection locked="0"/>
    </xf>
    <xf numFmtId="0" fontId="8" fillId="0" borderId="17" xfId="0" applyFont="1" applyBorder="1" applyAlignment="1">
      <alignment horizontal="center" vertical="center" wrapText="1"/>
      <protection locked="0"/>
    </xf>
    <xf numFmtId="0" fontId="8" fillId="0" borderId="38" xfId="0" applyFont="1" applyBorder="1" applyAlignment="1">
      <alignment horizontal="center" vertical="center" wrapText="1"/>
      <protection locked="0"/>
    </xf>
    <xf numFmtId="0" fontId="0" fillId="30" borderId="21" xfId="0" applyFont="1" applyFill="1" applyBorder="1" applyAlignment="1">
      <alignment horizontal="center" vertical="center"/>
      <protection locked="0"/>
    </xf>
    <xf numFmtId="0" fontId="0" fillId="30" borderId="22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/>
      <protection locked="0"/>
    </xf>
    <xf numFmtId="0" fontId="0" fillId="0" borderId="4" xfId="0" applyFont="1" applyBorder="1" applyAlignment="1">
      <protection locked="0"/>
    </xf>
    <xf numFmtId="0" fontId="2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</cellXfs>
  <cellStyles count="406">
    <cellStyle name="20% - Акцент1 2" xfId="100"/>
    <cellStyle name="20% - Акцент1 3" xfId="101"/>
    <cellStyle name="20% - Акцент1 4" xfId="102"/>
    <cellStyle name="20% - Акцент2 2" xfId="103"/>
    <cellStyle name="20% - Акцент2 3" xfId="104"/>
    <cellStyle name="20% - Акцент2 4" xfId="105"/>
    <cellStyle name="20% - Акцент3 2" xfId="106"/>
    <cellStyle name="20% - Акцент3 3" xfId="107"/>
    <cellStyle name="20% - Акцент3 4" xfId="108"/>
    <cellStyle name="20% - Акцент4 2" xfId="109"/>
    <cellStyle name="20% - Акцент4 3" xfId="110"/>
    <cellStyle name="20% - Акцент4 4" xfId="111"/>
    <cellStyle name="20% - Акцент5 2" xfId="112"/>
    <cellStyle name="20% - Акцент5 3" xfId="113"/>
    <cellStyle name="20% - Акцент5 4" xfId="114"/>
    <cellStyle name="20% - Акцент6 2" xfId="115"/>
    <cellStyle name="20% - Акцент6 3" xfId="116"/>
    <cellStyle name="20% - Акцент6 4" xfId="117"/>
    <cellStyle name="40% - Акцент1 2" xfId="118"/>
    <cellStyle name="40% - Акцент1 3" xfId="119"/>
    <cellStyle name="40% - Акцент1 4" xfId="120"/>
    <cellStyle name="40% - Акцент2 2" xfId="121"/>
    <cellStyle name="40% - Акцент2 3" xfId="122"/>
    <cellStyle name="40% - Акцент2 4" xfId="123"/>
    <cellStyle name="40% - Акцент3 2" xfId="124"/>
    <cellStyle name="40% - Акцент3 3" xfId="125"/>
    <cellStyle name="40% - Акцент3 4" xfId="126"/>
    <cellStyle name="40% - Акцент4 2" xfId="127"/>
    <cellStyle name="40% - Акцент4 3" xfId="128"/>
    <cellStyle name="40% - Акцент4 4" xfId="129"/>
    <cellStyle name="40% - Акцент5 2" xfId="130"/>
    <cellStyle name="40% - Акцент5 3" xfId="131"/>
    <cellStyle name="40% - Акцент5 4" xfId="132"/>
    <cellStyle name="40% - Акцент6 2" xfId="133"/>
    <cellStyle name="40% - Акцент6 3" xfId="134"/>
    <cellStyle name="40% - Акцент6 4" xfId="135"/>
    <cellStyle name="60% - Акцент1 2" xfId="136"/>
    <cellStyle name="60% - Акцент1 3" xfId="137"/>
    <cellStyle name="60% - Акцент1 4" xfId="138"/>
    <cellStyle name="60% - Акцент2 2" xfId="139"/>
    <cellStyle name="60% - Акцент2 3" xfId="140"/>
    <cellStyle name="60% - Акцент2 4" xfId="141"/>
    <cellStyle name="60% - Акцент3 2" xfId="142"/>
    <cellStyle name="60% - Акцент3 3" xfId="143"/>
    <cellStyle name="60% - Акцент3 4" xfId="144"/>
    <cellStyle name="60% - Акцент4 2" xfId="145"/>
    <cellStyle name="60% - Акцент4 3" xfId="146"/>
    <cellStyle name="60% - Акцент4 4" xfId="147"/>
    <cellStyle name="60% - Акцент5 2" xfId="148"/>
    <cellStyle name="60% - Акцент5 3" xfId="149"/>
    <cellStyle name="60% - Акцент5 4" xfId="150"/>
    <cellStyle name="60% - Акцент6 2" xfId="151"/>
    <cellStyle name="60% - Акцент6 3" xfId="152"/>
    <cellStyle name="60% - Акцент6 4" xfId="153"/>
    <cellStyle name="Акцент1" xfId="1" builtinId="29" customBuiltin="1"/>
    <cellStyle name="Акцент1 2" xfId="154"/>
    <cellStyle name="Акцент1 3" xfId="155"/>
    <cellStyle name="Акцент1 4" xfId="156"/>
    <cellStyle name="Акцент2" xfId="2" builtinId="33" customBuiltin="1"/>
    <cellStyle name="Акцент2 2" xfId="157"/>
    <cellStyle name="Акцент2 3" xfId="158"/>
    <cellStyle name="Акцент2 4" xfId="159"/>
    <cellStyle name="Акцент3" xfId="3" builtinId="37" customBuiltin="1"/>
    <cellStyle name="Акцент3 2" xfId="160"/>
    <cellStyle name="Акцент3 3" xfId="161"/>
    <cellStyle name="Акцент3 4" xfId="162"/>
    <cellStyle name="Акцент4" xfId="4" builtinId="41" customBuiltin="1"/>
    <cellStyle name="Акцент4 2" xfId="163"/>
    <cellStyle name="Акцент4 3" xfId="164"/>
    <cellStyle name="Акцент4 4" xfId="165"/>
    <cellStyle name="Акцент5" xfId="5" builtinId="45" customBuiltin="1"/>
    <cellStyle name="Акцент5 2" xfId="166"/>
    <cellStyle name="Акцент5 3" xfId="167"/>
    <cellStyle name="Акцент5 4" xfId="168"/>
    <cellStyle name="Акцент6" xfId="6" builtinId="49" customBuiltin="1"/>
    <cellStyle name="Акцент6 2" xfId="169"/>
    <cellStyle name="Акцент6 3" xfId="170"/>
    <cellStyle name="Акцент6 4" xfId="171"/>
    <cellStyle name="Ввод " xfId="7" builtinId="20" customBuiltin="1"/>
    <cellStyle name="Ввод  2" xfId="172"/>
    <cellStyle name="Ввод  3" xfId="173"/>
    <cellStyle name="Ввод  4" xfId="174"/>
    <cellStyle name="Вывод" xfId="8" builtinId="21" customBuiltin="1"/>
    <cellStyle name="Вывод 2" xfId="175"/>
    <cellStyle name="Вывод 3" xfId="176"/>
    <cellStyle name="Вывод 4" xfId="177"/>
    <cellStyle name="Вычисление" xfId="9" builtinId="22" customBuiltin="1"/>
    <cellStyle name="Вычисление 2" xfId="178"/>
    <cellStyle name="Вычисление 3" xfId="179"/>
    <cellStyle name="Вычисление 4" xfId="180"/>
    <cellStyle name="Данные (редактируемые)" xfId="10"/>
    <cellStyle name="Данные (редактируемые) 10" xfId="181"/>
    <cellStyle name="Данные (редактируемые) 2" xfId="11"/>
    <cellStyle name="Данные (редактируемые) 3" xfId="12"/>
    <cellStyle name="Данные (редактируемые) 4" xfId="182"/>
    <cellStyle name="Данные (редактируемые) 5" xfId="183"/>
    <cellStyle name="Данные (редактируемые) 6" xfId="184"/>
    <cellStyle name="Данные (редактируемые) 7" xfId="185"/>
    <cellStyle name="Данные (редактируемые) 8" xfId="186"/>
    <cellStyle name="Данные (редактируемые) 9" xfId="187"/>
    <cellStyle name="Данные (редактируемые)_1. Качество бюдж.план-я" xfId="13"/>
    <cellStyle name="Данные (только для чтения)" xfId="14"/>
    <cellStyle name="Данные (только для чтения) 10" xfId="188"/>
    <cellStyle name="Данные (только для чтения) 2" xfId="15"/>
    <cellStyle name="Данные (только для чтения) 3" xfId="189"/>
    <cellStyle name="Данные (только для чтения) 4" xfId="190"/>
    <cellStyle name="Данные (только для чтения) 5" xfId="191"/>
    <cellStyle name="Данные (только для чтения) 6" xfId="192"/>
    <cellStyle name="Данные (только для чтения) 7" xfId="193"/>
    <cellStyle name="Данные (только для чтения) 8" xfId="194"/>
    <cellStyle name="Данные (только для чтения) 9" xfId="195"/>
    <cellStyle name="Данные (только для чтения)_1. Качество бюдж.план-я" xfId="16"/>
    <cellStyle name="Данные для удаления" xfId="17"/>
    <cellStyle name="Данные для удаления 2" xfId="18"/>
    <cellStyle name="Данные для удаления 3" xfId="196"/>
    <cellStyle name="Данные для удаления 4" xfId="197"/>
    <cellStyle name="Данные для удаления 5" xfId="198"/>
    <cellStyle name="Данные для удаления 6" xfId="199"/>
    <cellStyle name="Данные для удаления 7" xfId="200"/>
    <cellStyle name="Данные для удаления 8" xfId="201"/>
    <cellStyle name="Данные для удаления_1. Качество бюдж.план-я" xfId="19"/>
    <cellStyle name="Заголовки полей" xfId="20"/>
    <cellStyle name="Заголовки полей [печать]" xfId="21"/>
    <cellStyle name="Заголовки полей [печать] 2" xfId="22"/>
    <cellStyle name="Заголовки полей [печать] 3" xfId="202"/>
    <cellStyle name="Заголовки полей [печать] 4" xfId="203"/>
    <cellStyle name="Заголовки полей [печать] 5" xfId="204"/>
    <cellStyle name="Заголовки полей [печать] 6" xfId="205"/>
    <cellStyle name="Заголовки полей [печать] 7" xfId="206"/>
    <cellStyle name="Заголовки полей [печать] 8" xfId="207"/>
    <cellStyle name="Заголовки полей [печать]_1. Качество бюдж.план-я" xfId="23"/>
    <cellStyle name="Заголовки полей 2" xfId="24"/>
    <cellStyle name="Заголовки полей 3" xfId="208"/>
    <cellStyle name="Заголовки полей 4" xfId="209"/>
    <cellStyle name="Заголовки полей 5" xfId="210"/>
    <cellStyle name="Заголовки полей 6" xfId="211"/>
    <cellStyle name="Заголовки полей 7" xfId="212"/>
    <cellStyle name="Заголовки полей 8" xfId="213"/>
    <cellStyle name="Заголовки полей_1. Качество бюдж.план-я" xfId="25"/>
    <cellStyle name="Заголовок 1" xfId="26" builtinId="16" customBuiltin="1"/>
    <cellStyle name="Заголовок 1 2" xfId="214"/>
    <cellStyle name="Заголовок 1 3" xfId="215"/>
    <cellStyle name="Заголовок 1 4" xfId="216"/>
    <cellStyle name="Заголовок 2" xfId="27" builtinId="17" customBuiltin="1"/>
    <cellStyle name="Заголовок 2 2" xfId="217"/>
    <cellStyle name="Заголовок 2 3" xfId="218"/>
    <cellStyle name="Заголовок 2 4" xfId="219"/>
    <cellStyle name="Заголовок 3" xfId="28" builtinId="18" customBuiltin="1"/>
    <cellStyle name="Заголовок 3 2" xfId="220"/>
    <cellStyle name="Заголовок 3 3" xfId="221"/>
    <cellStyle name="Заголовок 3 4" xfId="222"/>
    <cellStyle name="Заголовок 4" xfId="29" builtinId="19" customBuiltin="1"/>
    <cellStyle name="Заголовок 4 2" xfId="223"/>
    <cellStyle name="Заголовок 4 3" xfId="224"/>
    <cellStyle name="Заголовок 4 4" xfId="225"/>
    <cellStyle name="Заголовок меры" xfId="30"/>
    <cellStyle name="Заголовок меры 2" xfId="31"/>
    <cellStyle name="Заголовок меры 3" xfId="226"/>
    <cellStyle name="Заголовок меры 4" xfId="227"/>
    <cellStyle name="Заголовок меры 5" xfId="228"/>
    <cellStyle name="Заголовок меры 6" xfId="229"/>
    <cellStyle name="Заголовок меры 7" xfId="230"/>
    <cellStyle name="Заголовок меры 8" xfId="231"/>
    <cellStyle name="Заголовок меры_1. Качество бюдж.план-я" xfId="32"/>
    <cellStyle name="Заголовок показателя [печать]" xfId="33"/>
    <cellStyle name="Заголовок показателя [печать] 2" xfId="34"/>
    <cellStyle name="Заголовок показателя [печать] 3" xfId="232"/>
    <cellStyle name="Заголовок показателя [печать] 4" xfId="233"/>
    <cellStyle name="Заголовок показателя [печать] 5" xfId="234"/>
    <cellStyle name="Заголовок показателя [печать] 6" xfId="235"/>
    <cellStyle name="Заголовок показателя [печать] 7" xfId="236"/>
    <cellStyle name="Заголовок показателя [печать] 8" xfId="237"/>
    <cellStyle name="Заголовок показателя [печать]_1. Качество бюдж.план-я" xfId="35"/>
    <cellStyle name="Заголовок показателя константы" xfId="36"/>
    <cellStyle name="Заголовок показателя константы 2" xfId="37"/>
    <cellStyle name="Заголовок показателя константы 3" xfId="238"/>
    <cellStyle name="Заголовок показателя константы 4" xfId="239"/>
    <cellStyle name="Заголовок показателя константы 5" xfId="240"/>
    <cellStyle name="Заголовок показателя константы 6" xfId="241"/>
    <cellStyle name="Заголовок показателя константы 7" xfId="242"/>
    <cellStyle name="Заголовок показателя константы 8" xfId="243"/>
    <cellStyle name="Заголовок показателя константы_1. Качество бюдж.план-я" xfId="38"/>
    <cellStyle name="Заголовок результата расчета" xfId="39"/>
    <cellStyle name="Заголовок результата расчета 2" xfId="40"/>
    <cellStyle name="Заголовок результата расчета 3" xfId="244"/>
    <cellStyle name="Заголовок результата расчета 4" xfId="245"/>
    <cellStyle name="Заголовок результата расчета 5" xfId="246"/>
    <cellStyle name="Заголовок результата расчета 6" xfId="247"/>
    <cellStyle name="Заголовок результата расчета 7" xfId="248"/>
    <cellStyle name="Заголовок результата расчета 8" xfId="249"/>
    <cellStyle name="Заголовок результата расчета_1. Качество бюдж.план-я" xfId="41"/>
    <cellStyle name="Заголовок свободного показателя" xfId="42"/>
    <cellStyle name="Заголовок свободного показателя 2" xfId="43"/>
    <cellStyle name="Заголовок свободного показателя 3" xfId="44"/>
    <cellStyle name="Заголовок свободного показателя 4" xfId="250"/>
    <cellStyle name="Заголовок свободного показателя 5" xfId="251"/>
    <cellStyle name="Заголовок свободного показателя 6" xfId="252"/>
    <cellStyle name="Заголовок свободного показателя 7" xfId="253"/>
    <cellStyle name="Заголовок свободного показателя 8" xfId="254"/>
    <cellStyle name="Заголовок свободного показателя_1. Качество бюдж.план-я" xfId="45"/>
    <cellStyle name="Значение фильтра" xfId="46"/>
    <cellStyle name="Значение фильтра [печать]" xfId="47"/>
    <cellStyle name="Значение фильтра [печать] 2" xfId="48"/>
    <cellStyle name="Значение фильтра [печать] 3" xfId="255"/>
    <cellStyle name="Значение фильтра [печать] 4" xfId="256"/>
    <cellStyle name="Значение фильтра [печать] 5" xfId="257"/>
    <cellStyle name="Значение фильтра [печать] 6" xfId="258"/>
    <cellStyle name="Значение фильтра [печать] 7" xfId="259"/>
    <cellStyle name="Значение фильтра [печать] 8" xfId="260"/>
    <cellStyle name="Значение фильтра [печать]_1. Качество бюдж.план-я" xfId="49"/>
    <cellStyle name="Значение фильтра 2" xfId="50"/>
    <cellStyle name="Значение фильтра 3" xfId="261"/>
    <cellStyle name="Значение фильтра 4" xfId="262"/>
    <cellStyle name="Значение фильтра 5" xfId="263"/>
    <cellStyle name="Значение фильтра 6" xfId="264"/>
    <cellStyle name="Значение фильтра 7" xfId="265"/>
    <cellStyle name="Значение фильтра 8" xfId="266"/>
    <cellStyle name="Значение фильтра_1. Качество бюдж.план-я" xfId="51"/>
    <cellStyle name="Информация о задаче" xfId="52"/>
    <cellStyle name="Информация о задаче 2" xfId="53"/>
    <cellStyle name="Информация о задаче 3" xfId="267"/>
    <cellStyle name="Информация о задаче 4" xfId="268"/>
    <cellStyle name="Информация о задаче 5" xfId="269"/>
    <cellStyle name="Информация о задаче 6" xfId="270"/>
    <cellStyle name="Информация о задаче 7" xfId="271"/>
    <cellStyle name="Информация о задаче 8" xfId="272"/>
    <cellStyle name="Информация о задаче_1. Качество бюдж.план-я" xfId="54"/>
    <cellStyle name="Итог" xfId="55" builtinId="25" customBuiltin="1"/>
    <cellStyle name="Итог 2" xfId="273"/>
    <cellStyle name="Итог 3" xfId="274"/>
    <cellStyle name="Итог 4" xfId="275"/>
    <cellStyle name="Контрольная ячейка" xfId="56" builtinId="23" customBuiltin="1"/>
    <cellStyle name="Контрольная ячейка 2" xfId="276"/>
    <cellStyle name="Контрольная ячейка 3" xfId="277"/>
    <cellStyle name="Контрольная ячейка 4" xfId="278"/>
    <cellStyle name="Название" xfId="57" builtinId="15" customBuiltin="1"/>
    <cellStyle name="Название 2" xfId="279"/>
    <cellStyle name="Название 3" xfId="280"/>
    <cellStyle name="Название 4" xfId="281"/>
    <cellStyle name="Нейтральный" xfId="58" builtinId="28" customBuiltin="1"/>
    <cellStyle name="Нейтральный 2" xfId="282"/>
    <cellStyle name="Нейтральный 3" xfId="283"/>
    <cellStyle name="Нейтральный 4" xfId="284"/>
    <cellStyle name="Обычный" xfId="0" builtinId="0" customBuiltin="1"/>
    <cellStyle name="Обычный 10" xfId="285"/>
    <cellStyle name="Обычный 16" xfId="286"/>
    <cellStyle name="Обычный 2" xfId="59"/>
    <cellStyle name="Обычный 2 10" xfId="287"/>
    <cellStyle name="Обычный 2 11" xfId="288"/>
    <cellStyle name="Обычный 2 12" xfId="289"/>
    <cellStyle name="Обычный 2 13" xfId="290"/>
    <cellStyle name="Обычный 2 14" xfId="291"/>
    <cellStyle name="Обычный 2 15" xfId="292"/>
    <cellStyle name="Обычный 2 16" xfId="293"/>
    <cellStyle name="Обычный 2 17" xfId="294"/>
    <cellStyle name="Обычный 2 18" xfId="295"/>
    <cellStyle name="Обычный 2 19" xfId="296"/>
    <cellStyle name="Обычный 2 2" xfId="60"/>
    <cellStyle name="Обычный 2 20" xfId="297"/>
    <cellStyle name="Обычный 2 21" xfId="298"/>
    <cellStyle name="Обычный 2 28" xfId="61"/>
    <cellStyle name="Обычный 2 3" xfId="299"/>
    <cellStyle name="Обычный 2 4" xfId="300"/>
    <cellStyle name="Обычный 2 5" xfId="301"/>
    <cellStyle name="Обычный 2 6" xfId="302"/>
    <cellStyle name="Обычный 2 7" xfId="303"/>
    <cellStyle name="Обычный 2 8" xfId="304"/>
    <cellStyle name="Обычный 2 9" xfId="305"/>
    <cellStyle name="Обычный 3" xfId="62"/>
    <cellStyle name="Обычный 3 2" xfId="306"/>
    <cellStyle name="Обычный 3 3" xfId="307"/>
    <cellStyle name="Обычный 3 4" xfId="308"/>
    <cellStyle name="Обычный 3 5" xfId="309"/>
    <cellStyle name="Обычный 3 6" xfId="310"/>
    <cellStyle name="Обычный 3 7" xfId="311"/>
    <cellStyle name="Обычный 3 8" xfId="312"/>
    <cellStyle name="Обычный 4" xfId="99"/>
    <cellStyle name="Обычный 4 2" xfId="313"/>
    <cellStyle name="Обычный 4 3" xfId="314"/>
    <cellStyle name="Обычный 4 4" xfId="315"/>
    <cellStyle name="Обычный 4 5" xfId="316"/>
    <cellStyle name="Обычный 5" xfId="317"/>
    <cellStyle name="Обычный 5 2" xfId="318"/>
    <cellStyle name="Обычный 5 3" xfId="319"/>
    <cellStyle name="Обычный 5 4" xfId="320"/>
    <cellStyle name="Обычный 5 5" xfId="321"/>
    <cellStyle name="Обычный 6" xfId="322"/>
    <cellStyle name="Обычный 7" xfId="323"/>
    <cellStyle name="Обычный 8" xfId="324"/>
    <cellStyle name="Обычный 9" xfId="325"/>
    <cellStyle name="Отдельная ячейка" xfId="63"/>
    <cellStyle name="Отдельная ячейка - константа" xfId="64"/>
    <cellStyle name="Отдельная ячейка - константа [печать]" xfId="65"/>
    <cellStyle name="Отдельная ячейка - константа [печать] 2" xfId="66"/>
    <cellStyle name="Отдельная ячейка - константа [печать] 3" xfId="326"/>
    <cellStyle name="Отдельная ячейка - константа [печать] 4" xfId="327"/>
    <cellStyle name="Отдельная ячейка - константа [печать] 5" xfId="328"/>
    <cellStyle name="Отдельная ячейка - константа [печать] 6" xfId="329"/>
    <cellStyle name="Отдельная ячейка - константа [печать] 7" xfId="330"/>
    <cellStyle name="Отдельная ячейка - константа [печать] 8" xfId="331"/>
    <cellStyle name="Отдельная ячейка - константа [печать]_1. Качество бюдж.план-я" xfId="67"/>
    <cellStyle name="Отдельная ячейка - константа 2" xfId="68"/>
    <cellStyle name="Отдельная ячейка - константа 3" xfId="332"/>
    <cellStyle name="Отдельная ячейка - константа 4" xfId="333"/>
    <cellStyle name="Отдельная ячейка - константа 5" xfId="334"/>
    <cellStyle name="Отдельная ячейка - константа 6" xfId="335"/>
    <cellStyle name="Отдельная ячейка - константа 7" xfId="336"/>
    <cellStyle name="Отдельная ячейка - константа 8" xfId="337"/>
    <cellStyle name="Отдельная ячейка - константа_1. Качество бюдж.план-я" xfId="69"/>
    <cellStyle name="Отдельная ячейка [печать]" xfId="70"/>
    <cellStyle name="Отдельная ячейка [печать] 2" xfId="71"/>
    <cellStyle name="Отдельная ячейка [печать] 3" xfId="338"/>
    <cellStyle name="Отдельная ячейка [печать] 4" xfId="339"/>
    <cellStyle name="Отдельная ячейка [печать] 5" xfId="340"/>
    <cellStyle name="Отдельная ячейка [печать] 6" xfId="341"/>
    <cellStyle name="Отдельная ячейка [печать] 7" xfId="342"/>
    <cellStyle name="Отдельная ячейка [печать] 8" xfId="343"/>
    <cellStyle name="Отдельная ячейка [печать]_1. Качество бюдж.план-я" xfId="72"/>
    <cellStyle name="Отдельная ячейка 2" xfId="73"/>
    <cellStyle name="Отдельная ячейка 3" xfId="344"/>
    <cellStyle name="Отдельная ячейка 4" xfId="345"/>
    <cellStyle name="Отдельная ячейка 5" xfId="346"/>
    <cellStyle name="Отдельная ячейка 6" xfId="347"/>
    <cellStyle name="Отдельная ячейка 7" xfId="348"/>
    <cellStyle name="Отдельная ячейка 8" xfId="349"/>
    <cellStyle name="Отдельная ячейка_1. Качество бюдж.план-я" xfId="74"/>
    <cellStyle name="Отдельная ячейка-результат" xfId="75"/>
    <cellStyle name="Отдельная ячейка-результат [печать]" xfId="76"/>
    <cellStyle name="Отдельная ячейка-результат [печать] 2" xfId="77"/>
    <cellStyle name="Отдельная ячейка-результат [печать] 3" xfId="350"/>
    <cellStyle name="Отдельная ячейка-результат [печать] 4" xfId="351"/>
    <cellStyle name="Отдельная ячейка-результат [печать] 5" xfId="352"/>
    <cellStyle name="Отдельная ячейка-результат [печать] 6" xfId="353"/>
    <cellStyle name="Отдельная ячейка-результат [печать] 7" xfId="354"/>
    <cellStyle name="Отдельная ячейка-результат [печать] 8" xfId="355"/>
    <cellStyle name="Отдельная ячейка-результат [печать]_1. Качество бюдж.план-я" xfId="78"/>
    <cellStyle name="Отдельная ячейка-результат 2" xfId="79"/>
    <cellStyle name="Отдельная ячейка-результат 3" xfId="356"/>
    <cellStyle name="Отдельная ячейка-результат 4" xfId="357"/>
    <cellStyle name="Отдельная ячейка-результат 5" xfId="358"/>
    <cellStyle name="Отдельная ячейка-результат 6" xfId="359"/>
    <cellStyle name="Отдельная ячейка-результат 7" xfId="360"/>
    <cellStyle name="Отдельная ячейка-результат 8" xfId="361"/>
    <cellStyle name="Отдельная ячейка-результат_1. Качество бюдж.план-я" xfId="80"/>
    <cellStyle name="Плохой" xfId="81" builtinId="27" customBuiltin="1"/>
    <cellStyle name="Плохой 2" xfId="362"/>
    <cellStyle name="Плохой 3" xfId="363"/>
    <cellStyle name="Плохой 4" xfId="364"/>
    <cellStyle name="Пояснение" xfId="82" builtinId="53" customBuiltin="1"/>
    <cellStyle name="Пояснение 2" xfId="365"/>
    <cellStyle name="Пояснение 3" xfId="366"/>
    <cellStyle name="Пояснение 4" xfId="367"/>
    <cellStyle name="Примечание" xfId="83" builtinId="10" customBuiltin="1"/>
    <cellStyle name="Примечание 2" xfId="368"/>
    <cellStyle name="Примечание 3" xfId="369"/>
    <cellStyle name="Примечание 4" xfId="370"/>
    <cellStyle name="Свойства элементов измерения" xfId="84"/>
    <cellStyle name="Свойства элементов измерения [печать]" xfId="85"/>
    <cellStyle name="Свойства элементов измерения [печать] 2" xfId="86"/>
    <cellStyle name="Свойства элементов измерения [печать] 3" xfId="371"/>
    <cellStyle name="Свойства элементов измерения [печать] 4" xfId="372"/>
    <cellStyle name="Свойства элементов измерения [печать] 5" xfId="373"/>
    <cellStyle name="Свойства элементов измерения [печать] 6" xfId="374"/>
    <cellStyle name="Свойства элементов измерения [печать] 7" xfId="375"/>
    <cellStyle name="Свойства элементов измерения [печать] 8" xfId="376"/>
    <cellStyle name="Свойства элементов измерения [печать]_1. Качество бюдж.план-я" xfId="87"/>
    <cellStyle name="Свойства элементов измерения 2" xfId="88"/>
    <cellStyle name="Свойства элементов измерения 3" xfId="377"/>
    <cellStyle name="Свойства элементов измерения 4" xfId="378"/>
    <cellStyle name="Свойства элементов измерения 5" xfId="379"/>
    <cellStyle name="Свойства элементов измерения 6" xfId="380"/>
    <cellStyle name="Свойства элементов измерения 7" xfId="381"/>
    <cellStyle name="Свойства элементов измерения 8" xfId="382"/>
    <cellStyle name="Свойства элементов измерения_1. Качество бюдж.план-я" xfId="89"/>
    <cellStyle name="Связанная ячейка" xfId="90" builtinId="24" customBuiltin="1"/>
    <cellStyle name="Связанная ячейка 2" xfId="383"/>
    <cellStyle name="Связанная ячейка 3" xfId="384"/>
    <cellStyle name="Связанная ячейка 4" xfId="385"/>
    <cellStyle name="Текст предупреждения" xfId="91" builtinId="11" customBuiltin="1"/>
    <cellStyle name="Текст предупреждения 2" xfId="386"/>
    <cellStyle name="Текст предупреждения 3" xfId="387"/>
    <cellStyle name="Текст предупреждения 4" xfId="388"/>
    <cellStyle name="Хороший" xfId="92" builtinId="26" customBuiltin="1"/>
    <cellStyle name="Хороший 2" xfId="389"/>
    <cellStyle name="Хороший 3" xfId="390"/>
    <cellStyle name="Хороший 4" xfId="391"/>
    <cellStyle name="Элементы осей" xfId="93"/>
    <cellStyle name="Элементы осей [печать]" xfId="94"/>
    <cellStyle name="Элементы осей [печать] 2" xfId="95"/>
    <cellStyle name="Элементы осей [печать] 3" xfId="392"/>
    <cellStyle name="Элементы осей [печать] 4" xfId="393"/>
    <cellStyle name="Элементы осей [печать] 5" xfId="394"/>
    <cellStyle name="Элементы осей [печать] 6" xfId="395"/>
    <cellStyle name="Элементы осей [печать] 7" xfId="396"/>
    <cellStyle name="Элементы осей [печать] 8" xfId="397"/>
    <cellStyle name="Элементы осей [печать]_1. Качество бюдж.план-я" xfId="96"/>
    <cellStyle name="Элементы осей 10" xfId="398"/>
    <cellStyle name="Элементы осей 2" xfId="97"/>
    <cellStyle name="Элементы осей 3" xfId="399"/>
    <cellStyle name="Элементы осей 4" xfId="400"/>
    <cellStyle name="Элементы осей 5" xfId="401"/>
    <cellStyle name="Элементы осей 6" xfId="402"/>
    <cellStyle name="Элементы осей 7" xfId="403"/>
    <cellStyle name="Элементы осей 8" xfId="404"/>
    <cellStyle name="Элементы осей 9" xfId="405"/>
    <cellStyle name="Элементы осей_1. Качество бюдж.план-я" xfId="98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13" Type="http://schemas.openxmlformats.org/officeDocument/2006/relationships/customProperty" Target="../customProperty12.bin"/><Relationship Id="rId18" Type="http://schemas.openxmlformats.org/officeDocument/2006/relationships/customProperty" Target="../customProperty17.bin"/><Relationship Id="rId26" Type="http://schemas.openxmlformats.org/officeDocument/2006/relationships/customProperty" Target="../customProperty25.bin"/><Relationship Id="rId3" Type="http://schemas.openxmlformats.org/officeDocument/2006/relationships/customProperty" Target="../customProperty2.bin"/><Relationship Id="rId21" Type="http://schemas.openxmlformats.org/officeDocument/2006/relationships/customProperty" Target="../customProperty20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17" Type="http://schemas.openxmlformats.org/officeDocument/2006/relationships/customProperty" Target="../customProperty16.bin"/><Relationship Id="rId25" Type="http://schemas.openxmlformats.org/officeDocument/2006/relationships/customProperty" Target="../customProperty24.bin"/><Relationship Id="rId2" Type="http://schemas.openxmlformats.org/officeDocument/2006/relationships/customProperty" Target="../customProperty1.bin"/><Relationship Id="rId16" Type="http://schemas.openxmlformats.org/officeDocument/2006/relationships/customProperty" Target="../customProperty15.bin"/><Relationship Id="rId20" Type="http://schemas.openxmlformats.org/officeDocument/2006/relationships/customProperty" Target="../customProperty19.bin"/><Relationship Id="rId29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24" Type="http://schemas.openxmlformats.org/officeDocument/2006/relationships/customProperty" Target="../customProperty23.bin"/><Relationship Id="rId5" Type="http://schemas.openxmlformats.org/officeDocument/2006/relationships/customProperty" Target="../customProperty4.bin"/><Relationship Id="rId15" Type="http://schemas.openxmlformats.org/officeDocument/2006/relationships/customProperty" Target="../customProperty14.bin"/><Relationship Id="rId23" Type="http://schemas.openxmlformats.org/officeDocument/2006/relationships/customProperty" Target="../customProperty22.bin"/><Relationship Id="rId28" Type="http://schemas.openxmlformats.org/officeDocument/2006/relationships/customProperty" Target="../customProperty27.bin"/><Relationship Id="rId10" Type="http://schemas.openxmlformats.org/officeDocument/2006/relationships/customProperty" Target="../customProperty9.bin"/><Relationship Id="rId19" Type="http://schemas.openxmlformats.org/officeDocument/2006/relationships/customProperty" Target="../customProperty18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Relationship Id="rId14" Type="http://schemas.openxmlformats.org/officeDocument/2006/relationships/customProperty" Target="../customProperty13.bin"/><Relationship Id="rId22" Type="http://schemas.openxmlformats.org/officeDocument/2006/relationships/customProperty" Target="../customProperty21.bin"/><Relationship Id="rId27" Type="http://schemas.openxmlformats.org/officeDocument/2006/relationships/customProperty" Target="../customProperty26.bin"/><Relationship Id="rId3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4.bin"/><Relationship Id="rId13" Type="http://schemas.openxmlformats.org/officeDocument/2006/relationships/customProperty" Target="../customProperty39.bin"/><Relationship Id="rId18" Type="http://schemas.openxmlformats.org/officeDocument/2006/relationships/vmlDrawing" Target="../drawings/vmlDrawing2.vml"/><Relationship Id="rId3" Type="http://schemas.openxmlformats.org/officeDocument/2006/relationships/customProperty" Target="../customProperty29.bin"/><Relationship Id="rId7" Type="http://schemas.openxmlformats.org/officeDocument/2006/relationships/customProperty" Target="../customProperty33.bin"/><Relationship Id="rId12" Type="http://schemas.openxmlformats.org/officeDocument/2006/relationships/customProperty" Target="../customProperty38.bin"/><Relationship Id="rId17" Type="http://schemas.openxmlformats.org/officeDocument/2006/relationships/customProperty" Target="../customProperty43.bin"/><Relationship Id="rId2" Type="http://schemas.openxmlformats.org/officeDocument/2006/relationships/customProperty" Target="../customProperty28.bin"/><Relationship Id="rId16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32.bin"/><Relationship Id="rId11" Type="http://schemas.openxmlformats.org/officeDocument/2006/relationships/customProperty" Target="../customProperty37.bin"/><Relationship Id="rId5" Type="http://schemas.openxmlformats.org/officeDocument/2006/relationships/customProperty" Target="../customProperty31.bin"/><Relationship Id="rId15" Type="http://schemas.openxmlformats.org/officeDocument/2006/relationships/customProperty" Target="../customProperty41.bin"/><Relationship Id="rId10" Type="http://schemas.openxmlformats.org/officeDocument/2006/relationships/customProperty" Target="../customProperty36.bin"/><Relationship Id="rId19" Type="http://schemas.openxmlformats.org/officeDocument/2006/relationships/comments" Target="../comments2.xml"/><Relationship Id="rId4" Type="http://schemas.openxmlformats.org/officeDocument/2006/relationships/customProperty" Target="../customProperty30.bin"/><Relationship Id="rId9" Type="http://schemas.openxmlformats.org/officeDocument/2006/relationships/customProperty" Target="../customProperty35.bin"/><Relationship Id="rId14" Type="http://schemas.openxmlformats.org/officeDocument/2006/relationships/customProperty" Target="../customProperty4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0.bin"/><Relationship Id="rId13" Type="http://schemas.openxmlformats.org/officeDocument/2006/relationships/customProperty" Target="../customProperty55.bin"/><Relationship Id="rId3" Type="http://schemas.openxmlformats.org/officeDocument/2006/relationships/customProperty" Target="../customProperty45.bin"/><Relationship Id="rId7" Type="http://schemas.openxmlformats.org/officeDocument/2006/relationships/customProperty" Target="../customProperty49.bin"/><Relationship Id="rId12" Type="http://schemas.openxmlformats.org/officeDocument/2006/relationships/customProperty" Target="../customProperty54.bin"/><Relationship Id="rId17" Type="http://schemas.openxmlformats.org/officeDocument/2006/relationships/comments" Target="../comments3.xml"/><Relationship Id="rId2" Type="http://schemas.openxmlformats.org/officeDocument/2006/relationships/customProperty" Target="../customProperty44.bin"/><Relationship Id="rId16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48.bin"/><Relationship Id="rId11" Type="http://schemas.openxmlformats.org/officeDocument/2006/relationships/customProperty" Target="../customProperty53.bin"/><Relationship Id="rId5" Type="http://schemas.openxmlformats.org/officeDocument/2006/relationships/customProperty" Target="../customProperty47.bin"/><Relationship Id="rId15" Type="http://schemas.openxmlformats.org/officeDocument/2006/relationships/customProperty" Target="../customProperty57.bin"/><Relationship Id="rId10" Type="http://schemas.openxmlformats.org/officeDocument/2006/relationships/customProperty" Target="../customProperty52.bin"/><Relationship Id="rId4" Type="http://schemas.openxmlformats.org/officeDocument/2006/relationships/customProperty" Target="../customProperty46.bin"/><Relationship Id="rId9" Type="http://schemas.openxmlformats.org/officeDocument/2006/relationships/customProperty" Target="../customProperty51.bin"/><Relationship Id="rId14" Type="http://schemas.openxmlformats.org/officeDocument/2006/relationships/customProperty" Target="../customProperty5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4.bin"/><Relationship Id="rId13" Type="http://schemas.openxmlformats.org/officeDocument/2006/relationships/customProperty" Target="../customProperty69.bin"/><Relationship Id="rId18" Type="http://schemas.openxmlformats.org/officeDocument/2006/relationships/comments" Target="../comments4.xml"/><Relationship Id="rId3" Type="http://schemas.openxmlformats.org/officeDocument/2006/relationships/customProperty" Target="../customProperty59.bin"/><Relationship Id="rId7" Type="http://schemas.openxmlformats.org/officeDocument/2006/relationships/customProperty" Target="../customProperty63.bin"/><Relationship Id="rId12" Type="http://schemas.openxmlformats.org/officeDocument/2006/relationships/customProperty" Target="../customProperty68.bin"/><Relationship Id="rId17" Type="http://schemas.openxmlformats.org/officeDocument/2006/relationships/vmlDrawing" Target="../drawings/vmlDrawing4.vml"/><Relationship Id="rId2" Type="http://schemas.openxmlformats.org/officeDocument/2006/relationships/customProperty" Target="../customProperty58.bin"/><Relationship Id="rId16" Type="http://schemas.openxmlformats.org/officeDocument/2006/relationships/customProperty" Target="../customProperty72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62.bin"/><Relationship Id="rId11" Type="http://schemas.openxmlformats.org/officeDocument/2006/relationships/customProperty" Target="../customProperty67.bin"/><Relationship Id="rId5" Type="http://schemas.openxmlformats.org/officeDocument/2006/relationships/customProperty" Target="../customProperty61.bin"/><Relationship Id="rId15" Type="http://schemas.openxmlformats.org/officeDocument/2006/relationships/customProperty" Target="../customProperty71.bin"/><Relationship Id="rId10" Type="http://schemas.openxmlformats.org/officeDocument/2006/relationships/customProperty" Target="../customProperty66.bin"/><Relationship Id="rId4" Type="http://schemas.openxmlformats.org/officeDocument/2006/relationships/customProperty" Target="../customProperty60.bin"/><Relationship Id="rId9" Type="http://schemas.openxmlformats.org/officeDocument/2006/relationships/customProperty" Target="../customProperty65.bin"/><Relationship Id="rId14" Type="http://schemas.openxmlformats.org/officeDocument/2006/relationships/customProperty" Target="../customProperty7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9.bin"/><Relationship Id="rId13" Type="http://schemas.openxmlformats.org/officeDocument/2006/relationships/customProperty" Target="../customProperty84.bin"/><Relationship Id="rId3" Type="http://schemas.openxmlformats.org/officeDocument/2006/relationships/customProperty" Target="../customProperty74.bin"/><Relationship Id="rId7" Type="http://schemas.openxmlformats.org/officeDocument/2006/relationships/customProperty" Target="../customProperty78.bin"/><Relationship Id="rId12" Type="http://schemas.openxmlformats.org/officeDocument/2006/relationships/customProperty" Target="../customProperty83.bin"/><Relationship Id="rId2" Type="http://schemas.openxmlformats.org/officeDocument/2006/relationships/customProperty" Target="../customProperty73.bin"/><Relationship Id="rId16" Type="http://schemas.openxmlformats.org/officeDocument/2006/relationships/comments" Target="../comments5.xml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77.bin"/><Relationship Id="rId11" Type="http://schemas.openxmlformats.org/officeDocument/2006/relationships/customProperty" Target="../customProperty82.bin"/><Relationship Id="rId5" Type="http://schemas.openxmlformats.org/officeDocument/2006/relationships/customProperty" Target="../customProperty76.bin"/><Relationship Id="rId15" Type="http://schemas.openxmlformats.org/officeDocument/2006/relationships/vmlDrawing" Target="../drawings/vmlDrawing5.vml"/><Relationship Id="rId10" Type="http://schemas.openxmlformats.org/officeDocument/2006/relationships/customProperty" Target="../customProperty81.bin"/><Relationship Id="rId4" Type="http://schemas.openxmlformats.org/officeDocument/2006/relationships/customProperty" Target="../customProperty75.bin"/><Relationship Id="rId9" Type="http://schemas.openxmlformats.org/officeDocument/2006/relationships/customProperty" Target="../customProperty80.bin"/><Relationship Id="rId14" Type="http://schemas.openxmlformats.org/officeDocument/2006/relationships/customProperty" Target="../customProperty8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92.bin"/><Relationship Id="rId13" Type="http://schemas.openxmlformats.org/officeDocument/2006/relationships/customProperty" Target="../customProperty97.bin"/><Relationship Id="rId3" Type="http://schemas.openxmlformats.org/officeDocument/2006/relationships/customProperty" Target="../customProperty87.bin"/><Relationship Id="rId7" Type="http://schemas.openxmlformats.org/officeDocument/2006/relationships/customProperty" Target="../customProperty91.bin"/><Relationship Id="rId12" Type="http://schemas.openxmlformats.org/officeDocument/2006/relationships/customProperty" Target="../customProperty96.bin"/><Relationship Id="rId2" Type="http://schemas.openxmlformats.org/officeDocument/2006/relationships/customProperty" Target="../customProperty86.bin"/><Relationship Id="rId16" Type="http://schemas.openxmlformats.org/officeDocument/2006/relationships/comments" Target="../comments6.xml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90.bin"/><Relationship Id="rId11" Type="http://schemas.openxmlformats.org/officeDocument/2006/relationships/customProperty" Target="../customProperty95.bin"/><Relationship Id="rId5" Type="http://schemas.openxmlformats.org/officeDocument/2006/relationships/customProperty" Target="../customProperty89.bin"/><Relationship Id="rId15" Type="http://schemas.openxmlformats.org/officeDocument/2006/relationships/vmlDrawing" Target="../drawings/vmlDrawing6.vml"/><Relationship Id="rId10" Type="http://schemas.openxmlformats.org/officeDocument/2006/relationships/customProperty" Target="../customProperty94.bin"/><Relationship Id="rId4" Type="http://schemas.openxmlformats.org/officeDocument/2006/relationships/customProperty" Target="../customProperty88.bin"/><Relationship Id="rId9" Type="http://schemas.openxmlformats.org/officeDocument/2006/relationships/customProperty" Target="../customProperty93.bin"/><Relationship Id="rId14" Type="http://schemas.openxmlformats.org/officeDocument/2006/relationships/customProperty" Target="../customProperty9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05.bin"/><Relationship Id="rId13" Type="http://schemas.openxmlformats.org/officeDocument/2006/relationships/customProperty" Target="../customProperty110.bin"/><Relationship Id="rId18" Type="http://schemas.openxmlformats.org/officeDocument/2006/relationships/customProperty" Target="../customProperty115.bin"/><Relationship Id="rId3" Type="http://schemas.openxmlformats.org/officeDocument/2006/relationships/customProperty" Target="../customProperty100.bin"/><Relationship Id="rId7" Type="http://schemas.openxmlformats.org/officeDocument/2006/relationships/customProperty" Target="../customProperty104.bin"/><Relationship Id="rId12" Type="http://schemas.openxmlformats.org/officeDocument/2006/relationships/customProperty" Target="../customProperty109.bin"/><Relationship Id="rId17" Type="http://schemas.openxmlformats.org/officeDocument/2006/relationships/customProperty" Target="../customProperty114.bin"/><Relationship Id="rId2" Type="http://schemas.openxmlformats.org/officeDocument/2006/relationships/customProperty" Target="../customProperty99.bin"/><Relationship Id="rId16" Type="http://schemas.openxmlformats.org/officeDocument/2006/relationships/customProperty" Target="../customProperty113.bin"/><Relationship Id="rId20" Type="http://schemas.openxmlformats.org/officeDocument/2006/relationships/comments" Target="../comments7.xml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103.bin"/><Relationship Id="rId11" Type="http://schemas.openxmlformats.org/officeDocument/2006/relationships/customProperty" Target="../customProperty108.bin"/><Relationship Id="rId5" Type="http://schemas.openxmlformats.org/officeDocument/2006/relationships/customProperty" Target="../customProperty102.bin"/><Relationship Id="rId15" Type="http://schemas.openxmlformats.org/officeDocument/2006/relationships/customProperty" Target="../customProperty112.bin"/><Relationship Id="rId10" Type="http://schemas.openxmlformats.org/officeDocument/2006/relationships/customProperty" Target="../customProperty107.bin"/><Relationship Id="rId19" Type="http://schemas.openxmlformats.org/officeDocument/2006/relationships/vmlDrawing" Target="../drawings/vmlDrawing7.vml"/><Relationship Id="rId4" Type="http://schemas.openxmlformats.org/officeDocument/2006/relationships/customProperty" Target="../customProperty101.bin"/><Relationship Id="rId9" Type="http://schemas.openxmlformats.org/officeDocument/2006/relationships/customProperty" Target="../customProperty106.bin"/><Relationship Id="rId14" Type="http://schemas.openxmlformats.org/officeDocument/2006/relationships/customProperty" Target="../customProperty11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22.bin"/><Relationship Id="rId13" Type="http://schemas.openxmlformats.org/officeDocument/2006/relationships/comments" Target="../comments8.xml"/><Relationship Id="rId3" Type="http://schemas.openxmlformats.org/officeDocument/2006/relationships/customProperty" Target="../customProperty117.bin"/><Relationship Id="rId7" Type="http://schemas.openxmlformats.org/officeDocument/2006/relationships/customProperty" Target="../customProperty121.bin"/><Relationship Id="rId12" Type="http://schemas.openxmlformats.org/officeDocument/2006/relationships/vmlDrawing" Target="../drawings/vmlDrawing8.vml"/><Relationship Id="rId2" Type="http://schemas.openxmlformats.org/officeDocument/2006/relationships/customProperty" Target="../customProperty116.bin"/><Relationship Id="rId1" Type="http://schemas.openxmlformats.org/officeDocument/2006/relationships/printerSettings" Target="../printerSettings/printerSettings8.bin"/><Relationship Id="rId6" Type="http://schemas.openxmlformats.org/officeDocument/2006/relationships/customProperty" Target="../customProperty120.bin"/><Relationship Id="rId11" Type="http://schemas.openxmlformats.org/officeDocument/2006/relationships/customProperty" Target="../customProperty125.bin"/><Relationship Id="rId5" Type="http://schemas.openxmlformats.org/officeDocument/2006/relationships/customProperty" Target="../customProperty119.bin"/><Relationship Id="rId10" Type="http://schemas.openxmlformats.org/officeDocument/2006/relationships/customProperty" Target="../customProperty124.bin"/><Relationship Id="rId4" Type="http://schemas.openxmlformats.org/officeDocument/2006/relationships/customProperty" Target="../customProperty118.bin"/><Relationship Id="rId9" Type="http://schemas.openxmlformats.org/officeDocument/2006/relationships/customProperty" Target="../customProperty12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32.bin"/><Relationship Id="rId13" Type="http://schemas.openxmlformats.org/officeDocument/2006/relationships/comments" Target="../comments9.xml"/><Relationship Id="rId3" Type="http://schemas.openxmlformats.org/officeDocument/2006/relationships/customProperty" Target="../customProperty127.bin"/><Relationship Id="rId7" Type="http://schemas.openxmlformats.org/officeDocument/2006/relationships/customProperty" Target="../customProperty131.bin"/><Relationship Id="rId12" Type="http://schemas.openxmlformats.org/officeDocument/2006/relationships/vmlDrawing" Target="../drawings/vmlDrawing9.vml"/><Relationship Id="rId2" Type="http://schemas.openxmlformats.org/officeDocument/2006/relationships/customProperty" Target="../customProperty126.bin"/><Relationship Id="rId1" Type="http://schemas.openxmlformats.org/officeDocument/2006/relationships/printerSettings" Target="../printerSettings/printerSettings9.bin"/><Relationship Id="rId6" Type="http://schemas.openxmlformats.org/officeDocument/2006/relationships/customProperty" Target="../customProperty130.bin"/><Relationship Id="rId11" Type="http://schemas.openxmlformats.org/officeDocument/2006/relationships/customProperty" Target="../customProperty135.bin"/><Relationship Id="rId5" Type="http://schemas.openxmlformats.org/officeDocument/2006/relationships/customProperty" Target="../customProperty129.bin"/><Relationship Id="rId10" Type="http://schemas.openxmlformats.org/officeDocument/2006/relationships/customProperty" Target="../customProperty134.bin"/><Relationship Id="rId4" Type="http://schemas.openxmlformats.org/officeDocument/2006/relationships/customProperty" Target="../customProperty128.bin"/><Relationship Id="rId9" Type="http://schemas.openxmlformats.org/officeDocument/2006/relationships/customProperty" Target="../customProperty13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9">
    <tabColor rgb="FFFFC000"/>
    <pageSetUpPr fitToPage="1"/>
  </sheetPr>
  <dimension ref="A1:DN66"/>
  <sheetViews>
    <sheetView view="pageBreakPreview" zoomScale="80" zoomScaleNormal="75" zoomScaleSheetLayoutView="80" workbookViewId="0">
      <selection activeCell="DL20" sqref="DL20"/>
    </sheetView>
  </sheetViews>
  <sheetFormatPr defaultRowHeight="12.75" outlineLevelRow="1" x14ac:dyDescent="0.2"/>
  <cols>
    <col min="1" max="1" width="6.28515625" customWidth="1"/>
    <col min="2" max="2" width="44" style="50" customWidth="1"/>
    <col min="3" max="3" width="12.7109375" customWidth="1"/>
    <col min="4" max="4" width="16.7109375" customWidth="1"/>
    <col min="5" max="5" width="14.28515625" bestFit="1" customWidth="1"/>
    <col min="6" max="6" width="12.28515625" customWidth="1"/>
    <col min="7" max="7" width="12.140625" customWidth="1"/>
    <col min="8" max="8" width="14.7109375" customWidth="1"/>
    <col min="9" max="9" width="15.5703125" customWidth="1"/>
    <col min="10" max="10" width="12.28515625" bestFit="1" customWidth="1"/>
    <col min="11" max="11" width="13.42578125" customWidth="1"/>
    <col min="12" max="12" width="12.5703125" customWidth="1"/>
    <col min="13" max="13" width="11.7109375" customWidth="1"/>
    <col min="14" max="16" width="14.28515625" customWidth="1"/>
    <col min="17" max="17" width="11.7109375" customWidth="1"/>
    <col min="18" max="18" width="11.42578125" customWidth="1"/>
    <col min="19" max="19" width="13" customWidth="1"/>
    <col min="20" max="20" width="12.85546875" customWidth="1"/>
    <col min="21" max="21" width="15.5703125" customWidth="1"/>
    <col min="22" max="22" width="13.28515625" customWidth="1"/>
    <col min="23" max="23" width="13.140625" customWidth="1"/>
    <col min="24" max="24" width="12.140625" customWidth="1"/>
    <col min="25" max="25" width="11.85546875" customWidth="1"/>
    <col min="26" max="26" width="13.85546875" customWidth="1"/>
    <col min="27" max="27" width="16.7109375" customWidth="1"/>
    <col min="28" max="28" width="12.5703125" customWidth="1"/>
    <col min="29" max="29" width="11.5703125" customWidth="1"/>
    <col min="30" max="30" width="11.85546875" customWidth="1"/>
    <col min="31" max="31" width="13.140625" customWidth="1"/>
    <col min="32" max="32" width="12.42578125" customWidth="1"/>
    <col min="33" max="33" width="14.42578125" customWidth="1"/>
    <col min="34" max="34" width="12.28515625" bestFit="1" customWidth="1"/>
    <col min="35" max="36" width="12.7109375" customWidth="1"/>
    <col min="37" max="38" width="13" customWidth="1"/>
    <col min="39" max="39" width="14.5703125" customWidth="1"/>
    <col min="40" max="40" width="14.7109375" customWidth="1"/>
    <col min="41" max="41" width="14.28515625" customWidth="1"/>
    <col min="42" max="44" width="12.42578125" customWidth="1"/>
    <col min="45" max="45" width="13.7109375" customWidth="1"/>
    <col min="46" max="46" width="12.5703125" customWidth="1"/>
    <col min="47" max="47" width="13.28515625" customWidth="1"/>
    <col min="48" max="48" width="11.5703125" customWidth="1"/>
    <col min="49" max="49" width="11.42578125" customWidth="1"/>
    <col min="50" max="50" width="12.5703125" customWidth="1"/>
    <col min="51" max="51" width="13.28515625" customWidth="1"/>
    <col min="52" max="52" width="14.5703125" customWidth="1"/>
    <col min="53" max="53" width="11.42578125" customWidth="1"/>
    <col min="54" max="54" width="14" style="6" customWidth="1"/>
    <col min="55" max="55" width="13.5703125" customWidth="1"/>
    <col min="56" max="56" width="15.42578125" customWidth="1"/>
    <col min="57" max="57" width="14" customWidth="1"/>
    <col min="58" max="58" width="15.42578125" customWidth="1"/>
    <col min="59" max="59" width="13.7109375" customWidth="1"/>
    <col min="60" max="60" width="13.140625" customWidth="1"/>
    <col min="61" max="61" width="14.28515625" customWidth="1"/>
    <col min="62" max="62" width="15.42578125" customWidth="1"/>
    <col min="63" max="63" width="15.28515625" customWidth="1"/>
    <col min="64" max="64" width="14.28515625" customWidth="1"/>
    <col min="65" max="65" width="16.140625" customWidth="1"/>
    <col min="66" max="66" width="14.7109375" customWidth="1"/>
    <col min="67" max="67" width="14.85546875" customWidth="1"/>
    <col min="68" max="68" width="15.140625" customWidth="1"/>
    <col min="69" max="69" width="14.42578125" customWidth="1"/>
    <col min="70" max="70" width="14.7109375" customWidth="1"/>
    <col min="71" max="71" width="13.5703125" customWidth="1"/>
    <col min="72" max="72" width="13.140625" customWidth="1"/>
    <col min="73" max="73" width="14.28515625" customWidth="1"/>
    <col min="74" max="74" width="15.140625" customWidth="1"/>
    <col min="75" max="75" width="13" customWidth="1"/>
    <col min="76" max="76" width="15.140625" customWidth="1"/>
    <col min="77" max="77" width="14" customWidth="1"/>
    <col min="78" max="80" width="13.28515625" customWidth="1"/>
    <col min="81" max="81" width="15" customWidth="1"/>
    <col min="82" max="82" width="15.140625" customWidth="1"/>
    <col min="83" max="83" width="15" customWidth="1"/>
    <col min="84" max="85" width="13.42578125" customWidth="1"/>
    <col min="86" max="86" width="14" customWidth="1"/>
    <col min="87" max="87" width="14.42578125" customWidth="1"/>
    <col min="88" max="88" width="14.140625" customWidth="1"/>
    <col min="89" max="90" width="13.5703125" customWidth="1"/>
    <col min="91" max="91" width="14.85546875" customWidth="1"/>
    <col min="92" max="92" width="14.28515625" customWidth="1"/>
    <col min="93" max="93" width="13.5703125" customWidth="1"/>
    <col min="94" max="94" width="14.7109375" customWidth="1"/>
    <col min="95" max="95" width="11.42578125" customWidth="1"/>
    <col min="96" max="96" width="12" customWidth="1"/>
    <col min="97" max="97" width="12.140625" customWidth="1"/>
    <col min="98" max="98" width="12.5703125" customWidth="1"/>
    <col min="99" max="100" width="12.85546875" customWidth="1"/>
    <col min="101" max="101" width="11.85546875" customWidth="1"/>
    <col min="102" max="102" width="12.140625" customWidth="1"/>
    <col min="103" max="103" width="14" customWidth="1"/>
    <col min="104" max="104" width="13" customWidth="1"/>
    <col min="105" max="105" width="13.5703125" customWidth="1"/>
    <col min="106" max="106" width="12.7109375" customWidth="1"/>
    <col min="109" max="109" width="10.28515625" bestFit="1" customWidth="1"/>
    <col min="112" max="112" width="10.28515625" bestFit="1" customWidth="1"/>
    <col min="115" max="115" width="10.28515625" bestFit="1" customWidth="1"/>
    <col min="117" max="117" width="14.140625" customWidth="1"/>
    <col min="118" max="118" width="10.28515625" bestFit="1" customWidth="1"/>
    <col min="121" max="121" width="10.28515625" bestFit="1" customWidth="1"/>
    <col min="124" max="124" width="12.85546875" customWidth="1"/>
    <col min="127" max="127" width="10.28515625" bestFit="1" customWidth="1"/>
    <col min="130" max="130" width="10.28515625" bestFit="1" customWidth="1"/>
    <col min="133" max="133" width="10.28515625" bestFit="1" customWidth="1"/>
    <col min="136" max="136" width="10.28515625" bestFit="1" customWidth="1"/>
    <col min="139" max="139" width="10.28515625" bestFit="1" customWidth="1"/>
    <col min="142" max="142" width="10.28515625" bestFit="1" customWidth="1"/>
    <col min="145" max="145" width="10.28515625" bestFit="1" customWidth="1"/>
    <col min="148" max="148" width="10.28515625" bestFit="1" customWidth="1"/>
    <col min="151" max="151" width="10.28515625" bestFit="1" customWidth="1"/>
    <col min="154" max="154" width="10.28515625" bestFit="1" customWidth="1"/>
    <col min="157" max="157" width="10.28515625" bestFit="1" customWidth="1"/>
    <col min="160" max="160" width="10.28515625" bestFit="1" customWidth="1"/>
    <col min="163" max="163" width="10.28515625" bestFit="1" customWidth="1"/>
    <col min="166" max="166" width="10.28515625" bestFit="1" customWidth="1"/>
    <col min="169" max="169" width="10.28515625" bestFit="1" customWidth="1"/>
    <col min="172" max="172" width="10.28515625" bestFit="1" customWidth="1"/>
    <col min="175" max="175" width="10.28515625" bestFit="1" customWidth="1"/>
    <col min="178" max="178" width="10.28515625" bestFit="1" customWidth="1"/>
    <col min="181" max="181" width="10.28515625" bestFit="1" customWidth="1"/>
    <col min="184" max="184" width="10.28515625" bestFit="1" customWidth="1"/>
    <col min="187" max="187" width="10.28515625" bestFit="1" customWidth="1"/>
    <col min="190" max="190" width="10.28515625" bestFit="1" customWidth="1"/>
    <col min="193" max="193" width="10.28515625" bestFit="1" customWidth="1"/>
    <col min="196" max="196" width="10.28515625" bestFit="1" customWidth="1"/>
    <col min="199" max="199" width="10.28515625" bestFit="1" customWidth="1"/>
    <col min="202" max="202" width="10.28515625" bestFit="1" customWidth="1"/>
    <col min="205" max="205" width="10.28515625" bestFit="1" customWidth="1"/>
    <col min="208" max="208" width="10.28515625" bestFit="1" customWidth="1"/>
    <col min="211" max="211" width="10.28515625" bestFit="1" customWidth="1"/>
    <col min="214" max="214" width="10.28515625" bestFit="1" customWidth="1"/>
    <col min="217" max="217" width="10.28515625" bestFit="1" customWidth="1"/>
    <col min="220" max="220" width="10.28515625" bestFit="1" customWidth="1"/>
    <col min="223" max="223" width="10.28515625" bestFit="1" customWidth="1"/>
    <col min="226" max="226" width="10.28515625" bestFit="1" customWidth="1"/>
    <col min="229" max="229" width="10.28515625" bestFit="1" customWidth="1"/>
    <col min="232" max="232" width="10.28515625" bestFit="1" customWidth="1"/>
    <col min="235" max="235" width="10.28515625" bestFit="1" customWidth="1"/>
  </cols>
  <sheetData>
    <row r="1" spans="1:54" ht="29.25" customHeight="1" x14ac:dyDescent="0.2">
      <c r="A1" s="78" t="s">
        <v>53</v>
      </c>
      <c r="B1" s="79"/>
      <c r="C1" s="79"/>
      <c r="D1" s="79"/>
      <c r="E1" s="79"/>
      <c r="BB1" s="8"/>
    </row>
    <row r="2" spans="1:54" x14ac:dyDescent="0.2">
      <c r="BB2" s="8"/>
    </row>
    <row r="3" spans="1:54" outlineLevel="1" x14ac:dyDescent="0.2">
      <c r="A3" s="2" t="s">
        <v>14</v>
      </c>
      <c r="B3" s="51"/>
      <c r="C3" s="2"/>
      <c r="D3" s="2"/>
      <c r="E3" s="2"/>
      <c r="F3" s="2"/>
      <c r="G3" s="2"/>
      <c r="H3" s="2"/>
      <c r="BB3" s="8"/>
    </row>
    <row r="4" spans="1:54" outlineLevel="1" x14ac:dyDescent="0.2">
      <c r="A4" s="2" t="s">
        <v>62</v>
      </c>
      <c r="B4" s="51"/>
      <c r="C4" s="2"/>
      <c r="D4" s="2"/>
      <c r="E4" s="2"/>
      <c r="F4" s="2"/>
      <c r="G4" s="2"/>
      <c r="H4" s="2"/>
      <c r="BB4" s="8"/>
    </row>
    <row r="5" spans="1:54" outlineLevel="1" x14ac:dyDescent="0.2">
      <c r="A5" s="2" t="s">
        <v>1</v>
      </c>
      <c r="B5" s="51"/>
      <c r="C5" s="2"/>
      <c r="D5" s="2"/>
      <c r="E5" s="2"/>
      <c r="F5" s="2"/>
      <c r="G5" s="2"/>
      <c r="H5" s="2"/>
      <c r="BB5" s="8"/>
    </row>
    <row r="6" spans="1:54" outlineLevel="1" x14ac:dyDescent="0.2">
      <c r="A6" s="2" t="s">
        <v>63</v>
      </c>
      <c r="B6" s="51"/>
      <c r="C6" s="2"/>
      <c r="D6" s="2"/>
      <c r="E6" s="2"/>
      <c r="F6" s="2"/>
      <c r="G6" s="2"/>
      <c r="H6" s="2"/>
      <c r="BB6" s="8"/>
    </row>
    <row r="7" spans="1:54" ht="21.75" customHeight="1" outlineLevel="1" thickBot="1" x14ac:dyDescent="0.25">
      <c r="A7" s="53" t="s">
        <v>2</v>
      </c>
      <c r="B7" s="5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BB7" s="8"/>
    </row>
    <row r="8" spans="1:54" ht="32.25" customHeight="1" outlineLevel="1" thickBot="1" x14ac:dyDescent="0.25">
      <c r="A8" s="5">
        <v>5</v>
      </c>
      <c r="B8" s="70" t="s">
        <v>68</v>
      </c>
      <c r="C8" s="71"/>
      <c r="D8" s="71"/>
      <c r="E8" s="71"/>
      <c r="F8" s="71"/>
      <c r="G8" s="71"/>
      <c r="H8" s="71"/>
      <c r="I8" s="73"/>
      <c r="J8" s="73"/>
      <c r="K8" s="73"/>
      <c r="L8" s="73"/>
      <c r="M8" s="73"/>
      <c r="BB8" s="8"/>
    </row>
    <row r="9" spans="1:54" ht="27" customHeight="1" outlineLevel="1" thickBot="1" x14ac:dyDescent="0.25">
      <c r="A9" s="5">
        <v>5</v>
      </c>
      <c r="B9" s="70" t="s">
        <v>55</v>
      </c>
      <c r="C9" s="71"/>
      <c r="D9" s="71"/>
      <c r="E9" s="71"/>
      <c r="F9" s="72"/>
      <c r="G9" s="72"/>
      <c r="H9" s="72"/>
      <c r="I9" s="73"/>
      <c r="J9" s="73"/>
      <c r="K9" s="73"/>
      <c r="L9" s="73"/>
      <c r="M9" s="73"/>
      <c r="BB9" s="8"/>
    </row>
    <row r="10" spans="1:54" ht="27.75" customHeight="1" outlineLevel="1" thickBot="1" x14ac:dyDescent="0.25">
      <c r="A10" s="5">
        <v>4</v>
      </c>
      <c r="B10" s="70" t="s">
        <v>94</v>
      </c>
      <c r="C10" s="71"/>
      <c r="D10" s="71"/>
      <c r="E10" s="71"/>
      <c r="F10" s="72"/>
      <c r="G10" s="72"/>
      <c r="H10" s="72"/>
      <c r="I10" s="73"/>
      <c r="J10" s="73"/>
      <c r="K10" s="73"/>
      <c r="L10" s="73"/>
      <c r="M10" s="73"/>
      <c r="BB10" s="8"/>
    </row>
    <row r="11" spans="1:54" ht="27.75" customHeight="1" outlineLevel="1" thickBot="1" x14ac:dyDescent="0.25">
      <c r="A11" s="5">
        <v>7</v>
      </c>
      <c r="B11" s="70" t="s">
        <v>56</v>
      </c>
      <c r="C11" s="71"/>
      <c r="D11" s="71"/>
      <c r="E11" s="71"/>
      <c r="F11" s="72"/>
      <c r="G11" s="72"/>
      <c r="H11" s="72"/>
      <c r="I11" s="73"/>
      <c r="J11" s="73"/>
      <c r="K11" s="73"/>
      <c r="L11" s="73"/>
      <c r="M11" s="73"/>
      <c r="BB11" s="8"/>
    </row>
    <row r="12" spans="1:54" ht="28.5" customHeight="1" outlineLevel="1" thickBot="1" x14ac:dyDescent="0.25">
      <c r="A12" s="5">
        <v>7</v>
      </c>
      <c r="B12" s="70" t="s">
        <v>57</v>
      </c>
      <c r="C12" s="71"/>
      <c r="D12" s="71"/>
      <c r="E12" s="71"/>
      <c r="F12" s="72"/>
      <c r="G12" s="72"/>
      <c r="H12" s="72"/>
      <c r="I12" s="73"/>
      <c r="J12" s="73"/>
      <c r="K12" s="73"/>
      <c r="L12" s="73"/>
      <c r="M12" s="73"/>
      <c r="BB12" s="8"/>
    </row>
    <row r="13" spans="1:54" ht="26.25" customHeight="1" outlineLevel="1" thickBot="1" x14ac:dyDescent="0.25">
      <c r="A13" s="5">
        <v>7</v>
      </c>
      <c r="B13" s="70" t="s">
        <v>58</v>
      </c>
      <c r="C13" s="71"/>
      <c r="D13" s="71"/>
      <c r="E13" s="71"/>
      <c r="F13" s="72"/>
      <c r="G13" s="72"/>
      <c r="H13" s="72"/>
      <c r="I13" s="73"/>
      <c r="J13" s="73"/>
      <c r="K13" s="73"/>
      <c r="L13" s="73"/>
      <c r="M13" s="73"/>
      <c r="BB13" s="8"/>
    </row>
    <row r="14" spans="1:54" ht="26.25" customHeight="1" outlineLevel="1" thickBot="1" x14ac:dyDescent="0.25">
      <c r="A14" s="5">
        <v>7</v>
      </c>
      <c r="B14" s="70" t="s">
        <v>54</v>
      </c>
      <c r="C14" s="71"/>
      <c r="D14" s="71"/>
      <c r="E14" s="71"/>
      <c r="F14" s="72"/>
      <c r="G14" s="72"/>
      <c r="H14" s="72"/>
      <c r="I14" s="73"/>
      <c r="J14" s="73"/>
      <c r="K14" s="73"/>
      <c r="L14" s="73"/>
      <c r="M14" s="73"/>
      <c r="BB14" s="8"/>
    </row>
    <row r="15" spans="1:54" ht="26.25" customHeight="1" outlineLevel="1" thickBot="1" x14ac:dyDescent="0.25">
      <c r="A15" s="5">
        <v>7</v>
      </c>
      <c r="B15" s="70" t="s">
        <v>59</v>
      </c>
      <c r="C15" s="71"/>
      <c r="D15" s="71"/>
      <c r="E15" s="71"/>
      <c r="F15" s="72"/>
      <c r="G15" s="72"/>
      <c r="H15" s="72"/>
      <c r="I15" s="73"/>
      <c r="J15" s="73"/>
      <c r="K15" s="73"/>
      <c r="L15" s="73"/>
      <c r="M15" s="73"/>
      <c r="BB15" s="8"/>
    </row>
    <row r="16" spans="1:54" ht="26.25" customHeight="1" outlineLevel="1" thickBot="1" x14ac:dyDescent="0.25">
      <c r="A16" s="5">
        <v>7</v>
      </c>
      <c r="B16" s="70" t="s">
        <v>99</v>
      </c>
      <c r="C16" s="71"/>
      <c r="D16" s="71"/>
      <c r="E16" s="71"/>
      <c r="F16" s="72"/>
      <c r="G16" s="72"/>
      <c r="H16" s="72"/>
      <c r="I16" s="73"/>
      <c r="J16" s="73"/>
      <c r="K16" s="73"/>
      <c r="L16" s="73"/>
      <c r="M16" s="73"/>
      <c r="BB16" s="8"/>
    </row>
    <row r="17" spans="1:118" ht="26.25" customHeight="1" outlineLevel="1" thickBot="1" x14ac:dyDescent="0.25">
      <c r="A17" s="5">
        <v>6</v>
      </c>
      <c r="B17" s="70" t="s">
        <v>60</v>
      </c>
      <c r="C17" s="71"/>
      <c r="D17" s="71"/>
      <c r="E17" s="71"/>
      <c r="F17" s="72"/>
      <c r="G17" s="72"/>
      <c r="H17" s="72"/>
      <c r="I17" s="73"/>
      <c r="J17" s="73"/>
      <c r="K17" s="73"/>
      <c r="L17" s="73"/>
      <c r="M17" s="73"/>
      <c r="BB17" s="8"/>
    </row>
    <row r="18" spans="1:118" ht="26.25" customHeight="1" outlineLevel="1" thickBot="1" x14ac:dyDescent="0.25">
      <c r="A18" s="5">
        <v>7</v>
      </c>
      <c r="B18" s="70" t="s">
        <v>64</v>
      </c>
      <c r="C18" s="71"/>
      <c r="D18" s="71"/>
      <c r="E18" s="71"/>
      <c r="F18" s="72"/>
      <c r="G18" s="72"/>
      <c r="H18" s="72"/>
      <c r="I18" s="73"/>
      <c r="J18" s="73"/>
      <c r="K18" s="73"/>
      <c r="L18" s="73"/>
      <c r="M18" s="73"/>
      <c r="BB18" s="8"/>
    </row>
    <row r="19" spans="1:118" ht="26.25" customHeight="1" outlineLevel="1" thickBot="1" x14ac:dyDescent="0.25">
      <c r="A19" s="5">
        <v>6</v>
      </c>
      <c r="B19" s="70" t="s">
        <v>61</v>
      </c>
      <c r="C19" s="71"/>
      <c r="D19" s="71"/>
      <c r="E19" s="71"/>
      <c r="F19" s="72"/>
      <c r="G19" s="72"/>
      <c r="H19" s="72"/>
      <c r="I19" s="73"/>
      <c r="J19" s="73"/>
      <c r="K19" s="73"/>
      <c r="L19" s="73"/>
      <c r="M19" s="73"/>
      <c r="BB19" s="8"/>
    </row>
    <row r="20" spans="1:118" ht="26.25" customHeight="1" outlineLevel="1" thickBot="1" x14ac:dyDescent="0.25">
      <c r="A20" s="5">
        <v>6</v>
      </c>
      <c r="B20" s="70" t="s">
        <v>65</v>
      </c>
      <c r="C20" s="71"/>
      <c r="D20" s="71"/>
      <c r="E20" s="71"/>
      <c r="F20" s="72"/>
      <c r="G20" s="72"/>
      <c r="H20" s="72"/>
      <c r="I20" s="73"/>
      <c r="J20" s="73"/>
      <c r="K20" s="73"/>
      <c r="L20" s="73"/>
      <c r="M20" s="73"/>
      <c r="BB20" s="8"/>
    </row>
    <row r="21" spans="1:118" ht="26.25" customHeight="1" outlineLevel="1" thickBot="1" x14ac:dyDescent="0.25">
      <c r="A21" s="5">
        <v>7</v>
      </c>
      <c r="B21" s="70" t="s">
        <v>66</v>
      </c>
      <c r="C21" s="71"/>
      <c r="D21" s="71"/>
      <c r="E21" s="71"/>
      <c r="F21" s="72"/>
      <c r="G21" s="72"/>
      <c r="H21" s="72"/>
      <c r="I21" s="73"/>
      <c r="J21" s="73"/>
      <c r="K21" s="73"/>
      <c r="L21" s="73"/>
      <c r="M21" s="73"/>
      <c r="BB21" s="8"/>
    </row>
    <row r="22" spans="1:118" ht="33.75" customHeight="1" outlineLevel="1" thickBot="1" x14ac:dyDescent="0.25">
      <c r="A22" s="5">
        <v>6</v>
      </c>
      <c r="B22" s="70" t="s">
        <v>92</v>
      </c>
      <c r="C22" s="71"/>
      <c r="D22" s="71"/>
      <c r="E22" s="71"/>
      <c r="F22" s="72"/>
      <c r="G22" s="72"/>
      <c r="H22" s="72"/>
      <c r="I22" s="73"/>
      <c r="J22" s="73"/>
      <c r="K22" s="73"/>
      <c r="L22" s="73"/>
      <c r="M22" s="73"/>
      <c r="BB22" s="8"/>
    </row>
    <row r="23" spans="1:118" ht="25.5" customHeight="1" outlineLevel="1" thickBot="1" x14ac:dyDescent="0.25">
      <c r="A23" s="5">
        <v>6</v>
      </c>
      <c r="B23" s="70" t="s">
        <v>67</v>
      </c>
      <c r="C23" s="71"/>
      <c r="D23" s="71"/>
      <c r="E23" s="71"/>
      <c r="F23" s="72"/>
      <c r="G23" s="72"/>
      <c r="H23" s="72"/>
      <c r="I23" s="73"/>
      <c r="J23" s="73"/>
      <c r="K23" s="73"/>
      <c r="L23" s="73"/>
      <c r="M23" s="73"/>
      <c r="BB23" s="8"/>
    </row>
    <row r="24" spans="1:118" ht="18" customHeight="1" thickBot="1" x14ac:dyDescent="0.25">
      <c r="BB24" s="8"/>
    </row>
    <row r="25" spans="1:118" ht="69" customHeight="1" thickBot="1" x14ac:dyDescent="0.25">
      <c r="A25" s="80" t="s">
        <v>9</v>
      </c>
      <c r="B25" s="82" t="s">
        <v>8</v>
      </c>
      <c r="C25" s="84" t="s">
        <v>13</v>
      </c>
      <c r="D25" s="84" t="s">
        <v>91</v>
      </c>
      <c r="E25" s="66" t="s">
        <v>68</v>
      </c>
      <c r="F25" s="66"/>
      <c r="G25" s="66"/>
      <c r="H25" s="66"/>
      <c r="I25" s="66"/>
      <c r="J25" s="66"/>
      <c r="K25" s="66" t="s">
        <v>55</v>
      </c>
      <c r="L25" s="66"/>
      <c r="M25" s="66"/>
      <c r="N25" s="66"/>
      <c r="O25" s="66"/>
      <c r="P25" s="66"/>
      <c r="Q25" s="66" t="s">
        <v>94</v>
      </c>
      <c r="R25" s="66"/>
      <c r="S25" s="66"/>
      <c r="T25" s="66"/>
      <c r="U25" s="66"/>
      <c r="V25" s="66"/>
      <c r="W25" s="66" t="s">
        <v>56</v>
      </c>
      <c r="X25" s="66"/>
      <c r="Y25" s="66"/>
      <c r="Z25" s="66"/>
      <c r="AA25" s="66"/>
      <c r="AB25" s="66"/>
      <c r="AC25" s="66" t="s">
        <v>57</v>
      </c>
      <c r="AD25" s="66"/>
      <c r="AE25" s="66"/>
      <c r="AF25" s="66"/>
      <c r="AG25" s="66"/>
      <c r="AH25" s="66"/>
      <c r="AI25" s="66" t="s">
        <v>58</v>
      </c>
      <c r="AJ25" s="66"/>
      <c r="AK25" s="66"/>
      <c r="AL25" s="66"/>
      <c r="AM25" s="66"/>
      <c r="AN25" s="66"/>
      <c r="AO25" s="66" t="s">
        <v>54</v>
      </c>
      <c r="AP25" s="66"/>
      <c r="AQ25" s="66"/>
      <c r="AR25" s="66"/>
      <c r="AS25" s="66"/>
      <c r="AT25" s="66"/>
      <c r="AU25" s="77" t="s">
        <v>59</v>
      </c>
      <c r="AV25" s="66"/>
      <c r="AW25" s="66"/>
      <c r="AX25" s="66"/>
      <c r="AY25" s="66"/>
      <c r="AZ25" s="66"/>
      <c r="BA25" s="67" t="s">
        <v>98</v>
      </c>
      <c r="BB25" s="68"/>
      <c r="BC25" s="68"/>
      <c r="BD25" s="68"/>
      <c r="BE25" s="68"/>
      <c r="BF25" s="69"/>
      <c r="BG25" s="74" t="s">
        <v>60</v>
      </c>
      <c r="BH25" s="75"/>
      <c r="BI25" s="75"/>
      <c r="BJ25" s="75"/>
      <c r="BK25" s="75"/>
      <c r="BL25" s="76"/>
      <c r="BM25" s="67" t="s">
        <v>64</v>
      </c>
      <c r="BN25" s="68"/>
      <c r="BO25" s="68"/>
      <c r="BP25" s="68"/>
      <c r="BQ25" s="68"/>
      <c r="BR25" s="69"/>
      <c r="BS25" s="87" t="s">
        <v>97</v>
      </c>
      <c r="BT25" s="68"/>
      <c r="BU25" s="68"/>
      <c r="BV25" s="68"/>
      <c r="BW25" s="68"/>
      <c r="BX25" s="69"/>
      <c r="BY25" s="67" t="s">
        <v>65</v>
      </c>
      <c r="BZ25" s="68"/>
      <c r="CA25" s="68"/>
      <c r="CB25" s="68"/>
      <c r="CC25" s="68"/>
      <c r="CD25" s="69"/>
      <c r="CE25" s="88" t="s">
        <v>66</v>
      </c>
      <c r="CF25" s="75"/>
      <c r="CG25" s="75"/>
      <c r="CH25" s="75"/>
      <c r="CI25" s="75"/>
      <c r="CJ25" s="76"/>
      <c r="CK25" s="67" t="s">
        <v>92</v>
      </c>
      <c r="CL25" s="68"/>
      <c r="CM25" s="68"/>
      <c r="CN25" s="68"/>
      <c r="CO25" s="68"/>
      <c r="CP25" s="69"/>
      <c r="CQ25" s="67" t="s">
        <v>67</v>
      </c>
      <c r="CR25" s="68"/>
      <c r="CS25" s="68"/>
      <c r="CT25" s="68"/>
      <c r="CU25" s="68"/>
      <c r="CV25" s="69"/>
      <c r="CW25" s="86" t="s">
        <v>5</v>
      </c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65"/>
    </row>
    <row r="26" spans="1:118" ht="56.25" customHeight="1" thickBot="1" x14ac:dyDescent="0.25">
      <c r="A26" s="81" t="s">
        <v>9</v>
      </c>
      <c r="B26" s="83" t="s">
        <v>8</v>
      </c>
      <c r="C26" s="85" t="s">
        <v>6</v>
      </c>
      <c r="D26" s="85" t="s">
        <v>3</v>
      </c>
      <c r="E26" s="3" t="s">
        <v>4</v>
      </c>
      <c r="F26" s="3" t="s">
        <v>46</v>
      </c>
      <c r="G26" s="3" t="s">
        <v>17</v>
      </c>
      <c r="H26" s="45" t="s">
        <v>37</v>
      </c>
      <c r="I26" s="3" t="s">
        <v>48</v>
      </c>
      <c r="J26" s="45" t="s">
        <v>39</v>
      </c>
      <c r="K26" s="3" t="s">
        <v>4</v>
      </c>
      <c r="L26" s="3" t="s">
        <v>46</v>
      </c>
      <c r="M26" s="3" t="s">
        <v>17</v>
      </c>
      <c r="N26" s="44" t="s">
        <v>37</v>
      </c>
      <c r="O26" s="3" t="s">
        <v>48</v>
      </c>
      <c r="P26" s="44" t="s">
        <v>39</v>
      </c>
      <c r="Q26" s="3" t="s">
        <v>4</v>
      </c>
      <c r="R26" s="3" t="s">
        <v>46</v>
      </c>
      <c r="S26" s="3" t="s">
        <v>17</v>
      </c>
      <c r="T26" s="44" t="s">
        <v>37</v>
      </c>
      <c r="U26" s="3" t="s">
        <v>48</v>
      </c>
      <c r="V26" s="44" t="s">
        <v>39</v>
      </c>
      <c r="W26" s="3" t="s">
        <v>4</v>
      </c>
      <c r="X26" s="3" t="s">
        <v>46</v>
      </c>
      <c r="Y26" s="3" t="s">
        <v>17</v>
      </c>
      <c r="Z26" s="44" t="s">
        <v>37</v>
      </c>
      <c r="AA26" s="3" t="s">
        <v>48</v>
      </c>
      <c r="AB26" s="44" t="s">
        <v>39</v>
      </c>
      <c r="AC26" s="3" t="s">
        <v>4</v>
      </c>
      <c r="AD26" s="3" t="s">
        <v>46</v>
      </c>
      <c r="AE26" s="3" t="s">
        <v>17</v>
      </c>
      <c r="AF26" s="44" t="s">
        <v>37</v>
      </c>
      <c r="AG26" s="3" t="s">
        <v>48</v>
      </c>
      <c r="AH26" s="44" t="s">
        <v>39</v>
      </c>
      <c r="AI26" s="3" t="s">
        <v>4</v>
      </c>
      <c r="AJ26" s="3" t="s">
        <v>47</v>
      </c>
      <c r="AK26" s="3" t="s">
        <v>17</v>
      </c>
      <c r="AL26" s="44" t="s">
        <v>37</v>
      </c>
      <c r="AM26" s="3" t="s">
        <v>48</v>
      </c>
      <c r="AN26" s="44" t="s">
        <v>39</v>
      </c>
      <c r="AO26" s="3" t="s">
        <v>4</v>
      </c>
      <c r="AP26" s="3" t="s">
        <v>46</v>
      </c>
      <c r="AQ26" s="3" t="s">
        <v>17</v>
      </c>
      <c r="AR26" s="44" t="s">
        <v>37</v>
      </c>
      <c r="AS26" s="3" t="s">
        <v>48</v>
      </c>
      <c r="AT26" s="44" t="s">
        <v>39</v>
      </c>
      <c r="AU26" s="3" t="s">
        <v>4</v>
      </c>
      <c r="AV26" s="3" t="s">
        <v>46</v>
      </c>
      <c r="AW26" s="3" t="s">
        <v>17</v>
      </c>
      <c r="AX26" s="44" t="s">
        <v>37</v>
      </c>
      <c r="AY26" s="3" t="s">
        <v>48</v>
      </c>
      <c r="AZ26" s="44" t="s">
        <v>39</v>
      </c>
      <c r="BA26" s="3" t="s">
        <v>4</v>
      </c>
      <c r="BB26" s="3" t="s">
        <v>46</v>
      </c>
      <c r="BC26" s="3" t="s">
        <v>17</v>
      </c>
      <c r="BD26" s="44" t="s">
        <v>37</v>
      </c>
      <c r="BE26" s="3" t="s">
        <v>48</v>
      </c>
      <c r="BF26" s="44" t="s">
        <v>39</v>
      </c>
      <c r="BG26" s="3" t="s">
        <v>4</v>
      </c>
      <c r="BH26" s="3" t="s">
        <v>46</v>
      </c>
      <c r="BI26" s="3" t="s">
        <v>17</v>
      </c>
      <c r="BJ26" s="44" t="s">
        <v>37</v>
      </c>
      <c r="BK26" s="3" t="s">
        <v>48</v>
      </c>
      <c r="BL26" s="42" t="s">
        <v>39</v>
      </c>
      <c r="BM26" s="3" t="s">
        <v>4</v>
      </c>
      <c r="BN26" s="3" t="s">
        <v>46</v>
      </c>
      <c r="BO26" s="3" t="s">
        <v>17</v>
      </c>
      <c r="BP26" s="44" t="s">
        <v>37</v>
      </c>
      <c r="BQ26" s="3" t="s">
        <v>48</v>
      </c>
      <c r="BR26" s="41" t="s">
        <v>39</v>
      </c>
      <c r="BS26" s="3" t="s">
        <v>4</v>
      </c>
      <c r="BT26" s="3" t="s">
        <v>46</v>
      </c>
      <c r="BU26" s="3" t="s">
        <v>17</v>
      </c>
      <c r="BV26" s="44" t="s">
        <v>37</v>
      </c>
      <c r="BW26" s="3" t="s">
        <v>48</v>
      </c>
      <c r="BX26" s="43" t="s">
        <v>39</v>
      </c>
      <c r="BY26" s="3" t="s">
        <v>4</v>
      </c>
      <c r="BZ26" s="3" t="s">
        <v>46</v>
      </c>
      <c r="CA26" s="3" t="s">
        <v>17</v>
      </c>
      <c r="CB26" s="44" t="s">
        <v>37</v>
      </c>
      <c r="CC26" s="3" t="s">
        <v>48</v>
      </c>
      <c r="CD26" s="44" t="s">
        <v>39</v>
      </c>
      <c r="CE26" s="3" t="s">
        <v>4</v>
      </c>
      <c r="CF26" s="3" t="s">
        <v>46</v>
      </c>
      <c r="CG26" s="3" t="s">
        <v>17</v>
      </c>
      <c r="CH26" s="44" t="s">
        <v>37</v>
      </c>
      <c r="CI26" s="3" t="s">
        <v>48</v>
      </c>
      <c r="CJ26" s="44" t="s">
        <v>39</v>
      </c>
      <c r="CK26" s="3" t="s">
        <v>4</v>
      </c>
      <c r="CL26" s="3" t="s">
        <v>46</v>
      </c>
      <c r="CM26" s="3" t="s">
        <v>17</v>
      </c>
      <c r="CN26" s="3" t="s">
        <v>37</v>
      </c>
      <c r="CO26" s="3" t="s">
        <v>48</v>
      </c>
      <c r="CP26" s="3" t="s">
        <v>39</v>
      </c>
      <c r="CQ26" s="3" t="s">
        <v>4</v>
      </c>
      <c r="CR26" s="3" t="s">
        <v>46</v>
      </c>
      <c r="CS26" s="3" t="s">
        <v>17</v>
      </c>
      <c r="CT26" s="3" t="s">
        <v>37</v>
      </c>
      <c r="CU26" s="3" t="s">
        <v>48</v>
      </c>
      <c r="CV26" s="3" t="s">
        <v>39</v>
      </c>
      <c r="CW26" s="47">
        <v>1</v>
      </c>
      <c r="CX26" s="48">
        <v>3</v>
      </c>
      <c r="CY26" s="48">
        <v>4</v>
      </c>
      <c r="CZ26" s="49">
        <v>5</v>
      </c>
      <c r="DA26" s="48">
        <v>6</v>
      </c>
      <c r="DB26" s="49">
        <v>7</v>
      </c>
      <c r="DC26" s="48">
        <v>8</v>
      </c>
      <c r="DD26" s="49">
        <v>9</v>
      </c>
      <c r="DE26" s="48">
        <v>11</v>
      </c>
      <c r="DF26" s="49">
        <v>12</v>
      </c>
      <c r="DG26" s="48">
        <v>13</v>
      </c>
      <c r="DH26" s="49">
        <v>14</v>
      </c>
      <c r="DI26" s="48">
        <v>15</v>
      </c>
      <c r="DJ26" s="49">
        <v>16</v>
      </c>
      <c r="DK26" s="48">
        <v>17</v>
      </c>
      <c r="DL26" s="49">
        <v>18</v>
      </c>
      <c r="DM26" s="46" t="s">
        <v>45</v>
      </c>
    </row>
    <row r="27" spans="1:118" ht="25.5" x14ac:dyDescent="0.2">
      <c r="A27" s="1" t="s">
        <v>100</v>
      </c>
      <c r="B27" s="9" t="s">
        <v>20</v>
      </c>
      <c r="C27" s="10">
        <f>IF(D27&lt;&gt;1,"",SUM(J27,P27,V27,AB27,AH27,AN27,AT27,AZ27,BF27,BL27,BR27,BX27,CD27,CJ27,CP27,CV27))</f>
        <v>0.82533086419753088</v>
      </c>
      <c r="D27" s="10">
        <f>IF(SUM(E27,K27,Q27,W27,AC27,AI27,AO27,AU27,BA27,BG27,BM27,BS27,BY27,CE27,CK27,CQ27)=0,0,1)</f>
        <v>1</v>
      </c>
      <c r="E27" s="56">
        <v>1</v>
      </c>
      <c r="F27" s="56">
        <v>0</v>
      </c>
      <c r="G27" s="56">
        <v>1</v>
      </c>
      <c r="H27" s="10">
        <f>IF(E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1.1/MIN(Вес1.1,Вес1.3,Вес1.4,Вес1.5,Вес1.6,Вес1.7,Вес1.8,Вес1.9,Вес1.11,Вес1.12,Вес1.13,Вес1.14,Вес1.15,Вес1.16,Вес1.17,Вес1.18)),"")</f>
        <v>6.1728395061728394</v>
      </c>
      <c r="I27" s="10">
        <f>IF(H27="","не применяется",IF(E27=0,"не применяется",H27*G27/100))</f>
        <v>6.1728395061728392E-2</v>
      </c>
      <c r="J27" s="10">
        <f>IF(ISNUMBER(I27),I27,"")</f>
        <v>6.1728395061728392E-2</v>
      </c>
      <c r="K27" s="56">
        <v>1</v>
      </c>
      <c r="L27" s="56">
        <v>0</v>
      </c>
      <c r="M27" s="56">
        <v>1</v>
      </c>
      <c r="N27" s="10">
        <f>IF(K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1.3/MIN(Вес1.1,Вес1.3,Вес1.4,Вес1.5,Вес1.6,Вес1.7,Вес1.8,Вес1.9,Вес1.11,Вес1.12,Вес1.13,Вес1.14,Вес1.15,Вес1.16,Вес1.17,Вес1.18)),"")</f>
        <v>6.1728395061728394</v>
      </c>
      <c r="O27" s="10">
        <f>IF(N27="","не применяется",IF(K27=0,"не применяется",N27*M27/100))</f>
        <v>6.1728395061728392E-2</v>
      </c>
      <c r="P27" s="10">
        <f>IF(ISNUMBER(O27),O27,"")</f>
        <v>6.1728395061728392E-2</v>
      </c>
      <c r="Q27" s="56">
        <v>1</v>
      </c>
      <c r="R27" s="56">
        <v>100</v>
      </c>
      <c r="S27" s="56">
        <v>1</v>
      </c>
      <c r="T27" s="10">
        <f>IF(Q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1.4/MIN(Вес1.1,Вес1.3,Вес1.4,Вес1.5,Вес1.6,Вес1.7,Вес1.8,Вес1.9,Вес1.11,Вес1.12,Вес1.13,Вес1.14,Вес1.15,Вес1.16,Вес1.17,Вес1.18)),"")</f>
        <v>4.9382716049382713</v>
      </c>
      <c r="U27" s="10">
        <f>IF(T27="","не применяется",IF(Q27=0,"не применяется",S27*T27/100))</f>
        <v>4.9382716049382713E-2</v>
      </c>
      <c r="V27" s="10">
        <f>IF(ISNUMBER(U27),U27,"")</f>
        <v>4.9382716049382713E-2</v>
      </c>
      <c r="W27" s="56">
        <v>1</v>
      </c>
      <c r="X27" s="56">
        <v>0.18260000000000001</v>
      </c>
      <c r="Y27" s="56">
        <v>0</v>
      </c>
      <c r="Z27" s="10">
        <f>IF(W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1.5/MIN(Вес1.1,Вес1.3,Вес1.4,Вес1.5,Вес1.6,Вес1.7,Вес1.8,Вес1.9,Вес1.11,Вес1.12,Вес1.13,Вес1.14,Вес1.15,Вес1.16,Вес1.17,Вес1.18)),"")</f>
        <v>8.6419753086419746</v>
      </c>
      <c r="AA27" s="10">
        <f>IF(Z27="","не применяется",IF(W27=0,"не применяется",Z27*Y27/100))</f>
        <v>0</v>
      </c>
      <c r="AB27" s="10">
        <f>IF(ISNUMBER(AA27),AA27,"")</f>
        <v>0</v>
      </c>
      <c r="AC27" s="56">
        <v>1</v>
      </c>
      <c r="AD27" s="56">
        <v>0</v>
      </c>
      <c r="AE27" s="56">
        <v>1</v>
      </c>
      <c r="AF27" s="10">
        <f>IF(AC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1.6/MIN(Вес1.1,Вес1.3,Вес1.4,Вес1.5,Вес1.6,Вес1.7,Вес1.8,Вес1.9,Вес1.11,Вес1.12,Вес1.13,Вес1.14,Вес1.15,Вес1.16,Вес1.17,Вес1.18)),"")</f>
        <v>8.6419753086419746</v>
      </c>
      <c r="AG27" s="10">
        <f>IF(AF27="","не применяется",IF(AC27=0,"не применяется",AF27*AE27/100))</f>
        <v>8.6419753086419748E-2</v>
      </c>
      <c r="AH27" s="10">
        <f>IF(ISNUMBER(AG27),AG27,"")</f>
        <v>8.6419753086419748E-2</v>
      </c>
      <c r="AI27" s="56">
        <v>1</v>
      </c>
      <c r="AJ27" s="56">
        <v>0</v>
      </c>
      <c r="AK27" s="56">
        <v>1</v>
      </c>
      <c r="AL27" s="10">
        <f>IF(AI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1.7/MIN(Вес1.1,Вес1.3,Вес1.4,Вес1.5,Вес1.6,Вес1.7,Вес1.8,Вес1.9,Вес1.11,Вес1.12,Вес1.13,Вес1.14,Вес1.15,Вес1.16,Вес1.17,Вес1.18)),"")</f>
        <v>8.6419753086419746</v>
      </c>
      <c r="AM27" s="10">
        <f>IF(AL27="","не применяется",IF(AI27=0,"не применяется",AL27*AK27/100))</f>
        <v>8.6419753086419748E-2</v>
      </c>
      <c r="AN27" s="10">
        <f>IF(ISNUMBER(AM27),AM27,"")</f>
        <v>8.6419753086419748E-2</v>
      </c>
      <c r="AO27" s="56">
        <v>1</v>
      </c>
      <c r="AP27" s="56">
        <v>17</v>
      </c>
      <c r="AQ27" s="56">
        <v>0</v>
      </c>
      <c r="AR27" s="10">
        <f>IF(AO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1.8/MIN(Вес1.1,Вес1.3,Вес1.4,Вес1.5,Вес1.6,Вес1.7,Вес1.8,Вес1.9,Вес1.11,Вес1.12,Вес1.13,Вес1.14,Вес1.15,Вес1.16,Вес1.17,Вес1.18)),"")</f>
        <v>8.6419753086419746</v>
      </c>
      <c r="AS27" s="10">
        <f>IF(AR27="","не применяется",IF(AO27=0,"не применяется",AR27*AQ27/100))</f>
        <v>0</v>
      </c>
      <c r="AT27" s="10">
        <f>IF(ISNUMBER(AS27),AS27,"")</f>
        <v>0</v>
      </c>
      <c r="AU27" s="56">
        <v>1</v>
      </c>
      <c r="AV27" s="56">
        <v>33.971699999999998</v>
      </c>
      <c r="AW27" s="56">
        <v>1</v>
      </c>
      <c r="AX27" s="10">
        <f>IF(AU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1.9/MIN(Вес1.1,Вес1.3,Вес1.4,Вес1.5,Вес1.6,Вес1.7,Вес1.8,Вес1.9,Вес1.11,Вес1.12,Вес1.13,Вес1.14,Вес1.15,Вес1.16,Вес1.17,Вес1.18)),"")</f>
        <v>8.6419753086419746</v>
      </c>
      <c r="AY27" s="10">
        <f>IF(AX27="","не применяется",IF(AU27=0,"не применяется",AX27*AW27/100))</f>
        <v>8.6419753086419748E-2</v>
      </c>
      <c r="AZ27" s="10">
        <f>IF(ISNUMBER(AY27),AY27,"")</f>
        <v>8.6419753086419748E-2</v>
      </c>
      <c r="BA27" s="56">
        <v>1</v>
      </c>
      <c r="BB27" s="56">
        <v>138.78360000000001</v>
      </c>
      <c r="BC27" s="56">
        <v>1</v>
      </c>
      <c r="BD27" s="10">
        <f>IF(BA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1.11/MIN(Вес1.1,Вес1.3,Вес1.4,Вес1.5,Вес1.6,Вес1.7,Вес1.8,Вес1.9,Вес1.11,Вес1.12,Вес1.13,Вес1.14,Вес1.15,Вес1.16,Вес1.17,Вес1.18)),"")</f>
        <v>8.6419753086419746</v>
      </c>
      <c r="BE27" s="10">
        <f>IF(BD27="","не применяется",IF(BA27=0,"не применяется",BD27*BC27/100))</f>
        <v>8.6419753086419748E-2</v>
      </c>
      <c r="BF27" s="10">
        <f>IF(ISNUMBER(BE27),BE27,"")</f>
        <v>8.6419753086419748E-2</v>
      </c>
      <c r="BG27" s="56">
        <v>1</v>
      </c>
      <c r="BH27" s="56">
        <v>2.1000000000000001E-2</v>
      </c>
      <c r="BI27" s="56">
        <v>0.98770000000000002</v>
      </c>
      <c r="BJ27" s="10">
        <f>IF(BG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1.12/MIN(Вес1.1,Вес1.3,Вес1.4,Вес1.5,Вес1.6,Вес1.7,Вес1.8,Вес1.9,Вес1.11,Вес1.12,Вес1.13,Вес1.14,Вес1.15,Вес1.16,Вес1.17,Вес1.18)),"")</f>
        <v>7.4074074074074066</v>
      </c>
      <c r="BK27" s="10">
        <f>IF(BJ27="","не применяется",IF(BG27=0,"не применяется",BJ27*BI27/100))</f>
        <v>7.3162962962962957E-2</v>
      </c>
      <c r="BL27" s="10">
        <f>IF(ISNUMBER(BK27),BK27,"")</f>
        <v>7.3162962962962957E-2</v>
      </c>
      <c r="BM27" s="56">
        <v>0</v>
      </c>
      <c r="BN27" s="56">
        <v>0</v>
      </c>
      <c r="BO27" s="56">
        <v>0</v>
      </c>
      <c r="BP27" s="10" t="str">
        <f>IF(BM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1.13/MIN(Вес1.1,Вес1.3,Вес1.4,Вес1.5,Вес1.6,Вес1.7,Вес1.8,Вес1.9,Вес1.11,Вес1.12,Вес1.13,Вес1.14,Вес1.15,Вес1.16,Вес1.17,Вес1.18)),"")</f>
        <v/>
      </c>
      <c r="BQ27" s="10" t="str">
        <f>IF(BP27="","не применяется",IF(BM27=0,"не применяется",BP27*BO27/100))</f>
        <v>не применяется</v>
      </c>
      <c r="BR27" s="10" t="str">
        <f>IF(ISNUMBER(BQ27),BQ27,"")</f>
        <v/>
      </c>
      <c r="BS27" s="56">
        <v>0</v>
      </c>
      <c r="BT27" s="56">
        <v>0</v>
      </c>
      <c r="BU27" s="56">
        <v>0</v>
      </c>
      <c r="BV27" s="10" t="str">
        <f>IF(BS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1.14/MIN(Вес1.1,Вес1.3,Вес1.4,Вес1.5,Вес1.6,Вес1.7,Вес1.8,Вес1.9,Вес1.11,Вес1.12,Вес1.13,Вес1.14,Вес1.15,Вес1.16,Вес1.17,Вес1.18)),"")</f>
        <v/>
      </c>
      <c r="BW27" s="10" t="str">
        <f>IF(BV27="","не применяется",IF(BS27=0,"не применяется",BV27*BU27/100))</f>
        <v>не применяется</v>
      </c>
      <c r="BX27" s="10" t="str">
        <f>IF(ISNUMBER(BW27),BW27,"")</f>
        <v/>
      </c>
      <c r="BY27" s="56">
        <v>1</v>
      </c>
      <c r="BZ27" s="56">
        <v>5.0000000000000001E-3</v>
      </c>
      <c r="CA27" s="56">
        <v>0.98760000000000003</v>
      </c>
      <c r="CB27" s="10">
        <f>IF(BY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1.15/MIN(Вес1.1,Вес1.3,Вес1.4,Вес1.5,Вес1.6,Вес1.7,Вес1.8,Вес1.9,Вес1.11,Вес1.12,Вес1.13,Вес1.14,Вес1.15,Вес1.16,Вес1.17,Вес1.18)),"")</f>
        <v>7.4074074074074066</v>
      </c>
      <c r="CC27" s="10">
        <f>IF(CB27="","не применяется",IF(BY27=0,"не применяется",CB27*CA27/100))</f>
        <v>7.3155555555555557E-2</v>
      </c>
      <c r="CD27" s="10">
        <f>IF(ISNUMBER(CC27),CC27,"")</f>
        <v>7.3155555555555557E-2</v>
      </c>
      <c r="CE27" s="56">
        <v>1</v>
      </c>
      <c r="CF27" s="56">
        <v>0</v>
      </c>
      <c r="CG27" s="56">
        <v>1</v>
      </c>
      <c r="CH27" s="10">
        <f>IF(CE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1.16/MIN(Вес1.1,Вес1.3,Вес1.4,Вес1.5,Вес1.6,Вес1.7,Вес1.8,Вес1.9,Вес1.11,Вес1.12,Вес1.13,Вес1.14,Вес1.15,Вес1.16,Вес1.17,Вес1.18)),"")</f>
        <v>8.6419753086419746</v>
      </c>
      <c r="CI27" s="10">
        <f>IF(CH27="","не применяется",IF(CE27=0,"не применяется",CH27*CG27/100))</f>
        <v>8.6419753086419748E-2</v>
      </c>
      <c r="CJ27" s="10">
        <f>IF(ISNUMBER(CI27),CI27,"")</f>
        <v>8.6419753086419748E-2</v>
      </c>
      <c r="CK27" s="56">
        <v>0</v>
      </c>
      <c r="CL27" s="56">
        <v>0</v>
      </c>
      <c r="CM27" s="56">
        <v>0</v>
      </c>
      <c r="CN27" s="10" t="str">
        <f>IF(CK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1.17/MIN(Вес1.1,Вес1.3,Вес1.4,Вес1.5,Вес1.6,Вес1.7,Вес1.8,Вес1.9,Вес1.11,Вес1.12,Вес1.13,Вес1.14,Вес1.15,Вес1.16,Вес1.17,Вес1.18)),"")</f>
        <v/>
      </c>
      <c r="CO27" s="10" t="str">
        <f>IF(CN27="","не применяется",IF(CK27=0,"не применяется",CN27*CM27/100))</f>
        <v>не применяется</v>
      </c>
      <c r="CP27" s="10" t="str">
        <f>IF(ISNUMBER(CO27),CO27,"")</f>
        <v/>
      </c>
      <c r="CQ27" s="56">
        <v>1</v>
      </c>
      <c r="CR27" s="56">
        <v>0</v>
      </c>
      <c r="CS27" s="56">
        <v>1</v>
      </c>
      <c r="CT27" s="10">
        <f>IF(CQ27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27*Вес1.18/MIN(Вес1.1,Вес1.3,Вес1.4,Вес1.5,Вес1.6,Вес1.7,Вес1.8,Вес1.9,Вес1.11,Вес1.12,Вес1.13,Вес1.14,Вес1.15,Вес1.16,Вес1.17,Вес1.18)),"")</f>
        <v>7.4074074074074066</v>
      </c>
      <c r="CU27" s="10">
        <f>IF(CT27="","не применяется",IF(CQ27=0,"не применяется",CT27*CS27/100))</f>
        <v>7.407407407407407E-2</v>
      </c>
      <c r="CV27" s="10">
        <f>IF(ISNUMBER(CU27),CU27,"")</f>
        <v>7.407407407407407E-2</v>
      </c>
      <c r="CW27" s="10">
        <f>IF(E27=1,Вес1.1/MIN(Вес1.1,Вес1.3,Вес1.4,Вес1.5,Вес1.6,Вес1.7,Вес1.8,Вес1.9,Вес1.11,Вес1.12,Вес1.13,Вес1.14,Вес1.15,Вес1.16,Вес1.17,Вес1.18),"")</f>
        <v>1.25</v>
      </c>
      <c r="CX27" s="10">
        <f>IF(K27=1,Вес1.3/MIN(Вес1.1,Вес1.3,Вес1.4,Вес1.5,Вес1.6,Вес1.7,Вес1.8,Вес1.9,Вес1.11,Вес1.12,Вес1.13,Вес1.14,Вес1.15,Вес1.16,Вес1.17,Вес1.18),"")</f>
        <v>1.25</v>
      </c>
      <c r="CY27" s="10">
        <f>IF(Q27=1,Вес1.4/MIN(Вес1.1,Вес1.3,Вес1.4,Вес1.5,Вес1.6,Вес1.7,Вес1.8,Вес1.9,Вес1.11,Вес1.12,Вес1.13,Вес1.14,Вес1.15,Вес1.16,Вес1.17,Вес1.18),"")</f>
        <v>1</v>
      </c>
      <c r="CZ27" s="10">
        <f>IF(W27=1,Вес1.5/MIN(Вес1.1,Вес1.3,Вес1.4,Вес1.5,Вес1.6,Вес1.7,Вес1.8,Вес1.9,Вес1.11,Вес1.12,Вес1.13,Вес1.14,Вес1.15,Вес1.16,Вес1.17,Вес1.18),"")</f>
        <v>1.75</v>
      </c>
      <c r="DA27" s="10">
        <f>IF(AC27=1,Вес1.6/MIN(Вес1.6,Вес1.3,Вес1.4,Вес1.5,Вес1.6,Вес1.7,Вес1.8,Вес1.9,Вес1.11,Вес1.12,Вес1.13,Вес1.14,Вес1.15,Вес1.16,Вес1.17,Вес1.18),"")</f>
        <v>1.75</v>
      </c>
      <c r="DB27" s="10">
        <f>IF(AI27=1,Вес1.7/MIN(Вес1.1,Вес1.3,Вес1.4,Вес1.5,Вес1.6,Вес1.7,Вес1.8,Вес1.9,Вес1.11,Вес1.12,Вес1.13,Вес1.14,Вес1.15,Вес1.16,Вес1.17,Вес1.18),"")</f>
        <v>1.75</v>
      </c>
      <c r="DC27" s="10">
        <f>IF(AO27=1,Вес1.8/MIN(Вес1.1,Вес1.3,Вес1.4,Вес1.5,Вес1.6,Вес1.7,Вес1.8,Вес1.9,Вес1.11,Вес1.12,Вес1.13,Вес1.14,Вес1.15,Вес1.16,Вес1.17,Вес1.18),"")</f>
        <v>1.75</v>
      </c>
      <c r="DD27" s="10">
        <f>IF(AU27=1,Вес1.9/MIN(Вес1.1,Вес1.3,Вес1.4,Вес1.5,Вес1.6,Вес1.7,Вес1.8,Вес1.9,Вес1.11,Вес1.12,Вес1.13,Вес1.14,Вес1.15,Вес1.16,Вес1.17,Вес1.18),"")</f>
        <v>1.75</v>
      </c>
      <c r="DE27" s="10">
        <f>IF(BA27=1,Вес1.11/MIN(Вес1.1,Вес1.3,Вес1.4,Вес1.5,Вес1.6,Вес1.7,Вес1.8,Вес1.9,Вес1.11,Вес1.12,Вес1.13,Вес1.14,Вес1.15,Вес1.16,Вес1.17,Вес1.18),"")</f>
        <v>1.75</v>
      </c>
      <c r="DF27" s="10">
        <f>IF(BG27=1,Вес1.12/MIN(Вес1.1,Вес1.3,Вес1.4,Вес1.5,Вес1.6,Вес1.7,Вес1.8,Вес1.9,Вес1.11,Вес1.12,Вес1.13,Вес1.14,Вес1.15,Вес1.16,Вес1.17,Вес1.18),"")</f>
        <v>1.5</v>
      </c>
      <c r="DG27" s="10" t="str">
        <f>IF(BM27=1,Вес1.13/MIN(Вес1.1,Вес1.3,Вес1.4,Вес1.5,Вес1.6,Вес1.7,Вес1.8,Вес1.9,Вес1.11,Вес1.12,Вес1.13,Вес1.14,Вес1.15,Вес1.16,Вес1.17,Вес1.18),"")</f>
        <v/>
      </c>
      <c r="DH27" s="10" t="str">
        <f>IF(BS27=1,Вес1.14/MIN(Вес1.1,Вес1.3,Вес1.4,Вес1.5,Вес1.6,Вес1.7,Вес1.8,Вес1.9,Вес1.11,Вес1.12,Вес1.13,Вес1.14,Вес1.15,Вес1.16,Вес1.17,Вес1.18),"")</f>
        <v/>
      </c>
      <c r="DI27" s="10">
        <f>IF(BY27=1,Вес1.15/MIN(Вес1.1,Вес1.3,Вес1.4,Вес1.5,Вес1.6,Вес1.7,Вес1.8,Вес1.9,Вес1.11,Вес1.12,Вес1.13,Вес1.14,Вес1.15,Вес1.16,Вес1.17,Вес1.18),"")</f>
        <v>1.5</v>
      </c>
      <c r="DJ27" s="10">
        <f>IF(CE27=1,Вес1.16/MIN(Вес1.1,Вес1.3,Вес1.4,Вес1.5,Вес1.6,Вес1.7,Вес1.8,Вес1.9,Вес1.11,Вес1.12,Вес1.13,Вес1.14,Вес1.15,Вес1.16,Вес1.17,Вес1.18),"")</f>
        <v>1.75</v>
      </c>
      <c r="DK27" s="10" t="str">
        <f>IF(CK27=1,Вес1.17/MIN(Вес1.1,Вес1.3,Вес1.4,Вес1.5,Вес1.6,Вес1.7,Вес1.8,Вес1.9,Вес1.11,Вес1.12,Вес1.13,Вес1.14,Вес1.15,Вес1.16,Вес1.17,Вес1.18),"")</f>
        <v/>
      </c>
      <c r="DL27" s="10">
        <f>IF(CQ27=1,Вес1.18/MIN(Вес1.1,Вес1.3,Вес1.4,Вес1.5,Вес1.6,Вес1.7,Вес1.8,Вес1.9,Вес1.11,Вес1.12,Вес1.13,Вес1.14,Вес1.15,Вес1.16,Вес1.17,Вес1.18),"")</f>
        <v>1.5</v>
      </c>
      <c r="DM27" s="10">
        <f>SUM(CW27:DL27)</f>
        <v>20.25</v>
      </c>
    </row>
    <row r="28" spans="1:118" ht="25.5" x14ac:dyDescent="0.2">
      <c r="A28" s="1" t="s">
        <v>101</v>
      </c>
      <c r="B28" s="9" t="s">
        <v>52</v>
      </c>
      <c r="C28" s="10">
        <f>IF(D28&lt;&gt;1,"",SUM(J28,P28,V28,AB28,AH28,AN28,AT28,AZ28,BF28,BL28,BR28,BX28,CD28,CJ28,CP28,CV28))</f>
        <v>0.91797600000000013</v>
      </c>
      <c r="D28" s="10">
        <f>IF(SUM(E28,K28,Q28,W28,AC28,AI28,AO28,AU28,BA28,BG28,BM28,BS28,BY28,CE28,CK28,CQ28)=0,0,1)</f>
        <v>1</v>
      </c>
      <c r="E28" s="56">
        <v>1</v>
      </c>
      <c r="F28" s="56">
        <v>1.2307999999999999</v>
      </c>
      <c r="G28" s="56">
        <v>0.98770000000000002</v>
      </c>
      <c r="H28" s="10">
        <f>IF(E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1.1/MIN(Вес1.1,Вес1.3,Вес1.4,Вес1.5,Вес1.6,Вес1.7,Вес1.8,Вес1.9,Вес1.11,Вес1.12,Вес1.13,Вес1.14,Вес1.15,Вес1.16,Вес1.17,Вес1.18)),"")</f>
        <v>5</v>
      </c>
      <c r="I28" s="10">
        <f>IF(H28="","не применяется",IF(E28=0,"не применяется",H28*G28/100))</f>
        <v>4.9385000000000005E-2</v>
      </c>
      <c r="J28" s="10">
        <f>IF(ISNUMBER(I28),I28,"")</f>
        <v>4.9385000000000005E-2</v>
      </c>
      <c r="K28" s="56">
        <v>1</v>
      </c>
      <c r="L28" s="56">
        <v>0</v>
      </c>
      <c r="M28" s="56">
        <v>1</v>
      </c>
      <c r="N28" s="10">
        <f>IF(K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1.3/MIN(Вес1.1,Вес1.3,Вес1.4,Вес1.5,Вес1.6,Вес1.7,Вес1.8,Вес1.9,Вес1.11,Вес1.12,Вес1.13,Вес1.14,Вес1.15,Вес1.16,Вес1.17,Вес1.18)),"")</f>
        <v>5</v>
      </c>
      <c r="O28" s="10">
        <f>IF(N28="","не применяется",IF(K28=0,"не применяется",N28*M28/100))</f>
        <v>0.05</v>
      </c>
      <c r="P28" s="10">
        <f>IF(ISNUMBER(O28),O28,"")</f>
        <v>0.05</v>
      </c>
      <c r="Q28" s="56">
        <v>1</v>
      </c>
      <c r="R28" s="56">
        <v>100</v>
      </c>
      <c r="S28" s="56">
        <v>1</v>
      </c>
      <c r="T28" s="10">
        <f>IF(Q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1.4/MIN(Вес1.1,Вес1.3,Вес1.4,Вес1.5,Вес1.6,Вес1.7,Вес1.8,Вес1.9,Вес1.11,Вес1.12,Вес1.13,Вес1.14,Вес1.15,Вес1.16,Вес1.17,Вес1.18)),"")</f>
        <v>4</v>
      </c>
      <c r="U28" s="10">
        <f>IF(T28="","не применяется",IF(Q28=0,"не применяется",S28*T28/100))</f>
        <v>0.04</v>
      </c>
      <c r="V28" s="10">
        <f>IF(ISNUMBER(U28),U28,"")</f>
        <v>0.04</v>
      </c>
      <c r="W28" s="56">
        <v>1</v>
      </c>
      <c r="X28" s="56">
        <v>7.6399999999999996E-2</v>
      </c>
      <c r="Y28" s="56">
        <v>1</v>
      </c>
      <c r="Z28" s="10">
        <f>IF(W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1.5/MIN(Вес1.1,Вес1.3,Вес1.4,Вес1.5,Вес1.6,Вес1.7,Вес1.8,Вес1.9,Вес1.11,Вес1.12,Вес1.13,Вес1.14,Вес1.15,Вес1.16,Вес1.17,Вес1.18)),"")</f>
        <v>7</v>
      </c>
      <c r="AA28" s="10">
        <f>IF(Z28="","не применяется",IF(W28=0,"не применяется",Z28*Y28/100))</f>
        <v>7.0000000000000007E-2</v>
      </c>
      <c r="AB28" s="10">
        <f>IF(ISNUMBER(AA28),AA28,"")</f>
        <v>7.0000000000000007E-2</v>
      </c>
      <c r="AC28" s="56">
        <v>1</v>
      </c>
      <c r="AD28" s="56">
        <v>0</v>
      </c>
      <c r="AE28" s="56">
        <v>1</v>
      </c>
      <c r="AF28" s="10">
        <f>IF(AC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1.6/MIN(Вес1.1,Вес1.3,Вес1.4,Вес1.5,Вес1.6,Вес1.7,Вес1.8,Вес1.9,Вес1.11,Вес1.12,Вес1.13,Вес1.14,Вес1.15,Вес1.16,Вес1.17,Вес1.18)),"")</f>
        <v>7</v>
      </c>
      <c r="AG28" s="10">
        <f>IF(AF28="","не применяется",IF(AC28=0,"не применяется",AF28*AE28/100))</f>
        <v>7.0000000000000007E-2</v>
      </c>
      <c r="AH28" s="10">
        <f>IF(ISNUMBER(AG28),AG28,"")</f>
        <v>7.0000000000000007E-2</v>
      </c>
      <c r="AI28" s="56">
        <v>1</v>
      </c>
      <c r="AJ28" s="56">
        <v>5.4999999999999997E-3</v>
      </c>
      <c r="AK28" s="56">
        <v>0.99970000000000003</v>
      </c>
      <c r="AL28" s="10">
        <f>IF(AI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1.7/MIN(Вес1.1,Вес1.3,Вес1.4,Вес1.5,Вес1.6,Вес1.7,Вес1.8,Вес1.9,Вес1.11,Вес1.12,Вес1.13,Вес1.14,Вес1.15,Вес1.16,Вес1.17,Вес1.18)),"")</f>
        <v>7</v>
      </c>
      <c r="AM28" s="10">
        <f>IF(AL28="","не применяется",IF(AI28=0,"не применяется",AL28*AK28/100))</f>
        <v>6.9979E-2</v>
      </c>
      <c r="AN28" s="10">
        <f>IF(ISNUMBER(AM28),AM28,"")</f>
        <v>6.9979E-2</v>
      </c>
      <c r="AO28" s="56">
        <v>1</v>
      </c>
      <c r="AP28" s="56">
        <v>106</v>
      </c>
      <c r="AQ28" s="56">
        <v>0</v>
      </c>
      <c r="AR28" s="10">
        <f>IF(AO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1.8/MIN(Вес1.1,Вес1.3,Вес1.4,Вес1.5,Вес1.6,Вес1.7,Вес1.8,Вес1.9,Вес1.11,Вес1.12,Вес1.13,Вес1.14,Вес1.15,Вес1.16,Вес1.17,Вес1.18)),"")</f>
        <v>7</v>
      </c>
      <c r="AS28" s="10">
        <f>IF(AR28="","не применяется",IF(AO28=0,"не применяется",AR28*AQ28/100))</f>
        <v>0</v>
      </c>
      <c r="AT28" s="10">
        <f>IF(ISNUMBER(AS28),AS28,"")</f>
        <v>0</v>
      </c>
      <c r="AU28" s="56">
        <v>1</v>
      </c>
      <c r="AV28" s="56">
        <v>33.106299999999997</v>
      </c>
      <c r="AW28" s="56">
        <v>1</v>
      </c>
      <c r="AX28" s="10">
        <f>IF(AU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1.9/MIN(Вес1.1,Вес1.3,Вес1.4,Вес1.5,Вес1.6,Вес1.7,Вес1.8,Вес1.9,Вес1.11,Вес1.12,Вес1.13,Вес1.14,Вес1.15,Вес1.16,Вес1.17,Вес1.18)),"")</f>
        <v>7</v>
      </c>
      <c r="AY28" s="10">
        <f>IF(AX28="","не применяется",IF(AU28=0,"не применяется",AX28*AW28/100))</f>
        <v>7.0000000000000007E-2</v>
      </c>
      <c r="AZ28" s="10">
        <f>IF(ISNUMBER(AY28),AY28,"")</f>
        <v>7.0000000000000007E-2</v>
      </c>
      <c r="BA28" s="56">
        <v>1</v>
      </c>
      <c r="BB28" s="56">
        <v>126.2572</v>
      </c>
      <c r="BC28" s="56">
        <v>1</v>
      </c>
      <c r="BD28" s="10">
        <f>IF(BA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1.11/MIN(Вес1.1,Вес1.3,Вес1.4,Вес1.5,Вес1.6,Вес1.7,Вес1.8,Вес1.9,Вес1.11,Вес1.12,Вес1.13,Вес1.14,Вес1.15,Вес1.16,Вес1.17,Вес1.18)),"")</f>
        <v>7</v>
      </c>
      <c r="BE28" s="10">
        <f>IF(BD28="","не применяется",IF(BA28=0,"не применяется",BD28*BC28/100))</f>
        <v>7.0000000000000007E-2</v>
      </c>
      <c r="BF28" s="10">
        <f>IF(ISNUMBER(BE28),BE28,"")</f>
        <v>7.0000000000000007E-2</v>
      </c>
      <c r="BG28" s="56">
        <v>1</v>
      </c>
      <c r="BH28" s="56">
        <v>1.34E-2</v>
      </c>
      <c r="BI28" s="56">
        <v>1</v>
      </c>
      <c r="BJ28" s="10">
        <f>IF(BG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1.12/MIN(Вес1.1,Вес1.3,Вес1.4,Вес1.5,Вес1.6,Вес1.7,Вес1.8,Вес1.9,Вес1.11,Вес1.12,Вес1.13,Вес1.14,Вес1.15,Вес1.16,Вес1.17,Вес1.18)),"")</f>
        <v>6</v>
      </c>
      <c r="BK28" s="10">
        <f>IF(BJ28="","не применяется",IF(BG28=0,"не применяется",BJ28*BI28/100))</f>
        <v>0.06</v>
      </c>
      <c r="BL28" s="10">
        <f>IF(ISNUMBER(BK28),BK28,"")</f>
        <v>0.06</v>
      </c>
      <c r="BM28" s="56">
        <v>1</v>
      </c>
      <c r="BN28" s="56">
        <v>98.383399999999995</v>
      </c>
      <c r="BO28" s="56">
        <v>1</v>
      </c>
      <c r="BP28" s="10">
        <f>IF(BM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1.13/MIN(Вес1.1,Вес1.3,Вес1.4,Вес1.5,Вес1.6,Вес1.7,Вес1.8,Вес1.9,Вес1.11,Вес1.12,Вес1.13,Вес1.14,Вес1.15,Вес1.16,Вес1.17,Вес1.18)),"")</f>
        <v>7</v>
      </c>
      <c r="BQ28" s="10">
        <f>IF(BP28="","не применяется",IF(BM28=0,"не применяется",BP28*BO28/100))</f>
        <v>7.0000000000000007E-2</v>
      </c>
      <c r="BR28" s="10">
        <f>IF(ISNUMBER(BQ28),BQ28,"")</f>
        <v>7.0000000000000007E-2</v>
      </c>
      <c r="BS28" s="56">
        <v>1</v>
      </c>
      <c r="BT28" s="56">
        <v>1.6199999999999999E-2</v>
      </c>
      <c r="BU28" s="56">
        <v>1</v>
      </c>
      <c r="BV28" s="10">
        <f>IF(BS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1.14/MIN(Вес1.1,Вес1.3,Вес1.4,Вес1.5,Вес1.6,Вес1.7,Вес1.8,Вес1.9,Вес1.11,Вес1.12,Вес1.13,Вес1.14,Вес1.15,Вес1.16,Вес1.17,Вес1.18)),"")</f>
        <v>6</v>
      </c>
      <c r="BW28" s="10">
        <f>IF(BV28="","не применяется",IF(BS28=0,"не применяется",BV28*BU28/100))</f>
        <v>0.06</v>
      </c>
      <c r="BX28" s="10">
        <f>IF(ISNUMBER(BW28),BW28,"")</f>
        <v>0.06</v>
      </c>
      <c r="BY28" s="56">
        <v>1</v>
      </c>
      <c r="BZ28" s="56">
        <v>8.5099999999999995E-2</v>
      </c>
      <c r="CA28" s="56">
        <v>0.81020000000000003</v>
      </c>
      <c r="CB28" s="10">
        <f>IF(BY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1.15/MIN(Вес1.1,Вес1.3,Вес1.4,Вес1.5,Вес1.6,Вес1.7,Вес1.8,Вес1.9,Вес1.11,Вес1.12,Вес1.13,Вес1.14,Вес1.15,Вес1.16,Вес1.17,Вес1.18)),"")</f>
        <v>6</v>
      </c>
      <c r="CC28" s="10">
        <f>IF(CB28="","не применяется",IF(BY28=0,"не применяется",CB28*CA28/100))</f>
        <v>4.8612000000000002E-2</v>
      </c>
      <c r="CD28" s="10">
        <f>IF(ISNUMBER(CC28),CC28,"")</f>
        <v>4.8612000000000002E-2</v>
      </c>
      <c r="CE28" s="56">
        <v>1</v>
      </c>
      <c r="CF28" s="56">
        <v>0</v>
      </c>
      <c r="CG28" s="56">
        <v>1</v>
      </c>
      <c r="CH28" s="10">
        <f>IF(CE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1.16/MIN(Вес1.1,Вес1.3,Вес1.4,Вес1.5,Вес1.6,Вес1.7,Вес1.8,Вес1.9,Вес1.11,Вес1.12,Вес1.13,Вес1.14,Вес1.15,Вес1.16,Вес1.17,Вес1.18)),"")</f>
        <v>7</v>
      </c>
      <c r="CI28" s="10">
        <f>IF(CH28="","не применяется",IF(CE28=0,"не применяется",CH28*CG28/100))</f>
        <v>7.0000000000000007E-2</v>
      </c>
      <c r="CJ28" s="10">
        <f>IF(ISNUMBER(CI28),CI28,"")</f>
        <v>7.0000000000000007E-2</v>
      </c>
      <c r="CK28" s="56">
        <v>1</v>
      </c>
      <c r="CL28" s="56">
        <v>0</v>
      </c>
      <c r="CM28" s="56">
        <v>1</v>
      </c>
      <c r="CN28" s="10">
        <f>IF(CK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1.17/MIN(Вес1.1,Вес1.3,Вес1.4,Вес1.5,Вес1.6,Вес1.7,Вес1.8,Вес1.9,Вес1.11,Вес1.12,Вес1.13,Вес1.14,Вес1.15,Вес1.16,Вес1.17,Вес1.18)),"")</f>
        <v>6</v>
      </c>
      <c r="CO28" s="10">
        <f>IF(CN28="","не применяется",IF(CK28=0,"не применяется",CN28*CM28/100))</f>
        <v>0.06</v>
      </c>
      <c r="CP28" s="10">
        <f>IF(ISNUMBER(CO28),CO28,"")</f>
        <v>0.06</v>
      </c>
      <c r="CQ28" s="56">
        <v>1</v>
      </c>
      <c r="CR28" s="56">
        <v>75.547399999999996</v>
      </c>
      <c r="CS28" s="56">
        <v>1</v>
      </c>
      <c r="CT28" s="10">
        <f>IF(CQ28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28*Вес1.18/MIN(Вес1.1,Вес1.3,Вес1.4,Вес1.5,Вес1.6,Вес1.7,Вес1.8,Вес1.9,Вес1.11,Вес1.12,Вес1.13,Вес1.14,Вес1.15,Вес1.16,Вес1.17,Вес1.18)),"")</f>
        <v>6</v>
      </c>
      <c r="CU28" s="10">
        <f>IF(CT28="","не применяется",IF(CQ28=0,"не применяется",CT28*CS28/100))</f>
        <v>0.06</v>
      </c>
      <c r="CV28" s="10">
        <f>IF(ISNUMBER(CU28),CU28,"")</f>
        <v>0.06</v>
      </c>
      <c r="CW28" s="10">
        <f>IF(E28=1,Вес1.1/MIN(Вес1.1,Вес1.3,Вес1.4,Вес1.5,Вес1.6,Вес1.7,Вес1.8,Вес1.9,Вес1.11,Вес1.12,Вес1.13,Вес1.14,Вес1.15,Вес1.16,Вес1.17,Вес1.18),"")</f>
        <v>1.25</v>
      </c>
      <c r="CX28" s="10">
        <f>IF(K28=1,Вес1.3/MIN(Вес1.1,Вес1.3,Вес1.4,Вес1.5,Вес1.6,Вес1.7,Вес1.8,Вес1.9,Вес1.11,Вес1.12,Вес1.13,Вес1.14,Вес1.15,Вес1.16,Вес1.17,Вес1.18),"")</f>
        <v>1.25</v>
      </c>
      <c r="CY28" s="10">
        <f>IF(Q28=1,Вес1.4/MIN(Вес1.1,Вес1.3,Вес1.4,Вес1.5,Вес1.6,Вес1.7,Вес1.8,Вес1.9,Вес1.11,Вес1.12,Вес1.13,Вес1.14,Вес1.15,Вес1.16,Вес1.17,Вес1.18),"")</f>
        <v>1</v>
      </c>
      <c r="CZ28" s="10">
        <f>IF(W28=1,Вес1.5/MIN(Вес1.1,Вес1.3,Вес1.4,Вес1.5,Вес1.6,Вес1.7,Вес1.8,Вес1.9,Вес1.11,Вес1.12,Вес1.13,Вес1.14,Вес1.15,Вес1.16,Вес1.17,Вес1.18),"")</f>
        <v>1.75</v>
      </c>
      <c r="DA28" s="10">
        <f>IF(AC28=1,Вес1.6/MIN(Вес1.6,Вес1.3,Вес1.4,Вес1.5,Вес1.6,Вес1.7,Вес1.8,Вес1.9,Вес1.11,Вес1.12,Вес1.13,Вес1.14,Вес1.15,Вес1.16,Вес1.17,Вес1.18),"")</f>
        <v>1.75</v>
      </c>
      <c r="DB28" s="10">
        <f>IF(AI28=1,Вес1.7/MIN(Вес1.1,Вес1.3,Вес1.4,Вес1.5,Вес1.6,Вес1.7,Вес1.8,Вес1.9,Вес1.11,Вес1.12,Вес1.13,Вес1.14,Вес1.15,Вес1.16,Вес1.17,Вес1.18),"")</f>
        <v>1.75</v>
      </c>
      <c r="DC28" s="10">
        <f>IF(AO28=1,Вес1.8/MIN(Вес1.1,Вес1.3,Вес1.4,Вес1.5,Вес1.6,Вес1.7,Вес1.8,Вес1.9,Вес1.11,Вес1.12,Вес1.13,Вес1.14,Вес1.15,Вес1.16,Вес1.17,Вес1.18),"")</f>
        <v>1.75</v>
      </c>
      <c r="DD28" s="10">
        <f>IF(AU28=1,Вес1.9/MIN(Вес1.1,Вес1.3,Вес1.4,Вес1.5,Вес1.6,Вес1.7,Вес1.8,Вес1.9,Вес1.11,Вес1.12,Вес1.13,Вес1.14,Вес1.15,Вес1.16,Вес1.17,Вес1.18),"")</f>
        <v>1.75</v>
      </c>
      <c r="DE28" s="10">
        <f>IF(BA28=1,Вес1.11/MIN(Вес1.1,Вес1.3,Вес1.4,Вес1.5,Вес1.6,Вес1.7,Вес1.8,Вес1.9,Вес1.11,Вес1.12,Вес1.13,Вес1.14,Вес1.15,Вес1.16,Вес1.17,Вес1.18),"")</f>
        <v>1.75</v>
      </c>
      <c r="DF28" s="10">
        <f>IF(BG28=1,Вес1.12/MIN(Вес1.1,Вес1.3,Вес1.4,Вес1.5,Вес1.6,Вес1.7,Вес1.8,Вес1.9,Вес1.11,Вес1.12,Вес1.13,Вес1.14,Вес1.15,Вес1.16,Вес1.17,Вес1.18),"")</f>
        <v>1.5</v>
      </c>
      <c r="DG28" s="10">
        <f>IF(BM28=1,Вес1.13/MIN(Вес1.1,Вес1.3,Вес1.4,Вес1.5,Вес1.6,Вес1.7,Вес1.8,Вес1.9,Вес1.11,Вес1.12,Вес1.13,Вес1.14,Вес1.15,Вес1.16,Вес1.17,Вес1.18),"")</f>
        <v>1.75</v>
      </c>
      <c r="DH28" s="10">
        <f>IF(BS28=1,Вес1.14/MIN(Вес1.1,Вес1.3,Вес1.4,Вес1.5,Вес1.6,Вес1.7,Вес1.8,Вес1.9,Вес1.11,Вес1.12,Вес1.13,Вес1.14,Вес1.15,Вес1.16,Вес1.17,Вес1.18),"")</f>
        <v>1.5</v>
      </c>
      <c r="DI28" s="10">
        <f>IF(BY28=1,Вес1.15/MIN(Вес1.1,Вес1.3,Вес1.4,Вес1.5,Вес1.6,Вес1.7,Вес1.8,Вес1.9,Вес1.11,Вес1.12,Вес1.13,Вес1.14,Вес1.15,Вес1.16,Вес1.17,Вес1.18),"")</f>
        <v>1.5</v>
      </c>
      <c r="DJ28" s="10">
        <f>IF(CE28=1,Вес1.16/MIN(Вес1.1,Вес1.3,Вес1.4,Вес1.5,Вес1.6,Вес1.7,Вес1.8,Вес1.9,Вес1.11,Вес1.12,Вес1.13,Вес1.14,Вес1.15,Вес1.16,Вес1.17,Вес1.18),"")</f>
        <v>1.75</v>
      </c>
      <c r="DK28" s="10">
        <f>IF(CK28=1,Вес1.17/MIN(Вес1.1,Вес1.3,Вес1.4,Вес1.5,Вес1.6,Вес1.7,Вес1.8,Вес1.9,Вес1.11,Вес1.12,Вес1.13,Вес1.14,Вес1.15,Вес1.16,Вес1.17,Вес1.18),"")</f>
        <v>1.5</v>
      </c>
      <c r="DL28" s="10">
        <f>IF(CQ28=1,Вес1.18/MIN(Вес1.1,Вес1.3,Вес1.4,Вес1.5,Вес1.6,Вес1.7,Вес1.8,Вес1.9,Вес1.11,Вес1.12,Вес1.13,Вес1.14,Вес1.15,Вес1.16,Вес1.17,Вес1.18),"")</f>
        <v>1.5</v>
      </c>
      <c r="DM28" s="10">
        <f>SUM(CW28:DL28)</f>
        <v>25</v>
      </c>
    </row>
    <row r="29" spans="1:118" ht="25.5" x14ac:dyDescent="0.2">
      <c r="A29" s="1" t="s">
        <v>102</v>
      </c>
      <c r="B29" s="9" t="s">
        <v>21</v>
      </c>
      <c r="C29" s="10">
        <f>IF(D29&lt;&gt;1,"",SUM(J29,P29,V29,AB29,AH29,AN29,AT29,AZ29,BF29,BL29,BR29,BX29,CD29,CJ29,CP29,CV29))</f>
        <v>0.85509574468085092</v>
      </c>
      <c r="D29" s="10">
        <f>IF(SUM(E29,K29,Q29,W29,AC29,AI29,AO29,AU29,BA29,BG29,BM29,BS29,BY29,CE29,CK29,CQ29)=0,0,1)</f>
        <v>1</v>
      </c>
      <c r="E29" s="56">
        <v>1</v>
      </c>
      <c r="F29" s="56">
        <v>0</v>
      </c>
      <c r="G29" s="56">
        <v>1</v>
      </c>
      <c r="H29" s="10">
        <f>IF(E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1.1/MIN(Вес1.1,Вес1.3,Вес1.4,Вес1.5,Вес1.6,Вес1.7,Вес1.8,Вес1.9,Вес1.11,Вес1.12,Вес1.13,Вес1.14,Вес1.15,Вес1.16,Вес1.17,Вес1.18)),"")</f>
        <v>5.3191489361702127</v>
      </c>
      <c r="I29" s="10">
        <f>IF(H29="","не применяется",IF(E29=0,"не применяется",H29*G29/100))</f>
        <v>5.3191489361702128E-2</v>
      </c>
      <c r="J29" s="10">
        <f>IF(ISNUMBER(I29),I29,"")</f>
        <v>5.3191489361702128E-2</v>
      </c>
      <c r="K29" s="56">
        <v>1</v>
      </c>
      <c r="L29" s="56">
        <v>0</v>
      </c>
      <c r="M29" s="56">
        <v>1</v>
      </c>
      <c r="N29" s="10">
        <f>IF(K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1.3/MIN(Вес1.1,Вес1.3,Вес1.4,Вес1.5,Вес1.6,Вес1.7,Вес1.8,Вес1.9,Вес1.11,Вес1.12,Вес1.13,Вес1.14,Вес1.15,Вес1.16,Вес1.17,Вес1.18)),"")</f>
        <v>5.3191489361702127</v>
      </c>
      <c r="O29" s="10">
        <f>IF(N29="","не применяется",IF(K29=0,"не применяется",N29*M29/100))</f>
        <v>5.3191489361702128E-2</v>
      </c>
      <c r="P29" s="10">
        <f>IF(ISNUMBER(O29),O29,"")</f>
        <v>5.3191489361702128E-2</v>
      </c>
      <c r="Q29" s="56">
        <v>1</v>
      </c>
      <c r="R29" s="56">
        <v>100</v>
      </c>
      <c r="S29" s="56">
        <v>1</v>
      </c>
      <c r="T29" s="10">
        <f>IF(Q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1.4/MIN(Вес1.1,Вес1.3,Вес1.4,Вес1.5,Вес1.6,Вес1.7,Вес1.8,Вес1.9,Вес1.11,Вес1.12,Вес1.13,Вес1.14,Вес1.15,Вес1.16,Вес1.17,Вес1.18)),"")</f>
        <v>4.2553191489361701</v>
      </c>
      <c r="U29" s="10">
        <f>IF(T29="","не применяется",IF(Q29=0,"не применяется",S29*T29/100))</f>
        <v>4.2553191489361701E-2</v>
      </c>
      <c r="V29" s="10">
        <f>IF(ISNUMBER(U29),U29,"")</f>
        <v>4.2553191489361701E-2</v>
      </c>
      <c r="W29" s="56">
        <v>1</v>
      </c>
      <c r="X29" s="56">
        <v>9.2999999999999992E-3</v>
      </c>
      <c r="Y29" s="56">
        <v>1</v>
      </c>
      <c r="Z29" s="10">
        <f>IF(W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1.5/MIN(Вес1.1,Вес1.3,Вес1.4,Вес1.5,Вес1.6,Вес1.7,Вес1.8,Вес1.9,Вес1.11,Вес1.12,Вес1.13,Вес1.14,Вес1.15,Вес1.16,Вес1.17,Вес1.18)),"")</f>
        <v>7.4468085106382977</v>
      </c>
      <c r="AA29" s="10">
        <f>IF(Z29="","не применяется",IF(W29=0,"не применяется",Z29*Y29/100))</f>
        <v>7.4468085106382975E-2</v>
      </c>
      <c r="AB29" s="10">
        <f>IF(ISNUMBER(AA29),AA29,"")</f>
        <v>7.4468085106382975E-2</v>
      </c>
      <c r="AC29" s="56">
        <v>1</v>
      </c>
      <c r="AD29" s="56">
        <v>0</v>
      </c>
      <c r="AE29" s="56">
        <v>1</v>
      </c>
      <c r="AF29" s="10">
        <f>IF(AC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1.6/MIN(Вес1.1,Вес1.3,Вес1.4,Вес1.5,Вес1.6,Вес1.7,Вес1.8,Вес1.9,Вес1.11,Вес1.12,Вес1.13,Вес1.14,Вес1.15,Вес1.16,Вес1.17,Вес1.18)),"")</f>
        <v>7.4468085106382977</v>
      </c>
      <c r="AG29" s="10">
        <f>IF(AF29="","не применяется",IF(AC29=0,"не применяется",AF29*AE29/100))</f>
        <v>7.4468085106382975E-2</v>
      </c>
      <c r="AH29" s="10">
        <f>IF(ISNUMBER(AG29),AG29,"")</f>
        <v>7.4468085106382975E-2</v>
      </c>
      <c r="AI29" s="56">
        <v>1</v>
      </c>
      <c r="AJ29" s="56">
        <v>0</v>
      </c>
      <c r="AK29" s="56">
        <v>1</v>
      </c>
      <c r="AL29" s="10">
        <f>IF(AI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1.7/MIN(Вес1.1,Вес1.3,Вес1.4,Вес1.5,Вес1.6,Вес1.7,Вес1.8,Вес1.9,Вес1.11,Вес1.12,Вес1.13,Вес1.14,Вес1.15,Вес1.16,Вес1.17,Вес1.18)),"")</f>
        <v>7.4468085106382977</v>
      </c>
      <c r="AM29" s="10">
        <f>IF(AL29="","не применяется",IF(AI29=0,"не применяется",AL29*AK29/100))</f>
        <v>7.4468085106382975E-2</v>
      </c>
      <c r="AN29" s="10">
        <f>IF(ISNUMBER(AM29),AM29,"")</f>
        <v>7.4468085106382975E-2</v>
      </c>
      <c r="AO29" s="56">
        <v>1</v>
      </c>
      <c r="AP29" s="56">
        <v>23</v>
      </c>
      <c r="AQ29" s="56">
        <v>0</v>
      </c>
      <c r="AR29" s="10">
        <f>IF(AO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1.8/MIN(Вес1.1,Вес1.3,Вес1.4,Вес1.5,Вес1.6,Вес1.7,Вес1.8,Вес1.9,Вес1.11,Вес1.12,Вес1.13,Вес1.14,Вес1.15,Вес1.16,Вес1.17,Вес1.18)),"")</f>
        <v>7.4468085106382977</v>
      </c>
      <c r="AS29" s="10">
        <f>IF(AR29="","не применяется",IF(AO29=0,"не применяется",AR29*AQ29/100))</f>
        <v>0</v>
      </c>
      <c r="AT29" s="10">
        <f>IF(ISNUMBER(AS29),AS29,"")</f>
        <v>0</v>
      </c>
      <c r="AU29" s="56">
        <v>1</v>
      </c>
      <c r="AV29" s="56">
        <v>37.570300000000003</v>
      </c>
      <c r="AW29" s="56">
        <v>1</v>
      </c>
      <c r="AX29" s="10">
        <f>IF(AU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1.9/MIN(Вес1.1,Вес1.3,Вес1.4,Вес1.5,Вес1.6,Вес1.7,Вес1.8,Вес1.9,Вес1.11,Вес1.12,Вес1.13,Вес1.14,Вес1.15,Вес1.16,Вес1.17,Вес1.18)),"")</f>
        <v>7.4468085106382977</v>
      </c>
      <c r="AY29" s="10">
        <f>IF(AX29="","не применяется",IF(AU29=0,"не применяется",AX29*AW29/100))</f>
        <v>7.4468085106382975E-2</v>
      </c>
      <c r="AZ29" s="10">
        <f>IF(ISNUMBER(AY29),AY29,"")</f>
        <v>7.4468085106382975E-2</v>
      </c>
      <c r="BA29" s="56">
        <v>1</v>
      </c>
      <c r="BB29" s="56">
        <v>393.08920000000001</v>
      </c>
      <c r="BC29" s="56">
        <v>1</v>
      </c>
      <c r="BD29" s="10">
        <f>IF(BA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1.11/MIN(Вес1.1,Вес1.3,Вес1.4,Вес1.5,Вес1.6,Вес1.7,Вес1.8,Вес1.9,Вес1.11,Вес1.12,Вес1.13,Вес1.14,Вес1.15,Вес1.16,Вес1.17,Вес1.18)),"")</f>
        <v>7.4468085106382977</v>
      </c>
      <c r="BE29" s="10">
        <f>IF(BD29="","не применяется",IF(BA29=0,"не применяется",BD29*BC29/100))</f>
        <v>7.4468085106382975E-2</v>
      </c>
      <c r="BF29" s="10">
        <f>IF(ISNUMBER(BE29),BE29,"")</f>
        <v>7.4468085106382975E-2</v>
      </c>
      <c r="BG29" s="56">
        <v>1</v>
      </c>
      <c r="BH29" s="56">
        <v>4.7000000000000002E-3</v>
      </c>
      <c r="BI29" s="56">
        <v>1</v>
      </c>
      <c r="BJ29" s="10">
        <f>IF(BG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1.12/MIN(Вес1.1,Вес1.3,Вес1.4,Вес1.5,Вес1.6,Вес1.7,Вес1.8,Вес1.9,Вес1.11,Вес1.12,Вес1.13,Вес1.14,Вес1.15,Вес1.16,Вес1.17,Вес1.18)),"")</f>
        <v>6.3829787234042552</v>
      </c>
      <c r="BK29" s="10">
        <f>IF(BJ29="","не применяется",IF(BG29=0,"не применяется",BJ29*BI29/100))</f>
        <v>6.3829787234042548E-2</v>
      </c>
      <c r="BL29" s="10">
        <f>IF(ISNUMBER(BK29),BK29,"")</f>
        <v>6.3829787234042548E-2</v>
      </c>
      <c r="BM29" s="56">
        <v>1</v>
      </c>
      <c r="BN29" s="56">
        <v>99.881299999999996</v>
      </c>
      <c r="BO29" s="56">
        <v>1</v>
      </c>
      <c r="BP29" s="10">
        <f>IF(BM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1.13/MIN(Вес1.1,Вес1.3,Вес1.4,Вес1.5,Вес1.6,Вес1.7,Вес1.8,Вес1.9,Вес1.11,Вес1.12,Вес1.13,Вес1.14,Вес1.15,Вес1.16,Вес1.17,Вес1.18)),"")</f>
        <v>7.4468085106382977</v>
      </c>
      <c r="BQ29" s="10">
        <f>IF(BP29="","не применяется",IF(BM29=0,"не применяется",BP29*BO29/100))</f>
        <v>7.4468085106382975E-2</v>
      </c>
      <c r="BR29" s="10">
        <f>IF(ISNUMBER(BQ29),BQ29,"")</f>
        <v>7.4468085106382975E-2</v>
      </c>
      <c r="BS29" s="56">
        <v>1</v>
      </c>
      <c r="BT29" s="56">
        <v>1.1999999999999999E-3</v>
      </c>
      <c r="BU29" s="56">
        <v>1</v>
      </c>
      <c r="BV29" s="10">
        <f>IF(BS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1.14/MIN(Вес1.1,Вес1.3,Вес1.4,Вес1.5,Вес1.6,Вес1.7,Вес1.8,Вес1.9,Вес1.11,Вес1.12,Вес1.13,Вес1.14,Вес1.15,Вес1.16,Вес1.17,Вес1.18)),"")</f>
        <v>6.3829787234042552</v>
      </c>
      <c r="BW29" s="10">
        <f>IF(BV29="","не применяется",IF(BS29=0,"не применяется",BV29*BU29/100))</f>
        <v>6.3829787234042548E-2</v>
      </c>
      <c r="BX29" s="10">
        <f>IF(ISNUMBER(BW29),BW29,"")</f>
        <v>6.3829787234042548E-2</v>
      </c>
      <c r="BY29" s="56">
        <v>1</v>
      </c>
      <c r="BZ29" s="56">
        <v>4.4200000000000003E-2</v>
      </c>
      <c r="CA29" s="56">
        <v>0.89649999999999996</v>
      </c>
      <c r="CB29" s="10">
        <f>IF(BY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1.15/MIN(Вес1.1,Вес1.3,Вес1.4,Вес1.5,Вес1.6,Вес1.7,Вес1.8,Вес1.9,Вес1.11,Вес1.12,Вес1.13,Вес1.14,Вес1.15,Вес1.16,Вес1.17,Вес1.18)),"")</f>
        <v>6.3829787234042552</v>
      </c>
      <c r="CC29" s="10">
        <f>IF(CB29="","не применяется",IF(BY29=0,"не применяется",CB29*CA29/100))</f>
        <v>5.7223404255319146E-2</v>
      </c>
      <c r="CD29" s="10">
        <f>IF(ISNUMBER(CC29),CC29,"")</f>
        <v>5.7223404255319146E-2</v>
      </c>
      <c r="CE29" s="56">
        <v>1</v>
      </c>
      <c r="CF29" s="56">
        <v>0</v>
      </c>
      <c r="CG29" s="56">
        <v>1</v>
      </c>
      <c r="CH29" s="10">
        <f>IF(CE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1.16/MIN(Вес1.1,Вес1.3,Вес1.4,Вес1.5,Вес1.6,Вес1.7,Вес1.8,Вес1.9,Вес1.11,Вес1.12,Вес1.13,Вес1.14,Вес1.15,Вес1.16,Вес1.17,Вес1.18)),"")</f>
        <v>7.4468085106382977</v>
      </c>
      <c r="CI29" s="10">
        <f>IF(CH29="","не применяется",IF(CE29=0,"не применяется",CH29*CG29/100))</f>
        <v>7.4468085106382975E-2</v>
      </c>
      <c r="CJ29" s="10">
        <f>IF(ISNUMBER(CI29),CI29,"")</f>
        <v>7.4468085106382975E-2</v>
      </c>
      <c r="CK29" s="56">
        <v>0</v>
      </c>
      <c r="CL29" s="56">
        <v>0</v>
      </c>
      <c r="CM29" s="56">
        <v>0</v>
      </c>
      <c r="CN29" s="10" t="str">
        <f>IF(CK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1.17/MIN(Вес1.1,Вес1.3,Вес1.4,Вес1.5,Вес1.6,Вес1.7,Вес1.8,Вес1.9,Вес1.11,Вес1.12,Вес1.13,Вес1.14,Вес1.15,Вес1.16,Вес1.17,Вес1.18)),"")</f>
        <v/>
      </c>
      <c r="CO29" s="10" t="str">
        <f>IF(CN29="","не применяется",IF(CK29=0,"не применяется",CN29*CM29/100))</f>
        <v>не применяется</v>
      </c>
      <c r="CP29" s="10" t="str">
        <f>IF(ISNUMBER(CO29),CO29,"")</f>
        <v/>
      </c>
      <c r="CQ29" s="56">
        <v>1</v>
      </c>
      <c r="CR29" s="56">
        <v>166.66669999999999</v>
      </c>
      <c r="CS29" s="56">
        <v>0</v>
      </c>
      <c r="CT29" s="10">
        <f>IF(CQ29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29*Вес1.18/MIN(Вес1.1,Вес1.3,Вес1.4,Вес1.5,Вес1.6,Вес1.7,Вес1.8,Вес1.9,Вес1.11,Вес1.12,Вес1.13,Вес1.14,Вес1.15,Вес1.16,Вес1.17,Вес1.18)),"")</f>
        <v>6.3829787234042552</v>
      </c>
      <c r="CU29" s="10">
        <f>IF(CT29="","не применяется",IF(CQ29=0,"не применяется",CT29*CS29/100))</f>
        <v>0</v>
      </c>
      <c r="CV29" s="10">
        <f>IF(ISNUMBER(CU29),CU29,"")</f>
        <v>0</v>
      </c>
      <c r="CW29" s="10">
        <f>IF(E29=1,Вес1.1/MIN(Вес1.1,Вес1.3,Вес1.4,Вес1.5,Вес1.6,Вес1.7,Вес1.8,Вес1.9,Вес1.11,Вес1.12,Вес1.13,Вес1.14,Вес1.15,Вес1.16,Вес1.17,Вес1.18),"")</f>
        <v>1.25</v>
      </c>
      <c r="CX29" s="10">
        <f>IF(K29=1,Вес1.3/MIN(Вес1.1,Вес1.3,Вес1.4,Вес1.5,Вес1.6,Вес1.7,Вес1.8,Вес1.9,Вес1.11,Вес1.12,Вес1.13,Вес1.14,Вес1.15,Вес1.16,Вес1.17,Вес1.18),"")</f>
        <v>1.25</v>
      </c>
      <c r="CY29" s="10">
        <f>IF(Q29=1,Вес1.4/MIN(Вес1.1,Вес1.3,Вес1.4,Вес1.5,Вес1.6,Вес1.7,Вес1.8,Вес1.9,Вес1.11,Вес1.12,Вес1.13,Вес1.14,Вес1.15,Вес1.16,Вес1.17,Вес1.18),"")</f>
        <v>1</v>
      </c>
      <c r="CZ29" s="10">
        <f>IF(W29=1,Вес1.5/MIN(Вес1.1,Вес1.3,Вес1.4,Вес1.5,Вес1.6,Вес1.7,Вес1.8,Вес1.9,Вес1.11,Вес1.12,Вес1.13,Вес1.14,Вес1.15,Вес1.16,Вес1.17,Вес1.18),"")</f>
        <v>1.75</v>
      </c>
      <c r="DA29" s="10">
        <f>IF(AC29=1,Вес1.6/MIN(Вес1.6,Вес1.3,Вес1.4,Вес1.5,Вес1.6,Вес1.7,Вес1.8,Вес1.9,Вес1.11,Вес1.12,Вес1.13,Вес1.14,Вес1.15,Вес1.16,Вес1.17,Вес1.18),"")</f>
        <v>1.75</v>
      </c>
      <c r="DB29" s="10">
        <f>IF(AI29=1,Вес1.7/MIN(Вес1.1,Вес1.3,Вес1.4,Вес1.5,Вес1.6,Вес1.7,Вес1.8,Вес1.9,Вес1.11,Вес1.12,Вес1.13,Вес1.14,Вес1.15,Вес1.16,Вес1.17,Вес1.18),"")</f>
        <v>1.75</v>
      </c>
      <c r="DC29" s="10">
        <f>IF(AO29=1,Вес1.8/MIN(Вес1.1,Вес1.3,Вес1.4,Вес1.5,Вес1.6,Вес1.7,Вес1.8,Вес1.9,Вес1.11,Вес1.12,Вес1.13,Вес1.14,Вес1.15,Вес1.16,Вес1.17,Вес1.18),"")</f>
        <v>1.75</v>
      </c>
      <c r="DD29" s="10">
        <f>IF(AU29=1,Вес1.9/MIN(Вес1.1,Вес1.3,Вес1.4,Вес1.5,Вес1.6,Вес1.7,Вес1.8,Вес1.9,Вес1.11,Вес1.12,Вес1.13,Вес1.14,Вес1.15,Вес1.16,Вес1.17,Вес1.18),"")</f>
        <v>1.75</v>
      </c>
      <c r="DE29" s="10">
        <f>IF(BA29=1,Вес1.11/MIN(Вес1.1,Вес1.3,Вес1.4,Вес1.5,Вес1.6,Вес1.7,Вес1.8,Вес1.9,Вес1.11,Вес1.12,Вес1.13,Вес1.14,Вес1.15,Вес1.16,Вес1.17,Вес1.18),"")</f>
        <v>1.75</v>
      </c>
      <c r="DF29" s="10">
        <f>IF(BG29=1,Вес1.12/MIN(Вес1.1,Вес1.3,Вес1.4,Вес1.5,Вес1.6,Вес1.7,Вес1.8,Вес1.9,Вес1.11,Вес1.12,Вес1.13,Вес1.14,Вес1.15,Вес1.16,Вес1.17,Вес1.18),"")</f>
        <v>1.5</v>
      </c>
      <c r="DG29" s="10">
        <f>IF(BM29=1,Вес1.13/MIN(Вес1.1,Вес1.3,Вес1.4,Вес1.5,Вес1.6,Вес1.7,Вес1.8,Вес1.9,Вес1.11,Вес1.12,Вес1.13,Вес1.14,Вес1.15,Вес1.16,Вес1.17,Вес1.18),"")</f>
        <v>1.75</v>
      </c>
      <c r="DH29" s="10">
        <f>IF(BS29=1,Вес1.14/MIN(Вес1.1,Вес1.3,Вес1.4,Вес1.5,Вес1.6,Вес1.7,Вес1.8,Вес1.9,Вес1.11,Вес1.12,Вес1.13,Вес1.14,Вес1.15,Вес1.16,Вес1.17,Вес1.18),"")</f>
        <v>1.5</v>
      </c>
      <c r="DI29" s="10">
        <f>IF(BY29=1,Вес1.15/MIN(Вес1.1,Вес1.3,Вес1.4,Вес1.5,Вес1.6,Вес1.7,Вес1.8,Вес1.9,Вес1.11,Вес1.12,Вес1.13,Вес1.14,Вес1.15,Вес1.16,Вес1.17,Вес1.18),"")</f>
        <v>1.5</v>
      </c>
      <c r="DJ29" s="10">
        <f>IF(CE29=1,Вес1.16/MIN(Вес1.1,Вес1.3,Вес1.4,Вес1.5,Вес1.6,Вес1.7,Вес1.8,Вес1.9,Вес1.11,Вес1.12,Вес1.13,Вес1.14,Вес1.15,Вес1.16,Вес1.17,Вес1.18),"")</f>
        <v>1.75</v>
      </c>
      <c r="DK29" s="10" t="str">
        <f>IF(CK29=1,Вес1.17/MIN(Вес1.1,Вес1.3,Вес1.4,Вес1.5,Вес1.6,Вес1.7,Вес1.8,Вес1.9,Вес1.11,Вес1.12,Вес1.13,Вес1.14,Вес1.15,Вес1.16,Вес1.17,Вес1.18),"")</f>
        <v/>
      </c>
      <c r="DL29" s="10">
        <f>IF(CQ29=1,Вес1.18/MIN(Вес1.1,Вес1.3,Вес1.4,Вес1.5,Вес1.6,Вес1.7,Вес1.8,Вес1.9,Вес1.11,Вес1.12,Вес1.13,Вес1.14,Вес1.15,Вес1.16,Вес1.17,Вес1.18),"")</f>
        <v>1.5</v>
      </c>
      <c r="DM29" s="10">
        <f>SUM(CW29:DL29)</f>
        <v>23.5</v>
      </c>
    </row>
    <row r="30" spans="1:118" ht="25.5" x14ac:dyDescent="0.2">
      <c r="A30" s="1" t="s">
        <v>103</v>
      </c>
      <c r="B30" s="9" t="s">
        <v>22</v>
      </c>
      <c r="C30" s="10">
        <f>IF(D30&lt;&gt;1,"",SUM(J30,P30,V30,AB30,AH30,AN30,AT30,AZ30,BF30,BL30,BR30,BX30,CD30,CJ30,CP30,CV30))</f>
        <v>0.90934320987654316</v>
      </c>
      <c r="D30" s="10">
        <f>IF(SUM(E30,K30,Q30,W30,AC30,AI30,AO30,AU30,BA30,BG30,BM30,BS30,BY30,CE30,CK30,CQ30)=0,0,1)</f>
        <v>1</v>
      </c>
      <c r="E30" s="56">
        <v>1</v>
      </c>
      <c r="F30" s="56">
        <v>0</v>
      </c>
      <c r="G30" s="56">
        <v>1</v>
      </c>
      <c r="H30" s="10">
        <f>IF(E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1.1/MIN(Вес1.1,Вес1.3,Вес1.4,Вес1.5,Вес1.6,Вес1.7,Вес1.8,Вес1.9,Вес1.11,Вес1.12,Вес1.13,Вес1.14,Вес1.15,Вес1.16,Вес1.17,Вес1.18)),"")</f>
        <v>6.1728395061728394</v>
      </c>
      <c r="I30" s="10">
        <f>IF(H30="","не применяется",IF(E30=0,"не применяется",H30*G30/100))</f>
        <v>6.1728395061728392E-2</v>
      </c>
      <c r="J30" s="10">
        <f>IF(ISNUMBER(I30),I30,"")</f>
        <v>6.1728395061728392E-2</v>
      </c>
      <c r="K30" s="56">
        <v>1</v>
      </c>
      <c r="L30" s="56">
        <v>0</v>
      </c>
      <c r="M30" s="56">
        <v>1</v>
      </c>
      <c r="N30" s="10">
        <f>IF(K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1.3/MIN(Вес1.1,Вес1.3,Вес1.4,Вес1.5,Вес1.6,Вес1.7,Вес1.8,Вес1.9,Вес1.11,Вес1.12,Вес1.13,Вес1.14,Вес1.15,Вес1.16,Вес1.17,Вес1.18)),"")</f>
        <v>6.1728395061728394</v>
      </c>
      <c r="O30" s="10">
        <f>IF(N30="","не применяется",IF(K30=0,"не применяется",N30*M30/100))</f>
        <v>6.1728395061728392E-2</v>
      </c>
      <c r="P30" s="10">
        <f>IF(ISNUMBER(O30),O30,"")</f>
        <v>6.1728395061728392E-2</v>
      </c>
      <c r="Q30" s="56">
        <v>1</v>
      </c>
      <c r="R30" s="56">
        <v>100</v>
      </c>
      <c r="S30" s="56">
        <v>1</v>
      </c>
      <c r="T30" s="10">
        <f>IF(Q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1.4/MIN(Вес1.1,Вес1.3,Вес1.4,Вес1.5,Вес1.6,Вес1.7,Вес1.8,Вес1.9,Вес1.11,Вес1.12,Вес1.13,Вес1.14,Вес1.15,Вес1.16,Вес1.17,Вес1.18)),"")</f>
        <v>4.9382716049382713</v>
      </c>
      <c r="U30" s="10">
        <f>IF(T30="","не применяется",IF(Q30=0,"не применяется",S30*T30/100))</f>
        <v>4.9382716049382713E-2</v>
      </c>
      <c r="V30" s="10">
        <f>IF(ISNUMBER(U30),U30,"")</f>
        <v>4.9382716049382713E-2</v>
      </c>
      <c r="W30" s="56">
        <v>1</v>
      </c>
      <c r="X30" s="56">
        <v>1.4E-3</v>
      </c>
      <c r="Y30" s="56">
        <v>1</v>
      </c>
      <c r="Z30" s="10">
        <f>IF(W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1.5/MIN(Вес1.1,Вес1.3,Вес1.4,Вес1.5,Вес1.6,Вес1.7,Вес1.8,Вес1.9,Вес1.11,Вес1.12,Вес1.13,Вес1.14,Вес1.15,Вес1.16,Вес1.17,Вес1.18)),"")</f>
        <v>8.6419753086419746</v>
      </c>
      <c r="AA30" s="10">
        <f>IF(Z30="","не применяется",IF(W30=0,"не применяется",Z30*Y30/100))</f>
        <v>8.6419753086419748E-2</v>
      </c>
      <c r="AB30" s="10">
        <f>IF(ISNUMBER(AA30),AA30,"")</f>
        <v>8.6419753086419748E-2</v>
      </c>
      <c r="AC30" s="56">
        <v>1</v>
      </c>
      <c r="AD30" s="56">
        <v>0</v>
      </c>
      <c r="AE30" s="56">
        <v>1</v>
      </c>
      <c r="AF30" s="10">
        <f>IF(AC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1.6/MIN(Вес1.1,Вес1.3,Вес1.4,Вес1.5,Вес1.6,Вес1.7,Вес1.8,Вес1.9,Вес1.11,Вес1.12,Вес1.13,Вес1.14,Вес1.15,Вес1.16,Вес1.17,Вес1.18)),"")</f>
        <v>8.6419753086419746</v>
      </c>
      <c r="AG30" s="10">
        <f>IF(AF30="","не применяется",IF(AC30=0,"не применяется",AF30*AE30/100))</f>
        <v>8.6419753086419748E-2</v>
      </c>
      <c r="AH30" s="10">
        <f>IF(ISNUMBER(AG30),AG30,"")</f>
        <v>8.6419753086419748E-2</v>
      </c>
      <c r="AI30" s="56">
        <v>1</v>
      </c>
      <c r="AJ30" s="56">
        <v>0</v>
      </c>
      <c r="AK30" s="56">
        <v>1</v>
      </c>
      <c r="AL30" s="10">
        <f>IF(AI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1.7/MIN(Вес1.1,Вес1.3,Вес1.4,Вес1.5,Вес1.6,Вес1.7,Вес1.8,Вес1.9,Вес1.11,Вес1.12,Вес1.13,Вес1.14,Вес1.15,Вес1.16,Вес1.17,Вес1.18)),"")</f>
        <v>8.6419753086419746</v>
      </c>
      <c r="AM30" s="10">
        <f>IF(AL30="","не применяется",IF(AI30=0,"не применяется",AL30*AK30/100))</f>
        <v>8.6419753086419748E-2</v>
      </c>
      <c r="AN30" s="10">
        <f>IF(ISNUMBER(AM30),AM30,"")</f>
        <v>8.6419753086419748E-2</v>
      </c>
      <c r="AO30" s="56">
        <v>1</v>
      </c>
      <c r="AP30" s="56">
        <v>23</v>
      </c>
      <c r="AQ30" s="56">
        <v>0</v>
      </c>
      <c r="AR30" s="10">
        <f>IF(AO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1.8/MIN(Вес1.1,Вес1.3,Вес1.4,Вес1.5,Вес1.6,Вес1.7,Вес1.8,Вес1.9,Вес1.11,Вес1.12,Вес1.13,Вес1.14,Вес1.15,Вес1.16,Вес1.17,Вес1.18)),"")</f>
        <v>8.6419753086419746</v>
      </c>
      <c r="AS30" s="10">
        <f>IF(AR30="","не применяется",IF(AO30=0,"не применяется",AR30*AQ30/100))</f>
        <v>0</v>
      </c>
      <c r="AT30" s="10">
        <f>IF(ISNUMBER(AS30),AS30,"")</f>
        <v>0</v>
      </c>
      <c r="AU30" s="56">
        <v>1</v>
      </c>
      <c r="AV30" s="56">
        <v>31.667200000000001</v>
      </c>
      <c r="AW30" s="56">
        <v>1</v>
      </c>
      <c r="AX30" s="10">
        <f>IF(AU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1.9/MIN(Вес1.1,Вес1.3,Вес1.4,Вес1.5,Вес1.6,Вес1.7,Вес1.8,Вес1.9,Вес1.11,Вес1.12,Вес1.13,Вес1.14,Вес1.15,Вес1.16,Вес1.17,Вес1.18)),"")</f>
        <v>8.6419753086419746</v>
      </c>
      <c r="AY30" s="10">
        <f>IF(AX30="","не применяется",IF(AU30=0,"не применяется",AX30*AW30/100))</f>
        <v>8.6419753086419748E-2</v>
      </c>
      <c r="AZ30" s="10">
        <f>IF(ISNUMBER(AY30),AY30,"")</f>
        <v>8.6419753086419748E-2</v>
      </c>
      <c r="BA30" s="56">
        <v>1</v>
      </c>
      <c r="BB30" s="56">
        <v>109.4414</v>
      </c>
      <c r="BC30" s="56">
        <v>1</v>
      </c>
      <c r="BD30" s="10">
        <f>IF(BA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1.11/MIN(Вес1.1,Вес1.3,Вес1.4,Вес1.5,Вес1.6,Вес1.7,Вес1.8,Вес1.9,Вес1.11,Вес1.12,Вес1.13,Вес1.14,Вес1.15,Вес1.16,Вес1.17,Вес1.18)),"")</f>
        <v>8.6419753086419746</v>
      </c>
      <c r="BE30" s="10">
        <f>IF(BD30="","не применяется",IF(BA30=0,"не применяется",BD30*BC30/100))</f>
        <v>8.6419753086419748E-2</v>
      </c>
      <c r="BF30" s="10">
        <f>IF(ISNUMBER(BE30),BE30,"")</f>
        <v>8.6419753086419748E-2</v>
      </c>
      <c r="BG30" s="56">
        <v>1</v>
      </c>
      <c r="BH30" s="56">
        <v>2.0000000000000001E-4</v>
      </c>
      <c r="BI30" s="56">
        <v>1</v>
      </c>
      <c r="BJ30" s="10">
        <f>IF(BG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1.12/MIN(Вес1.1,Вес1.3,Вес1.4,Вес1.5,Вес1.6,Вес1.7,Вес1.8,Вес1.9,Вес1.11,Вес1.12,Вес1.13,Вес1.14,Вес1.15,Вес1.16,Вес1.17,Вес1.18)),"")</f>
        <v>7.4074074074074066</v>
      </c>
      <c r="BK30" s="10">
        <f>IF(BJ30="","не применяется",IF(BG30=0,"не применяется",BJ30*BI30/100))</f>
        <v>7.407407407407407E-2</v>
      </c>
      <c r="BL30" s="10">
        <f>IF(ISNUMBER(BK30),BK30,"")</f>
        <v>7.407407407407407E-2</v>
      </c>
      <c r="BM30" s="56">
        <v>0</v>
      </c>
      <c r="BN30" s="56">
        <v>0</v>
      </c>
      <c r="BO30" s="56">
        <v>0</v>
      </c>
      <c r="BP30" s="10" t="str">
        <f>IF(BM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1.13/MIN(Вес1.1,Вес1.3,Вес1.4,Вес1.5,Вес1.6,Вес1.7,Вес1.8,Вес1.9,Вес1.11,Вес1.12,Вес1.13,Вес1.14,Вес1.15,Вес1.16,Вес1.17,Вес1.18)),"")</f>
        <v/>
      </c>
      <c r="BQ30" s="10" t="str">
        <f>IF(BP30="","не применяется",IF(BM30=0,"не применяется",BP30*BO30/100))</f>
        <v>не применяется</v>
      </c>
      <c r="BR30" s="10" t="str">
        <f>IF(ISNUMBER(BQ30),BQ30,"")</f>
        <v/>
      </c>
      <c r="BS30" s="56">
        <v>0</v>
      </c>
      <c r="BT30" s="56">
        <v>0</v>
      </c>
      <c r="BU30" s="56">
        <v>0</v>
      </c>
      <c r="BV30" s="10" t="str">
        <f>IF(BS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1.14/MIN(Вес1.1,Вес1.3,Вес1.4,Вес1.5,Вес1.6,Вес1.7,Вес1.8,Вес1.9,Вес1.11,Вес1.12,Вес1.13,Вес1.14,Вес1.15,Вес1.16,Вес1.17,Вес1.18)),"")</f>
        <v/>
      </c>
      <c r="BW30" s="10" t="str">
        <f>IF(BV30="","не применяется",IF(BS30=0,"не применяется",BV30*BU30/100))</f>
        <v>не применяется</v>
      </c>
      <c r="BX30" s="10" t="str">
        <f>IF(ISNUMBER(BW30),BW30,"")</f>
        <v/>
      </c>
      <c r="BY30" s="56">
        <v>1</v>
      </c>
      <c r="BZ30" s="56">
        <v>2.3800000000000002E-2</v>
      </c>
      <c r="CA30" s="56">
        <v>0.94279999999999997</v>
      </c>
      <c r="CB30" s="10">
        <f>IF(BY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1.15/MIN(Вес1.1,Вес1.3,Вес1.4,Вес1.5,Вес1.6,Вес1.7,Вес1.8,Вес1.9,Вес1.11,Вес1.12,Вес1.13,Вес1.14,Вес1.15,Вес1.16,Вес1.17,Вес1.18)),"")</f>
        <v>7.4074074074074066</v>
      </c>
      <c r="CC30" s="10">
        <f>IF(CB30="","не применяется",IF(BY30=0,"не применяется",CB30*CA30/100))</f>
        <v>6.9837037037037031E-2</v>
      </c>
      <c r="CD30" s="10">
        <f>IF(ISNUMBER(CC30),CC30,"")</f>
        <v>6.9837037037037031E-2</v>
      </c>
      <c r="CE30" s="56">
        <v>1</v>
      </c>
      <c r="CF30" s="56">
        <v>0</v>
      </c>
      <c r="CG30" s="56">
        <v>1</v>
      </c>
      <c r="CH30" s="10">
        <f>IF(CE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1.16/MIN(Вес1.1,Вес1.3,Вес1.4,Вес1.5,Вес1.6,Вес1.7,Вес1.8,Вес1.9,Вес1.11,Вес1.12,Вес1.13,Вес1.14,Вес1.15,Вес1.16,Вес1.17,Вес1.18)),"")</f>
        <v>8.6419753086419746</v>
      </c>
      <c r="CI30" s="10">
        <f>IF(CH30="","не применяется",IF(CE30=0,"не применяется",CH30*CG30/100))</f>
        <v>8.6419753086419748E-2</v>
      </c>
      <c r="CJ30" s="10">
        <f>IF(ISNUMBER(CI30),CI30,"")</f>
        <v>8.6419753086419748E-2</v>
      </c>
      <c r="CK30" s="56">
        <v>0</v>
      </c>
      <c r="CL30" s="56">
        <v>0</v>
      </c>
      <c r="CM30" s="56">
        <v>0</v>
      </c>
      <c r="CN30" s="10" t="str">
        <f>IF(CK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1.17/MIN(Вес1.1,Вес1.3,Вес1.4,Вес1.5,Вес1.6,Вес1.7,Вес1.8,Вес1.9,Вес1.11,Вес1.12,Вес1.13,Вес1.14,Вес1.15,Вес1.16,Вес1.17,Вес1.18)),"")</f>
        <v/>
      </c>
      <c r="CO30" s="10" t="str">
        <f>IF(CN30="","не применяется",IF(CK30=0,"не применяется",CN30*CM30/100))</f>
        <v>не применяется</v>
      </c>
      <c r="CP30" s="10" t="str">
        <f>IF(ISNUMBER(CO30),CO30,"")</f>
        <v/>
      </c>
      <c r="CQ30" s="56">
        <v>1</v>
      </c>
      <c r="CR30" s="56">
        <v>0</v>
      </c>
      <c r="CS30" s="56">
        <v>1</v>
      </c>
      <c r="CT30" s="10">
        <f>IF(CQ30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30*Вес1.18/MIN(Вес1.1,Вес1.3,Вес1.4,Вес1.5,Вес1.6,Вес1.7,Вес1.8,Вес1.9,Вес1.11,Вес1.12,Вес1.13,Вес1.14,Вес1.15,Вес1.16,Вес1.17,Вес1.18)),"")</f>
        <v>7.4074074074074066</v>
      </c>
      <c r="CU30" s="10">
        <f>IF(CT30="","не применяется",IF(CQ30=0,"не применяется",CT30*CS30/100))</f>
        <v>7.407407407407407E-2</v>
      </c>
      <c r="CV30" s="10">
        <f>IF(ISNUMBER(CU30),CU30,"")</f>
        <v>7.407407407407407E-2</v>
      </c>
      <c r="CW30" s="10">
        <f>IF(E30=1,Вес1.1/MIN(Вес1.1,Вес1.3,Вес1.4,Вес1.5,Вес1.6,Вес1.7,Вес1.8,Вес1.9,Вес1.11,Вес1.12,Вес1.13,Вес1.14,Вес1.15,Вес1.16,Вес1.17,Вес1.18),"")</f>
        <v>1.25</v>
      </c>
      <c r="CX30" s="10">
        <f>IF(K30=1,Вес1.3/MIN(Вес1.1,Вес1.3,Вес1.4,Вес1.5,Вес1.6,Вес1.7,Вес1.8,Вес1.9,Вес1.11,Вес1.12,Вес1.13,Вес1.14,Вес1.15,Вес1.16,Вес1.17,Вес1.18),"")</f>
        <v>1.25</v>
      </c>
      <c r="CY30" s="10">
        <f>IF(Q30=1,Вес1.4/MIN(Вес1.1,Вес1.3,Вес1.4,Вес1.5,Вес1.6,Вес1.7,Вес1.8,Вес1.9,Вес1.11,Вес1.12,Вес1.13,Вес1.14,Вес1.15,Вес1.16,Вес1.17,Вес1.18),"")</f>
        <v>1</v>
      </c>
      <c r="CZ30" s="10">
        <f>IF(W30=1,Вес1.5/MIN(Вес1.1,Вес1.3,Вес1.4,Вес1.5,Вес1.6,Вес1.7,Вес1.8,Вес1.9,Вес1.11,Вес1.12,Вес1.13,Вес1.14,Вес1.15,Вес1.16,Вес1.17,Вес1.18),"")</f>
        <v>1.75</v>
      </c>
      <c r="DA30" s="10">
        <f>IF(AC30=1,Вес1.6/MIN(Вес1.6,Вес1.3,Вес1.4,Вес1.5,Вес1.6,Вес1.7,Вес1.8,Вес1.9,Вес1.11,Вес1.12,Вес1.13,Вес1.14,Вес1.15,Вес1.16,Вес1.17,Вес1.18),"")</f>
        <v>1.75</v>
      </c>
      <c r="DB30" s="10">
        <f>IF(AI30=1,Вес1.7/MIN(Вес1.1,Вес1.3,Вес1.4,Вес1.5,Вес1.6,Вес1.7,Вес1.8,Вес1.9,Вес1.11,Вес1.12,Вес1.13,Вес1.14,Вес1.15,Вес1.16,Вес1.17,Вес1.18),"")</f>
        <v>1.75</v>
      </c>
      <c r="DC30" s="10">
        <f>IF(AO30=1,Вес1.8/MIN(Вес1.1,Вес1.3,Вес1.4,Вес1.5,Вес1.6,Вес1.7,Вес1.8,Вес1.9,Вес1.11,Вес1.12,Вес1.13,Вес1.14,Вес1.15,Вес1.16,Вес1.17,Вес1.18),"")</f>
        <v>1.75</v>
      </c>
      <c r="DD30" s="10">
        <f>IF(AU30=1,Вес1.9/MIN(Вес1.1,Вес1.3,Вес1.4,Вес1.5,Вес1.6,Вес1.7,Вес1.8,Вес1.9,Вес1.11,Вес1.12,Вес1.13,Вес1.14,Вес1.15,Вес1.16,Вес1.17,Вес1.18),"")</f>
        <v>1.75</v>
      </c>
      <c r="DE30" s="10">
        <f>IF(BA30=1,Вес1.11/MIN(Вес1.1,Вес1.3,Вес1.4,Вес1.5,Вес1.6,Вес1.7,Вес1.8,Вес1.9,Вес1.11,Вес1.12,Вес1.13,Вес1.14,Вес1.15,Вес1.16,Вес1.17,Вес1.18),"")</f>
        <v>1.75</v>
      </c>
      <c r="DF30" s="10">
        <f>IF(BG30=1,Вес1.12/MIN(Вес1.1,Вес1.3,Вес1.4,Вес1.5,Вес1.6,Вес1.7,Вес1.8,Вес1.9,Вес1.11,Вес1.12,Вес1.13,Вес1.14,Вес1.15,Вес1.16,Вес1.17,Вес1.18),"")</f>
        <v>1.5</v>
      </c>
      <c r="DG30" s="10" t="str">
        <f>IF(BM30=1,Вес1.13/MIN(Вес1.1,Вес1.3,Вес1.4,Вес1.5,Вес1.6,Вес1.7,Вес1.8,Вес1.9,Вес1.11,Вес1.12,Вес1.13,Вес1.14,Вес1.15,Вес1.16,Вес1.17,Вес1.18),"")</f>
        <v/>
      </c>
      <c r="DH30" s="10" t="str">
        <f>IF(BS30=1,Вес1.14/MIN(Вес1.1,Вес1.3,Вес1.4,Вес1.5,Вес1.6,Вес1.7,Вес1.8,Вес1.9,Вес1.11,Вес1.12,Вес1.13,Вес1.14,Вес1.15,Вес1.16,Вес1.17,Вес1.18),"")</f>
        <v/>
      </c>
      <c r="DI30" s="10">
        <f>IF(BY30=1,Вес1.15/MIN(Вес1.1,Вес1.3,Вес1.4,Вес1.5,Вес1.6,Вес1.7,Вес1.8,Вес1.9,Вес1.11,Вес1.12,Вес1.13,Вес1.14,Вес1.15,Вес1.16,Вес1.17,Вес1.18),"")</f>
        <v>1.5</v>
      </c>
      <c r="DJ30" s="10">
        <f>IF(CE30=1,Вес1.16/MIN(Вес1.1,Вес1.3,Вес1.4,Вес1.5,Вес1.6,Вес1.7,Вес1.8,Вес1.9,Вес1.11,Вес1.12,Вес1.13,Вес1.14,Вес1.15,Вес1.16,Вес1.17,Вес1.18),"")</f>
        <v>1.75</v>
      </c>
      <c r="DK30" s="10" t="str">
        <f>IF(CK30=1,Вес1.17/MIN(Вес1.1,Вес1.3,Вес1.4,Вес1.5,Вес1.6,Вес1.7,Вес1.8,Вес1.9,Вес1.11,Вес1.12,Вес1.13,Вес1.14,Вес1.15,Вес1.16,Вес1.17,Вес1.18),"")</f>
        <v/>
      </c>
      <c r="DL30" s="10">
        <f>IF(CQ30=1,Вес1.18/MIN(Вес1.1,Вес1.3,Вес1.4,Вес1.5,Вес1.6,Вес1.7,Вес1.8,Вес1.9,Вес1.11,Вес1.12,Вес1.13,Вес1.14,Вес1.15,Вес1.16,Вес1.17,Вес1.18),"")</f>
        <v>1.5</v>
      </c>
      <c r="DM30" s="10">
        <f>SUM(CW30:DL30)</f>
        <v>20.25</v>
      </c>
    </row>
    <row r="31" spans="1:118" ht="38.25" x14ac:dyDescent="0.2">
      <c r="A31" s="1" t="s">
        <v>104</v>
      </c>
      <c r="B31" s="9" t="s">
        <v>23</v>
      </c>
      <c r="C31" s="10">
        <f>IF(D31&lt;&gt;1,"",SUM(J31,P31,V31,AB31,AH31,AN31,AT31,AZ31,BF31,BL31,BR31,BX31,CD31,CJ31,CP31,CV31))</f>
        <v>0.84709000000000012</v>
      </c>
      <c r="D31" s="10">
        <f>IF(SUM(E31,K31,Q31,W31,AC31,AI31,AO31,AU31,BA31,BG31,BM31,BS31,BY31,CE31,CK31,CQ31)=0,0,1)</f>
        <v>1</v>
      </c>
      <c r="E31" s="56">
        <v>1</v>
      </c>
      <c r="F31" s="56">
        <v>21.875</v>
      </c>
      <c r="G31" s="56">
        <v>0</v>
      </c>
      <c r="H31" s="10">
        <f>IF(E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1.1/MIN(Вес1.1,Вес1.3,Вес1.4,Вес1.5,Вес1.6,Вес1.7,Вес1.8,Вес1.9,Вес1.11,Вес1.12,Вес1.13,Вес1.14,Вес1.15,Вес1.16,Вес1.17,Вес1.18)),"")</f>
        <v>5</v>
      </c>
      <c r="I31" s="10">
        <f>IF(H31="","не применяется",IF(E31=0,"не применяется",H31*G31/100))</f>
        <v>0</v>
      </c>
      <c r="J31" s="10">
        <f>IF(ISNUMBER(I31),I31,"")</f>
        <v>0</v>
      </c>
      <c r="K31" s="56">
        <v>1</v>
      </c>
      <c r="L31" s="56">
        <v>0</v>
      </c>
      <c r="M31" s="56">
        <v>1</v>
      </c>
      <c r="N31" s="10">
        <f>IF(K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1.3/MIN(Вес1.1,Вес1.3,Вес1.4,Вес1.5,Вес1.6,Вес1.7,Вес1.8,Вес1.9,Вес1.11,Вес1.12,Вес1.13,Вес1.14,Вес1.15,Вес1.16,Вес1.17,Вес1.18)),"")</f>
        <v>5</v>
      </c>
      <c r="O31" s="10">
        <f>IF(N31="","не применяется",IF(K31=0,"не применяется",N31*M31/100))</f>
        <v>0.05</v>
      </c>
      <c r="P31" s="10">
        <f>IF(ISNUMBER(O31),O31,"")</f>
        <v>0.05</v>
      </c>
      <c r="Q31" s="56">
        <v>1</v>
      </c>
      <c r="R31" s="56">
        <v>100</v>
      </c>
      <c r="S31" s="56">
        <v>1</v>
      </c>
      <c r="T31" s="10">
        <f>IF(Q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1.4/MIN(Вес1.1,Вес1.3,Вес1.4,Вес1.5,Вес1.6,Вес1.7,Вес1.8,Вес1.9,Вес1.11,Вес1.12,Вес1.13,Вес1.14,Вес1.15,Вес1.16,Вес1.17,Вес1.18)),"")</f>
        <v>4</v>
      </c>
      <c r="U31" s="10">
        <f>IF(T31="","не применяется",IF(Q31=0,"не применяется",S31*T31/100))</f>
        <v>0.04</v>
      </c>
      <c r="V31" s="10">
        <f>IF(ISNUMBER(U31),U31,"")</f>
        <v>0.04</v>
      </c>
      <c r="W31" s="56">
        <v>1</v>
      </c>
      <c r="X31" s="56">
        <v>3.8999999999999998E-3</v>
      </c>
      <c r="Y31" s="56">
        <v>1</v>
      </c>
      <c r="Z31" s="10">
        <f>IF(W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1.5/MIN(Вес1.1,Вес1.3,Вес1.4,Вес1.5,Вес1.6,Вес1.7,Вес1.8,Вес1.9,Вес1.11,Вес1.12,Вес1.13,Вес1.14,Вес1.15,Вес1.16,Вес1.17,Вес1.18)),"")</f>
        <v>7</v>
      </c>
      <c r="AA31" s="10">
        <f>IF(Z31="","не применяется",IF(W31=0,"не применяется",Z31*Y31/100))</f>
        <v>7.0000000000000007E-2</v>
      </c>
      <c r="AB31" s="10">
        <f>IF(ISNUMBER(AA31),AA31,"")</f>
        <v>7.0000000000000007E-2</v>
      </c>
      <c r="AC31" s="56">
        <v>1</v>
      </c>
      <c r="AD31" s="56">
        <v>0</v>
      </c>
      <c r="AE31" s="56">
        <v>1</v>
      </c>
      <c r="AF31" s="10">
        <f>IF(AC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1.6/MIN(Вес1.1,Вес1.3,Вес1.4,Вес1.5,Вес1.6,Вес1.7,Вес1.8,Вес1.9,Вес1.11,Вес1.12,Вес1.13,Вес1.14,Вес1.15,Вес1.16,Вес1.17,Вес1.18)),"")</f>
        <v>7</v>
      </c>
      <c r="AG31" s="10">
        <f>IF(AF31="","не применяется",IF(AC31=0,"не применяется",AF31*AE31/100))</f>
        <v>7.0000000000000007E-2</v>
      </c>
      <c r="AH31" s="10">
        <f>IF(ISNUMBER(AG31),AG31,"")</f>
        <v>7.0000000000000007E-2</v>
      </c>
      <c r="AI31" s="56">
        <v>1</v>
      </c>
      <c r="AJ31" s="56">
        <v>0</v>
      </c>
      <c r="AK31" s="56">
        <v>1</v>
      </c>
      <c r="AL31" s="10">
        <f>IF(AI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1.7/MIN(Вес1.1,Вес1.3,Вес1.4,Вес1.5,Вес1.6,Вес1.7,Вес1.8,Вес1.9,Вес1.11,Вес1.12,Вес1.13,Вес1.14,Вес1.15,Вес1.16,Вес1.17,Вес1.18)),"")</f>
        <v>7</v>
      </c>
      <c r="AM31" s="10">
        <f>IF(AL31="","не применяется",IF(AI31=0,"не применяется",AL31*AK31/100))</f>
        <v>7.0000000000000007E-2</v>
      </c>
      <c r="AN31" s="10">
        <f>IF(ISNUMBER(AM31),AM31,"")</f>
        <v>7.0000000000000007E-2</v>
      </c>
      <c r="AO31" s="56">
        <v>1</v>
      </c>
      <c r="AP31" s="56">
        <v>29</v>
      </c>
      <c r="AQ31" s="56">
        <v>0</v>
      </c>
      <c r="AR31" s="10">
        <f>IF(AO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1.8/MIN(Вес1.1,Вес1.3,Вес1.4,Вес1.5,Вес1.6,Вес1.7,Вес1.8,Вес1.9,Вес1.11,Вес1.12,Вес1.13,Вес1.14,Вес1.15,Вес1.16,Вес1.17,Вес1.18)),"")</f>
        <v>7</v>
      </c>
      <c r="AS31" s="10">
        <f>IF(AR31="","не применяется",IF(AO31=0,"не применяется",AR31*AQ31/100))</f>
        <v>0</v>
      </c>
      <c r="AT31" s="10">
        <f>IF(ISNUMBER(AS31),AS31,"")</f>
        <v>0</v>
      </c>
      <c r="AU31" s="56">
        <v>1</v>
      </c>
      <c r="AV31" s="56">
        <v>35.2714</v>
      </c>
      <c r="AW31" s="56">
        <v>1</v>
      </c>
      <c r="AX31" s="10">
        <f>IF(AU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1.9/MIN(Вес1.1,Вес1.3,Вес1.4,Вес1.5,Вес1.6,Вес1.7,Вес1.8,Вес1.9,Вес1.11,Вес1.12,Вес1.13,Вес1.14,Вес1.15,Вес1.16,Вес1.17,Вес1.18)),"")</f>
        <v>7</v>
      </c>
      <c r="AY31" s="10">
        <f>IF(AX31="","не применяется",IF(AU31=0,"не применяется",AX31*AW31/100))</f>
        <v>7.0000000000000007E-2</v>
      </c>
      <c r="AZ31" s="10">
        <f>IF(ISNUMBER(AY31),AY31,"")</f>
        <v>7.0000000000000007E-2</v>
      </c>
      <c r="BA31" s="56">
        <v>1</v>
      </c>
      <c r="BB31" s="56">
        <v>115.0455</v>
      </c>
      <c r="BC31" s="56">
        <v>1</v>
      </c>
      <c r="BD31" s="10">
        <f>IF(BA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1.11/MIN(Вес1.1,Вес1.3,Вес1.4,Вес1.5,Вес1.6,Вес1.7,Вес1.8,Вес1.9,Вес1.11,Вес1.12,Вес1.13,Вес1.14,Вес1.15,Вес1.16,Вес1.17,Вес1.18)),"")</f>
        <v>7</v>
      </c>
      <c r="BE31" s="10">
        <f>IF(BD31="","не применяется",IF(BA31=0,"не применяется",BD31*BC31/100))</f>
        <v>7.0000000000000007E-2</v>
      </c>
      <c r="BF31" s="10">
        <f>IF(ISNUMBER(BE31),BE31,"")</f>
        <v>7.0000000000000007E-2</v>
      </c>
      <c r="BG31" s="56">
        <v>1</v>
      </c>
      <c r="BH31" s="56">
        <v>3.5999999999999999E-3</v>
      </c>
      <c r="BI31" s="56">
        <v>1</v>
      </c>
      <c r="BJ31" s="10">
        <f>IF(BG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1.12/MIN(Вес1.1,Вес1.3,Вес1.4,Вес1.5,Вес1.6,Вес1.7,Вес1.8,Вес1.9,Вес1.11,Вес1.12,Вес1.13,Вес1.14,Вес1.15,Вес1.16,Вес1.17,Вес1.18)),"")</f>
        <v>6</v>
      </c>
      <c r="BK31" s="10">
        <f>IF(BJ31="","не применяется",IF(BG31=0,"не применяется",BJ31*BI31/100))</f>
        <v>0.06</v>
      </c>
      <c r="BL31" s="10">
        <f>IF(ISNUMBER(BK31),BK31,"")</f>
        <v>0.06</v>
      </c>
      <c r="BM31" s="56">
        <v>1</v>
      </c>
      <c r="BN31" s="56">
        <v>99.820899999999995</v>
      </c>
      <c r="BO31" s="56">
        <v>1</v>
      </c>
      <c r="BP31" s="10">
        <f>IF(BM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1.13/MIN(Вес1.1,Вес1.3,Вес1.4,Вес1.5,Вес1.6,Вес1.7,Вес1.8,Вес1.9,Вес1.11,Вес1.12,Вес1.13,Вес1.14,Вес1.15,Вес1.16,Вес1.17,Вес1.18)),"")</f>
        <v>7</v>
      </c>
      <c r="BQ31" s="10">
        <f>IF(BP31="","не применяется",IF(BM31=0,"не применяется",BP31*BO31/100))</f>
        <v>7.0000000000000007E-2</v>
      </c>
      <c r="BR31" s="10">
        <f>IF(ISNUMBER(BQ31),BQ31,"")</f>
        <v>7.0000000000000007E-2</v>
      </c>
      <c r="BS31" s="56">
        <v>1</v>
      </c>
      <c r="BT31" s="56">
        <v>1.8E-3</v>
      </c>
      <c r="BU31" s="56">
        <v>1</v>
      </c>
      <c r="BV31" s="10">
        <f>IF(BS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1.14/MIN(Вес1.1,Вес1.3,Вес1.4,Вес1.5,Вес1.6,Вес1.7,Вес1.8,Вес1.9,Вес1.11,Вес1.12,Вес1.13,Вес1.14,Вес1.15,Вес1.16,Вес1.17,Вес1.18)),"")</f>
        <v>6</v>
      </c>
      <c r="BW31" s="10">
        <f>IF(BV31="","не применяется",IF(BS31=0,"не применяется",BV31*BU31/100))</f>
        <v>0.06</v>
      </c>
      <c r="BX31" s="10">
        <f>IF(ISNUMBER(BW31),BW31,"")</f>
        <v>0.06</v>
      </c>
      <c r="BY31" s="56">
        <v>1</v>
      </c>
      <c r="BZ31" s="56">
        <v>2.01E-2</v>
      </c>
      <c r="CA31" s="56">
        <v>0.95150000000000001</v>
      </c>
      <c r="CB31" s="10">
        <f>IF(BY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1.15/MIN(Вес1.1,Вес1.3,Вес1.4,Вес1.5,Вес1.6,Вес1.7,Вес1.8,Вес1.9,Вес1.11,Вес1.12,Вес1.13,Вес1.14,Вес1.15,Вес1.16,Вес1.17,Вес1.18)),"")</f>
        <v>6</v>
      </c>
      <c r="CC31" s="10">
        <f>IF(CB31="","не применяется",IF(BY31=0,"не применяется",CB31*CA31/100))</f>
        <v>5.7089999999999995E-2</v>
      </c>
      <c r="CD31" s="10">
        <f>IF(ISNUMBER(CC31),CC31,"")</f>
        <v>5.7089999999999995E-2</v>
      </c>
      <c r="CE31" s="56">
        <v>1</v>
      </c>
      <c r="CF31" s="56">
        <v>0</v>
      </c>
      <c r="CG31" s="56">
        <v>1</v>
      </c>
      <c r="CH31" s="10">
        <f>IF(CE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1.16/MIN(Вес1.1,Вес1.3,Вес1.4,Вес1.5,Вес1.6,Вес1.7,Вес1.8,Вес1.9,Вес1.11,Вес1.12,Вес1.13,Вес1.14,Вес1.15,Вес1.16,Вес1.17,Вес1.18)),"")</f>
        <v>7</v>
      </c>
      <c r="CI31" s="10">
        <f>IF(CH31="","не применяется",IF(CE31=0,"не применяется",CH31*CG31/100))</f>
        <v>7.0000000000000007E-2</v>
      </c>
      <c r="CJ31" s="10">
        <f>IF(ISNUMBER(CI31),CI31,"")</f>
        <v>7.0000000000000007E-2</v>
      </c>
      <c r="CK31" s="56">
        <v>1</v>
      </c>
      <c r="CL31" s="56">
        <v>0</v>
      </c>
      <c r="CM31" s="56">
        <v>1</v>
      </c>
      <c r="CN31" s="10">
        <f>IF(CK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1.17/MIN(Вес1.1,Вес1.3,Вес1.4,Вес1.5,Вес1.6,Вес1.7,Вес1.8,Вес1.9,Вес1.11,Вес1.12,Вес1.13,Вес1.14,Вес1.15,Вес1.16,Вес1.17,Вес1.18)),"")</f>
        <v>6</v>
      </c>
      <c r="CO31" s="10">
        <f>IF(CN31="","не применяется",IF(CK31=0,"не применяется",CN31*CM31/100))</f>
        <v>0.06</v>
      </c>
      <c r="CP31" s="10">
        <f>IF(ISNUMBER(CO31),CO31,"")</f>
        <v>0.06</v>
      </c>
      <c r="CQ31" s="56">
        <v>1</v>
      </c>
      <c r="CR31" s="56">
        <v>100</v>
      </c>
      <c r="CS31" s="56">
        <v>0.5</v>
      </c>
      <c r="CT31" s="10">
        <f>IF(CQ31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31*Вес1.18/MIN(Вес1.1,Вес1.3,Вес1.4,Вес1.5,Вес1.6,Вес1.7,Вес1.8,Вес1.9,Вес1.11,Вес1.12,Вес1.13,Вес1.14,Вес1.15,Вес1.16,Вес1.17,Вес1.18)),"")</f>
        <v>6</v>
      </c>
      <c r="CU31" s="10">
        <f>IF(CT31="","не применяется",IF(CQ31=0,"не применяется",CT31*CS31/100))</f>
        <v>0.03</v>
      </c>
      <c r="CV31" s="10">
        <f>IF(ISNUMBER(CU31),CU31,"")</f>
        <v>0.03</v>
      </c>
      <c r="CW31" s="10">
        <f>IF(E31=1,Вес1.1/MIN(Вес1.1,Вес1.3,Вес1.4,Вес1.5,Вес1.6,Вес1.7,Вес1.8,Вес1.9,Вес1.11,Вес1.12,Вес1.13,Вес1.14,Вес1.15,Вес1.16,Вес1.17,Вес1.18),"")</f>
        <v>1.25</v>
      </c>
      <c r="CX31" s="10">
        <f>IF(K31=1,Вес1.3/MIN(Вес1.1,Вес1.3,Вес1.4,Вес1.5,Вес1.6,Вес1.7,Вес1.8,Вес1.9,Вес1.11,Вес1.12,Вес1.13,Вес1.14,Вес1.15,Вес1.16,Вес1.17,Вес1.18),"")</f>
        <v>1.25</v>
      </c>
      <c r="CY31" s="10">
        <f>IF(Q31=1,Вес1.4/MIN(Вес1.1,Вес1.3,Вес1.4,Вес1.5,Вес1.6,Вес1.7,Вес1.8,Вес1.9,Вес1.11,Вес1.12,Вес1.13,Вес1.14,Вес1.15,Вес1.16,Вес1.17,Вес1.18),"")</f>
        <v>1</v>
      </c>
      <c r="CZ31" s="10">
        <f>IF(W31=1,Вес1.5/MIN(Вес1.1,Вес1.3,Вес1.4,Вес1.5,Вес1.6,Вес1.7,Вес1.8,Вес1.9,Вес1.11,Вес1.12,Вес1.13,Вес1.14,Вес1.15,Вес1.16,Вес1.17,Вес1.18),"")</f>
        <v>1.75</v>
      </c>
      <c r="DA31" s="10">
        <f>IF(AC31=1,Вес1.6/MIN(Вес1.6,Вес1.3,Вес1.4,Вес1.5,Вес1.6,Вес1.7,Вес1.8,Вес1.9,Вес1.11,Вес1.12,Вес1.13,Вес1.14,Вес1.15,Вес1.16,Вес1.17,Вес1.18),"")</f>
        <v>1.75</v>
      </c>
      <c r="DB31" s="10">
        <f>IF(AI31=1,Вес1.7/MIN(Вес1.1,Вес1.3,Вес1.4,Вес1.5,Вес1.6,Вес1.7,Вес1.8,Вес1.9,Вес1.11,Вес1.12,Вес1.13,Вес1.14,Вес1.15,Вес1.16,Вес1.17,Вес1.18),"")</f>
        <v>1.75</v>
      </c>
      <c r="DC31" s="10">
        <f>IF(AO31=1,Вес1.8/MIN(Вес1.1,Вес1.3,Вес1.4,Вес1.5,Вес1.6,Вес1.7,Вес1.8,Вес1.9,Вес1.11,Вес1.12,Вес1.13,Вес1.14,Вес1.15,Вес1.16,Вес1.17,Вес1.18),"")</f>
        <v>1.75</v>
      </c>
      <c r="DD31" s="10">
        <f>IF(AU31=1,Вес1.9/MIN(Вес1.1,Вес1.3,Вес1.4,Вес1.5,Вес1.6,Вес1.7,Вес1.8,Вес1.9,Вес1.11,Вес1.12,Вес1.13,Вес1.14,Вес1.15,Вес1.16,Вес1.17,Вес1.18),"")</f>
        <v>1.75</v>
      </c>
      <c r="DE31" s="10">
        <f>IF(BA31=1,Вес1.11/MIN(Вес1.1,Вес1.3,Вес1.4,Вес1.5,Вес1.6,Вес1.7,Вес1.8,Вес1.9,Вес1.11,Вес1.12,Вес1.13,Вес1.14,Вес1.15,Вес1.16,Вес1.17,Вес1.18),"")</f>
        <v>1.75</v>
      </c>
      <c r="DF31" s="10">
        <f>IF(BG31=1,Вес1.12/MIN(Вес1.1,Вес1.3,Вес1.4,Вес1.5,Вес1.6,Вес1.7,Вес1.8,Вес1.9,Вес1.11,Вес1.12,Вес1.13,Вес1.14,Вес1.15,Вес1.16,Вес1.17,Вес1.18),"")</f>
        <v>1.5</v>
      </c>
      <c r="DG31" s="10">
        <f>IF(BM31=1,Вес1.13/MIN(Вес1.1,Вес1.3,Вес1.4,Вес1.5,Вес1.6,Вес1.7,Вес1.8,Вес1.9,Вес1.11,Вес1.12,Вес1.13,Вес1.14,Вес1.15,Вес1.16,Вес1.17,Вес1.18),"")</f>
        <v>1.75</v>
      </c>
      <c r="DH31" s="10">
        <f>IF(BS31=1,Вес1.14/MIN(Вес1.1,Вес1.3,Вес1.4,Вес1.5,Вес1.6,Вес1.7,Вес1.8,Вес1.9,Вес1.11,Вес1.12,Вес1.13,Вес1.14,Вес1.15,Вес1.16,Вес1.17,Вес1.18),"")</f>
        <v>1.5</v>
      </c>
      <c r="DI31" s="10">
        <f>IF(BY31=1,Вес1.15/MIN(Вес1.1,Вес1.3,Вес1.4,Вес1.5,Вес1.6,Вес1.7,Вес1.8,Вес1.9,Вес1.11,Вес1.12,Вес1.13,Вес1.14,Вес1.15,Вес1.16,Вес1.17,Вес1.18),"")</f>
        <v>1.5</v>
      </c>
      <c r="DJ31" s="10">
        <f>IF(CE31=1,Вес1.16/MIN(Вес1.1,Вес1.3,Вес1.4,Вес1.5,Вес1.6,Вес1.7,Вес1.8,Вес1.9,Вес1.11,Вес1.12,Вес1.13,Вес1.14,Вес1.15,Вес1.16,Вес1.17,Вес1.18),"")</f>
        <v>1.75</v>
      </c>
      <c r="DK31" s="10">
        <f>IF(CK31=1,Вес1.17/MIN(Вес1.1,Вес1.3,Вес1.4,Вес1.5,Вес1.6,Вес1.7,Вес1.8,Вес1.9,Вес1.11,Вес1.12,Вес1.13,Вес1.14,Вес1.15,Вес1.16,Вес1.17,Вес1.18),"")</f>
        <v>1.5</v>
      </c>
      <c r="DL31" s="10">
        <f>IF(CQ31=1,Вес1.18/MIN(Вес1.1,Вес1.3,Вес1.4,Вес1.5,Вес1.6,Вес1.7,Вес1.8,Вес1.9,Вес1.11,Вес1.12,Вес1.13,Вес1.14,Вес1.15,Вес1.16,Вес1.17,Вес1.18),"")</f>
        <v>1.5</v>
      </c>
      <c r="DM31" s="10">
        <f>SUM(CW31:DL31)</f>
        <v>25</v>
      </c>
    </row>
    <row r="32" spans="1:118" ht="25.5" x14ac:dyDescent="0.2">
      <c r="A32" s="1" t="s">
        <v>105</v>
      </c>
      <c r="B32" s="9" t="s">
        <v>24</v>
      </c>
      <c r="C32" s="10">
        <f>IF(D32&lt;&gt;1,"",SUM(J32,P32,V32,AB32,AH32,AN32,AT32,AZ32,BF32,BL32,BR32,BX32,CD32,CJ32,CP32,CV32))</f>
        <v>0.72497400000000001</v>
      </c>
      <c r="D32" s="10">
        <f>IF(SUM(E32,K32,Q32,W32,AC32,AI32,AO32,AU32,BA32,BG32,BM32,BS32,BY32,CE32,CK32,CQ32)=0,0,1)</f>
        <v>1</v>
      </c>
      <c r="E32" s="56">
        <v>1</v>
      </c>
      <c r="F32" s="56">
        <v>3.2608999999999999</v>
      </c>
      <c r="G32" s="56">
        <v>0.96740000000000004</v>
      </c>
      <c r="H32" s="10">
        <f>IF(E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1.1/MIN(Вес1.1,Вес1.3,Вес1.4,Вес1.5,Вес1.6,Вес1.7,Вес1.8,Вес1.9,Вес1.11,Вес1.12,Вес1.13,Вес1.14,Вес1.15,Вес1.16,Вес1.17,Вес1.18)),"")</f>
        <v>5</v>
      </c>
      <c r="I32" s="10">
        <f>IF(H32="","не применяется",IF(E32=0,"не применяется",H32*G32/100))</f>
        <v>4.8369999999999996E-2</v>
      </c>
      <c r="J32" s="10">
        <f>IF(ISNUMBER(I32),I32,"")</f>
        <v>4.8369999999999996E-2</v>
      </c>
      <c r="K32" s="56">
        <v>1</v>
      </c>
      <c r="L32" s="56">
        <v>0</v>
      </c>
      <c r="M32" s="56">
        <v>1</v>
      </c>
      <c r="N32" s="10">
        <f>IF(K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1.3/MIN(Вес1.1,Вес1.3,Вес1.4,Вес1.5,Вес1.6,Вес1.7,Вес1.8,Вес1.9,Вес1.11,Вес1.12,Вес1.13,Вес1.14,Вес1.15,Вес1.16,Вес1.17,Вес1.18)),"")</f>
        <v>5</v>
      </c>
      <c r="O32" s="10">
        <f>IF(N32="","не применяется",IF(K32=0,"не применяется",N32*M32/100))</f>
        <v>0.05</v>
      </c>
      <c r="P32" s="10">
        <f>IF(ISNUMBER(O32),O32,"")</f>
        <v>0.05</v>
      </c>
      <c r="Q32" s="56">
        <v>1</v>
      </c>
      <c r="R32" s="56">
        <v>100</v>
      </c>
      <c r="S32" s="56">
        <v>1</v>
      </c>
      <c r="T32" s="10">
        <f>IF(Q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1.4/MIN(Вес1.1,Вес1.3,Вес1.4,Вес1.5,Вес1.6,Вес1.7,Вес1.8,Вес1.9,Вес1.11,Вес1.12,Вес1.13,Вес1.14,Вес1.15,Вес1.16,Вес1.17,Вес1.18)),"")</f>
        <v>4</v>
      </c>
      <c r="U32" s="10">
        <f>IF(T32="","не применяется",IF(Q32=0,"не применяется",S32*T32/100))</f>
        <v>0.04</v>
      </c>
      <c r="V32" s="10">
        <f>IF(ISNUMBER(U32),U32,"")</f>
        <v>0.04</v>
      </c>
      <c r="W32" s="56">
        <v>1</v>
      </c>
      <c r="X32" s="56">
        <v>1E-4</v>
      </c>
      <c r="Y32" s="56">
        <v>1</v>
      </c>
      <c r="Z32" s="10">
        <f>IF(W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1.5/MIN(Вес1.1,Вес1.3,Вес1.4,Вес1.5,Вес1.6,Вес1.7,Вес1.8,Вес1.9,Вес1.11,Вес1.12,Вес1.13,Вес1.14,Вес1.15,Вес1.16,Вес1.17,Вес1.18)),"")</f>
        <v>7</v>
      </c>
      <c r="AA32" s="10">
        <f>IF(Z32="","не применяется",IF(W32=0,"не применяется",Z32*Y32/100))</f>
        <v>7.0000000000000007E-2</v>
      </c>
      <c r="AB32" s="10">
        <f>IF(ISNUMBER(AA32),AA32,"")</f>
        <v>7.0000000000000007E-2</v>
      </c>
      <c r="AC32" s="56">
        <v>1</v>
      </c>
      <c r="AD32" s="56">
        <v>0</v>
      </c>
      <c r="AE32" s="56">
        <v>1</v>
      </c>
      <c r="AF32" s="10">
        <f>IF(AC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1.6/MIN(Вес1.1,Вес1.3,Вес1.4,Вес1.5,Вес1.6,Вес1.7,Вес1.8,Вес1.9,Вес1.11,Вес1.12,Вес1.13,Вес1.14,Вес1.15,Вес1.16,Вес1.17,Вес1.18)),"")</f>
        <v>7</v>
      </c>
      <c r="AG32" s="10">
        <f>IF(AF32="","не применяется",IF(AC32=0,"не применяется",AF32*AE32/100))</f>
        <v>7.0000000000000007E-2</v>
      </c>
      <c r="AH32" s="10">
        <f>IF(ISNUMBER(AG32),AG32,"")</f>
        <v>7.0000000000000007E-2</v>
      </c>
      <c r="AI32" s="56">
        <v>1</v>
      </c>
      <c r="AJ32" s="56">
        <v>0</v>
      </c>
      <c r="AK32" s="56">
        <v>1</v>
      </c>
      <c r="AL32" s="10">
        <f>IF(AI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1.7/MIN(Вес1.1,Вес1.3,Вес1.4,Вес1.5,Вес1.6,Вес1.7,Вес1.8,Вес1.9,Вес1.11,Вес1.12,Вес1.13,Вес1.14,Вес1.15,Вес1.16,Вес1.17,Вес1.18)),"")</f>
        <v>7</v>
      </c>
      <c r="AM32" s="10">
        <f>IF(AL32="","не применяется",IF(AI32=0,"не применяется",AL32*AK32/100))</f>
        <v>7.0000000000000007E-2</v>
      </c>
      <c r="AN32" s="10">
        <f>IF(ISNUMBER(AM32),AM32,"")</f>
        <v>7.0000000000000007E-2</v>
      </c>
      <c r="AO32" s="56">
        <v>1</v>
      </c>
      <c r="AP32" s="56">
        <v>33</v>
      </c>
      <c r="AQ32" s="56">
        <v>0</v>
      </c>
      <c r="AR32" s="10">
        <f>IF(AO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1.8/MIN(Вес1.1,Вес1.3,Вес1.4,Вес1.5,Вес1.6,Вес1.7,Вес1.8,Вес1.9,Вес1.11,Вес1.12,Вес1.13,Вес1.14,Вес1.15,Вес1.16,Вес1.17,Вес1.18)),"")</f>
        <v>7</v>
      </c>
      <c r="AS32" s="10">
        <f>IF(AR32="","не применяется",IF(AO32=0,"не применяется",AR32*AQ32/100))</f>
        <v>0</v>
      </c>
      <c r="AT32" s="10">
        <f>IF(ISNUMBER(AS32),AS32,"")</f>
        <v>0</v>
      </c>
      <c r="AU32" s="56">
        <v>1</v>
      </c>
      <c r="AV32" s="56">
        <v>50.019799999999996</v>
      </c>
      <c r="AW32" s="56">
        <v>0</v>
      </c>
      <c r="AX32" s="10">
        <f>IF(AU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1.9/MIN(Вес1.1,Вес1.3,Вес1.4,Вес1.5,Вес1.6,Вес1.7,Вес1.8,Вес1.9,Вес1.11,Вес1.12,Вес1.13,Вес1.14,Вес1.15,Вес1.16,Вес1.17,Вес1.18)),"")</f>
        <v>7</v>
      </c>
      <c r="AY32" s="10">
        <f>IF(AX32="","не применяется",IF(AU32=0,"не применяется",AX32*AW32/100))</f>
        <v>0</v>
      </c>
      <c r="AZ32" s="10">
        <f>IF(ISNUMBER(AY32),AY32,"")</f>
        <v>0</v>
      </c>
      <c r="BA32" s="56">
        <v>1</v>
      </c>
      <c r="BB32" s="56">
        <v>710.3184</v>
      </c>
      <c r="BC32" s="56">
        <v>1</v>
      </c>
      <c r="BD32" s="10">
        <f>IF(BA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1.11/MIN(Вес1.1,Вес1.3,Вес1.4,Вес1.5,Вес1.6,Вес1.7,Вес1.8,Вес1.9,Вес1.11,Вес1.12,Вес1.13,Вес1.14,Вес1.15,Вес1.16,Вес1.17,Вес1.18)),"")</f>
        <v>7</v>
      </c>
      <c r="BE32" s="10">
        <f>IF(BD32="","не применяется",IF(BA32=0,"не применяется",BD32*BC32/100))</f>
        <v>7.0000000000000007E-2</v>
      </c>
      <c r="BF32" s="10">
        <f>IF(ISNUMBER(BE32),BE32,"")</f>
        <v>7.0000000000000007E-2</v>
      </c>
      <c r="BG32" s="56">
        <v>1</v>
      </c>
      <c r="BH32" s="56">
        <v>3.2000000000000002E-3</v>
      </c>
      <c r="BI32" s="56">
        <v>1</v>
      </c>
      <c r="BJ32" s="10">
        <f>IF(BG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1.12/MIN(Вес1.1,Вес1.3,Вес1.4,Вес1.5,Вес1.6,Вес1.7,Вес1.8,Вес1.9,Вес1.11,Вес1.12,Вес1.13,Вес1.14,Вес1.15,Вес1.16,Вес1.17,Вес1.18)),"")</f>
        <v>6</v>
      </c>
      <c r="BK32" s="10">
        <f>IF(BJ32="","не применяется",IF(BG32=0,"не применяется",BJ32*BI32/100))</f>
        <v>0.06</v>
      </c>
      <c r="BL32" s="10">
        <f>IF(ISNUMBER(BK32),BK32,"")</f>
        <v>0.06</v>
      </c>
      <c r="BM32" s="56">
        <v>1</v>
      </c>
      <c r="BN32" s="56">
        <v>90.244200000000006</v>
      </c>
      <c r="BO32" s="56">
        <v>0</v>
      </c>
      <c r="BP32" s="10">
        <f>IF(BM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1.13/MIN(Вес1.1,Вес1.3,Вес1.4,Вес1.5,Вес1.6,Вес1.7,Вес1.8,Вес1.9,Вес1.11,Вес1.12,Вес1.13,Вес1.14,Вес1.15,Вес1.16,Вес1.17,Вес1.18)),"")</f>
        <v>7</v>
      </c>
      <c r="BQ32" s="10">
        <f>IF(BP32="","не применяется",IF(BM32=0,"не применяется",BP32*BO32/100))</f>
        <v>0</v>
      </c>
      <c r="BR32" s="10">
        <f>IF(ISNUMBER(BQ32),BQ32,"")</f>
        <v>0</v>
      </c>
      <c r="BS32" s="56">
        <v>1</v>
      </c>
      <c r="BT32" s="56">
        <v>9.7600000000000006E-2</v>
      </c>
      <c r="BU32" s="56">
        <v>4.8800000000000003E-2</v>
      </c>
      <c r="BV32" s="10">
        <f>IF(BS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1.14/MIN(Вес1.1,Вес1.3,Вес1.4,Вес1.5,Вес1.6,Вес1.7,Вес1.8,Вес1.9,Вес1.11,Вес1.12,Вес1.13,Вес1.14,Вес1.15,Вес1.16,Вес1.17,Вес1.18)),"")</f>
        <v>6</v>
      </c>
      <c r="BW32" s="10">
        <f>IF(BV32="","не применяется",IF(BS32=0,"не применяется",BV32*BU32/100))</f>
        <v>2.928E-3</v>
      </c>
      <c r="BX32" s="10">
        <f>IF(ISNUMBER(BW32),BW32,"")</f>
        <v>2.928E-3</v>
      </c>
      <c r="BY32" s="56">
        <v>1</v>
      </c>
      <c r="BZ32" s="56">
        <v>2.2000000000000001E-3</v>
      </c>
      <c r="CA32" s="56">
        <v>0.99460000000000004</v>
      </c>
      <c r="CB32" s="10">
        <f>IF(BY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1.15/MIN(Вес1.1,Вес1.3,Вес1.4,Вес1.5,Вес1.6,Вес1.7,Вес1.8,Вес1.9,Вес1.11,Вес1.12,Вес1.13,Вес1.14,Вес1.15,Вес1.16,Вес1.17,Вес1.18)),"")</f>
        <v>6</v>
      </c>
      <c r="CC32" s="10">
        <f>IF(CB32="","не применяется",IF(BY32=0,"не применяется",CB32*CA32/100))</f>
        <v>5.9676E-2</v>
      </c>
      <c r="CD32" s="10">
        <f>IF(ISNUMBER(CC32),CC32,"")</f>
        <v>5.9676E-2</v>
      </c>
      <c r="CE32" s="56">
        <v>1</v>
      </c>
      <c r="CF32" s="56">
        <v>0</v>
      </c>
      <c r="CG32" s="56">
        <v>1</v>
      </c>
      <c r="CH32" s="10">
        <f>IF(CE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1.16/MIN(Вес1.1,Вес1.3,Вес1.4,Вес1.5,Вес1.6,Вес1.7,Вес1.8,Вес1.9,Вес1.11,Вес1.12,Вес1.13,Вес1.14,Вес1.15,Вес1.16,Вес1.17,Вес1.18)),"")</f>
        <v>7</v>
      </c>
      <c r="CI32" s="10">
        <f>IF(CH32="","не применяется",IF(CE32=0,"не применяется",CH32*CG32/100))</f>
        <v>7.0000000000000007E-2</v>
      </c>
      <c r="CJ32" s="10">
        <f>IF(ISNUMBER(CI32),CI32,"")</f>
        <v>7.0000000000000007E-2</v>
      </c>
      <c r="CK32" s="56">
        <v>1</v>
      </c>
      <c r="CL32" s="56">
        <v>1</v>
      </c>
      <c r="CM32" s="56">
        <v>0.9</v>
      </c>
      <c r="CN32" s="10">
        <f>IF(CK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1.17/MIN(Вес1.1,Вес1.3,Вес1.4,Вес1.5,Вес1.6,Вес1.7,Вес1.8,Вес1.9,Вес1.11,Вес1.12,Вес1.13,Вес1.14,Вес1.15,Вес1.16,Вес1.17,Вес1.18)),"")</f>
        <v>6</v>
      </c>
      <c r="CO32" s="10">
        <f>IF(CN32="","не применяется",IF(CK32=0,"не применяется",CN32*CM32/100))</f>
        <v>5.4000000000000006E-2</v>
      </c>
      <c r="CP32" s="10">
        <f>IF(ISNUMBER(CO32),CO32,"")</f>
        <v>5.4000000000000006E-2</v>
      </c>
      <c r="CQ32" s="56">
        <v>1</v>
      </c>
      <c r="CR32" s="56">
        <v>50</v>
      </c>
      <c r="CS32" s="56">
        <v>1</v>
      </c>
      <c r="CT32" s="10">
        <f>IF(CQ32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32*Вес1.18/MIN(Вес1.1,Вес1.3,Вес1.4,Вес1.5,Вес1.6,Вес1.7,Вес1.8,Вес1.9,Вес1.11,Вес1.12,Вес1.13,Вес1.14,Вес1.15,Вес1.16,Вес1.17,Вес1.18)),"")</f>
        <v>6</v>
      </c>
      <c r="CU32" s="10">
        <f>IF(CT32="","не применяется",IF(CQ32=0,"не применяется",CT32*CS32/100))</f>
        <v>0.06</v>
      </c>
      <c r="CV32" s="10">
        <f>IF(ISNUMBER(CU32),CU32,"")</f>
        <v>0.06</v>
      </c>
      <c r="CW32" s="10">
        <f>IF(E32=1,Вес1.1/MIN(Вес1.1,Вес1.3,Вес1.4,Вес1.5,Вес1.6,Вес1.7,Вес1.8,Вес1.9,Вес1.11,Вес1.12,Вес1.13,Вес1.14,Вес1.15,Вес1.16,Вес1.17,Вес1.18),"")</f>
        <v>1.25</v>
      </c>
      <c r="CX32" s="10">
        <f>IF(K32=1,Вес1.3/MIN(Вес1.1,Вес1.3,Вес1.4,Вес1.5,Вес1.6,Вес1.7,Вес1.8,Вес1.9,Вес1.11,Вес1.12,Вес1.13,Вес1.14,Вес1.15,Вес1.16,Вес1.17,Вес1.18),"")</f>
        <v>1.25</v>
      </c>
      <c r="CY32" s="10">
        <f>IF(Q32=1,Вес1.4/MIN(Вес1.1,Вес1.3,Вес1.4,Вес1.5,Вес1.6,Вес1.7,Вес1.8,Вес1.9,Вес1.11,Вес1.12,Вес1.13,Вес1.14,Вес1.15,Вес1.16,Вес1.17,Вес1.18),"")</f>
        <v>1</v>
      </c>
      <c r="CZ32" s="10">
        <f>IF(W32=1,Вес1.5/MIN(Вес1.1,Вес1.3,Вес1.4,Вес1.5,Вес1.6,Вес1.7,Вес1.8,Вес1.9,Вес1.11,Вес1.12,Вес1.13,Вес1.14,Вес1.15,Вес1.16,Вес1.17,Вес1.18),"")</f>
        <v>1.75</v>
      </c>
      <c r="DA32" s="10">
        <f>IF(AC32=1,Вес1.6/MIN(Вес1.6,Вес1.3,Вес1.4,Вес1.5,Вес1.6,Вес1.7,Вес1.8,Вес1.9,Вес1.11,Вес1.12,Вес1.13,Вес1.14,Вес1.15,Вес1.16,Вес1.17,Вес1.18),"")</f>
        <v>1.75</v>
      </c>
      <c r="DB32" s="10">
        <f>IF(AI32=1,Вес1.7/MIN(Вес1.1,Вес1.3,Вес1.4,Вес1.5,Вес1.6,Вес1.7,Вес1.8,Вес1.9,Вес1.11,Вес1.12,Вес1.13,Вес1.14,Вес1.15,Вес1.16,Вес1.17,Вес1.18),"")</f>
        <v>1.75</v>
      </c>
      <c r="DC32" s="10">
        <f>IF(AO32=1,Вес1.8/MIN(Вес1.1,Вес1.3,Вес1.4,Вес1.5,Вес1.6,Вес1.7,Вес1.8,Вес1.9,Вес1.11,Вес1.12,Вес1.13,Вес1.14,Вес1.15,Вес1.16,Вес1.17,Вес1.18),"")</f>
        <v>1.75</v>
      </c>
      <c r="DD32" s="10">
        <f>IF(AU32=1,Вес1.9/MIN(Вес1.1,Вес1.3,Вес1.4,Вес1.5,Вес1.6,Вес1.7,Вес1.8,Вес1.9,Вес1.11,Вес1.12,Вес1.13,Вес1.14,Вес1.15,Вес1.16,Вес1.17,Вес1.18),"")</f>
        <v>1.75</v>
      </c>
      <c r="DE32" s="10">
        <f>IF(BA32=1,Вес1.11/MIN(Вес1.1,Вес1.3,Вес1.4,Вес1.5,Вес1.6,Вес1.7,Вес1.8,Вес1.9,Вес1.11,Вес1.12,Вес1.13,Вес1.14,Вес1.15,Вес1.16,Вес1.17,Вес1.18),"")</f>
        <v>1.75</v>
      </c>
      <c r="DF32" s="10">
        <f>IF(BG32=1,Вес1.12/MIN(Вес1.1,Вес1.3,Вес1.4,Вес1.5,Вес1.6,Вес1.7,Вес1.8,Вес1.9,Вес1.11,Вес1.12,Вес1.13,Вес1.14,Вес1.15,Вес1.16,Вес1.17,Вес1.18),"")</f>
        <v>1.5</v>
      </c>
      <c r="DG32" s="10">
        <f>IF(BM32=1,Вес1.13/MIN(Вес1.1,Вес1.3,Вес1.4,Вес1.5,Вес1.6,Вес1.7,Вес1.8,Вес1.9,Вес1.11,Вес1.12,Вес1.13,Вес1.14,Вес1.15,Вес1.16,Вес1.17,Вес1.18),"")</f>
        <v>1.75</v>
      </c>
      <c r="DH32" s="10">
        <f>IF(BS32=1,Вес1.14/MIN(Вес1.1,Вес1.3,Вес1.4,Вес1.5,Вес1.6,Вес1.7,Вес1.8,Вес1.9,Вес1.11,Вес1.12,Вес1.13,Вес1.14,Вес1.15,Вес1.16,Вес1.17,Вес1.18),"")</f>
        <v>1.5</v>
      </c>
      <c r="DI32" s="10">
        <f>IF(BY32=1,Вес1.15/MIN(Вес1.1,Вес1.3,Вес1.4,Вес1.5,Вес1.6,Вес1.7,Вес1.8,Вес1.9,Вес1.11,Вес1.12,Вес1.13,Вес1.14,Вес1.15,Вес1.16,Вес1.17,Вес1.18),"")</f>
        <v>1.5</v>
      </c>
      <c r="DJ32" s="10">
        <f>IF(CE32=1,Вес1.16/MIN(Вес1.1,Вес1.3,Вес1.4,Вес1.5,Вес1.6,Вес1.7,Вес1.8,Вес1.9,Вес1.11,Вес1.12,Вес1.13,Вес1.14,Вес1.15,Вес1.16,Вес1.17,Вес1.18),"")</f>
        <v>1.75</v>
      </c>
      <c r="DK32" s="10">
        <f>IF(CK32=1,Вес1.17/MIN(Вес1.1,Вес1.3,Вес1.4,Вес1.5,Вес1.6,Вес1.7,Вес1.8,Вес1.9,Вес1.11,Вес1.12,Вес1.13,Вес1.14,Вес1.15,Вес1.16,Вес1.17,Вес1.18),"")</f>
        <v>1.5</v>
      </c>
      <c r="DL32" s="10">
        <f>IF(CQ32=1,Вес1.18/MIN(Вес1.1,Вес1.3,Вес1.4,Вес1.5,Вес1.6,Вес1.7,Вес1.8,Вес1.9,Вес1.11,Вес1.12,Вес1.13,Вес1.14,Вес1.15,Вес1.16,Вес1.17,Вес1.18),"")</f>
        <v>1.5</v>
      </c>
      <c r="DM32" s="10">
        <f>SUM(CW32:DL32)</f>
        <v>25</v>
      </c>
    </row>
    <row r="33" spans="1:117" ht="38.25" x14ac:dyDescent="0.2">
      <c r="A33" s="1" t="s">
        <v>106</v>
      </c>
      <c r="B33" s="9" t="s">
        <v>25</v>
      </c>
      <c r="C33" s="10">
        <f>IF(D33&lt;&gt;1,"",SUM(J33,P33,V33,AB33,AH33,AN33,AT33,AZ33,BF33,BL33,BR33,BX33,CD33,CJ33,CP33,CV33))</f>
        <v>0.61630800000000008</v>
      </c>
      <c r="D33" s="10">
        <f>IF(SUM(E33,K33,Q33,W33,AC33,AI33,AO33,AU33,BA33,BG33,BM33,BS33,BY33,CE33,CK33,CQ33)=0,0,1)</f>
        <v>1</v>
      </c>
      <c r="E33" s="56">
        <v>1</v>
      </c>
      <c r="F33" s="56">
        <v>0.41839999999999999</v>
      </c>
      <c r="G33" s="56">
        <v>0.99580000000000002</v>
      </c>
      <c r="H33" s="10">
        <f>IF(E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1.1/MIN(Вес1.1,Вес1.3,Вес1.4,Вес1.5,Вес1.6,Вес1.7,Вес1.8,Вес1.9,Вес1.11,Вес1.12,Вес1.13,Вес1.14,Вес1.15,Вес1.16,Вес1.17,Вес1.18)),"")</f>
        <v>5</v>
      </c>
      <c r="I33" s="10">
        <f>IF(H33="","не применяется",IF(E33=0,"не применяется",H33*G33/100))</f>
        <v>4.9790000000000001E-2</v>
      </c>
      <c r="J33" s="10">
        <f>IF(ISNUMBER(I33),I33,"")</f>
        <v>4.9790000000000001E-2</v>
      </c>
      <c r="K33" s="56">
        <v>1</v>
      </c>
      <c r="L33" s="56">
        <v>0</v>
      </c>
      <c r="M33" s="56">
        <v>1</v>
      </c>
      <c r="N33" s="10">
        <f>IF(K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1.3/MIN(Вес1.1,Вес1.3,Вес1.4,Вес1.5,Вес1.6,Вес1.7,Вес1.8,Вес1.9,Вес1.11,Вес1.12,Вес1.13,Вес1.14,Вес1.15,Вес1.16,Вес1.17,Вес1.18)),"")</f>
        <v>5</v>
      </c>
      <c r="O33" s="10">
        <f>IF(N33="","не применяется",IF(K33=0,"не применяется",N33*M33/100))</f>
        <v>0.05</v>
      </c>
      <c r="P33" s="10">
        <f>IF(ISNUMBER(O33),O33,"")</f>
        <v>0.05</v>
      </c>
      <c r="Q33" s="56">
        <v>1</v>
      </c>
      <c r="R33" s="56">
        <v>100</v>
      </c>
      <c r="S33" s="56">
        <v>1</v>
      </c>
      <c r="T33" s="10">
        <f>IF(Q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1.4/MIN(Вес1.1,Вес1.3,Вес1.4,Вес1.5,Вес1.6,Вес1.7,Вес1.8,Вес1.9,Вес1.11,Вес1.12,Вес1.13,Вес1.14,Вес1.15,Вес1.16,Вес1.17,Вес1.18)),"")</f>
        <v>4</v>
      </c>
      <c r="U33" s="10">
        <f>IF(T33="","не применяется",IF(Q33=0,"не применяется",S33*T33/100))</f>
        <v>0.04</v>
      </c>
      <c r="V33" s="10">
        <f>IF(ISNUMBER(U33),U33,"")</f>
        <v>0.04</v>
      </c>
      <c r="W33" s="56">
        <v>1</v>
      </c>
      <c r="X33" s="56">
        <v>0.21640000000000001</v>
      </c>
      <c r="Y33" s="56">
        <v>0</v>
      </c>
      <c r="Z33" s="10">
        <f>IF(W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1.5/MIN(Вес1.1,Вес1.3,Вес1.4,Вес1.5,Вес1.6,Вес1.7,Вес1.8,Вес1.9,Вес1.11,Вес1.12,Вес1.13,Вес1.14,Вес1.15,Вес1.16,Вес1.17,Вес1.18)),"")</f>
        <v>7</v>
      </c>
      <c r="AA33" s="10">
        <f>IF(Z33="","не применяется",IF(W33=0,"не применяется",Z33*Y33/100))</f>
        <v>0</v>
      </c>
      <c r="AB33" s="10">
        <f>IF(ISNUMBER(AA33),AA33,"")</f>
        <v>0</v>
      </c>
      <c r="AC33" s="56">
        <v>1</v>
      </c>
      <c r="AD33" s="56">
        <v>0</v>
      </c>
      <c r="AE33" s="56">
        <v>1</v>
      </c>
      <c r="AF33" s="10">
        <f>IF(AC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1.6/MIN(Вес1.1,Вес1.3,Вес1.4,Вес1.5,Вес1.6,Вес1.7,Вес1.8,Вес1.9,Вес1.11,Вес1.12,Вес1.13,Вес1.14,Вес1.15,Вес1.16,Вес1.17,Вес1.18)),"")</f>
        <v>7</v>
      </c>
      <c r="AG33" s="10">
        <f>IF(AF33="","не применяется",IF(AC33=0,"не применяется",AF33*AE33/100))</f>
        <v>7.0000000000000007E-2</v>
      </c>
      <c r="AH33" s="10">
        <f>IF(ISNUMBER(AG33),AG33,"")</f>
        <v>7.0000000000000007E-2</v>
      </c>
      <c r="AI33" s="56">
        <v>1</v>
      </c>
      <c r="AJ33" s="56">
        <v>0</v>
      </c>
      <c r="AK33" s="56">
        <v>1</v>
      </c>
      <c r="AL33" s="10">
        <f>IF(AI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1.7/MIN(Вес1.1,Вес1.3,Вес1.4,Вес1.5,Вес1.6,Вес1.7,Вес1.8,Вес1.9,Вес1.11,Вес1.12,Вес1.13,Вес1.14,Вес1.15,Вес1.16,Вес1.17,Вес1.18)),"")</f>
        <v>7</v>
      </c>
      <c r="AM33" s="10">
        <f>IF(AL33="","не применяется",IF(AI33=0,"не применяется",AL33*AK33/100))</f>
        <v>7.0000000000000007E-2</v>
      </c>
      <c r="AN33" s="10">
        <f>IF(ISNUMBER(AM33),AM33,"")</f>
        <v>7.0000000000000007E-2</v>
      </c>
      <c r="AO33" s="56">
        <v>1</v>
      </c>
      <c r="AP33" s="56">
        <v>64</v>
      </c>
      <c r="AQ33" s="56">
        <v>0</v>
      </c>
      <c r="AR33" s="10">
        <f>IF(AO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1.8/MIN(Вес1.1,Вес1.3,Вес1.4,Вес1.5,Вес1.6,Вес1.7,Вес1.8,Вес1.9,Вес1.11,Вес1.12,Вес1.13,Вес1.14,Вес1.15,Вес1.16,Вес1.17,Вес1.18)),"")</f>
        <v>7</v>
      </c>
      <c r="AS33" s="10">
        <f>IF(AR33="","не применяется",IF(AO33=0,"не применяется",AR33*AQ33/100))</f>
        <v>0</v>
      </c>
      <c r="AT33" s="10">
        <f>IF(ISNUMBER(AS33),AS33,"")</f>
        <v>0</v>
      </c>
      <c r="AU33" s="56">
        <v>1</v>
      </c>
      <c r="AV33" s="56">
        <v>45.031500000000001</v>
      </c>
      <c r="AW33" s="56">
        <v>0</v>
      </c>
      <c r="AX33" s="10">
        <f>IF(AU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1.9/MIN(Вес1.1,Вес1.3,Вес1.4,Вес1.5,Вес1.6,Вес1.7,Вес1.8,Вес1.9,Вес1.11,Вес1.12,Вес1.13,Вес1.14,Вес1.15,Вес1.16,Вес1.17,Вес1.18)),"")</f>
        <v>7</v>
      </c>
      <c r="AY33" s="10">
        <f>IF(AX33="","не применяется",IF(AU33=0,"не применяется",AX33*AW33/100))</f>
        <v>0</v>
      </c>
      <c r="AZ33" s="10">
        <f>IF(ISNUMBER(AY33),AY33,"")</f>
        <v>0</v>
      </c>
      <c r="BA33" s="56">
        <v>1</v>
      </c>
      <c r="BB33" s="56">
        <v>133.4118</v>
      </c>
      <c r="BC33" s="56">
        <v>1</v>
      </c>
      <c r="BD33" s="10">
        <f>IF(BA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1.11/MIN(Вес1.1,Вес1.3,Вес1.4,Вес1.5,Вес1.6,Вес1.7,Вес1.8,Вес1.9,Вес1.11,Вес1.12,Вес1.13,Вес1.14,Вес1.15,Вес1.16,Вес1.17,Вес1.18)),"")</f>
        <v>7</v>
      </c>
      <c r="BE33" s="10">
        <f>IF(BD33="","не применяется",IF(BA33=0,"не применяется",BD33*BC33/100))</f>
        <v>7.0000000000000007E-2</v>
      </c>
      <c r="BF33" s="10">
        <f>IF(ISNUMBER(BE33),BE33,"")</f>
        <v>7.0000000000000007E-2</v>
      </c>
      <c r="BG33" s="56">
        <v>1</v>
      </c>
      <c r="BH33" s="56">
        <v>3.6600000000000001E-2</v>
      </c>
      <c r="BI33" s="56">
        <v>0.79239999999999999</v>
      </c>
      <c r="BJ33" s="10">
        <f>IF(BG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1.12/MIN(Вес1.1,Вес1.3,Вес1.4,Вес1.5,Вес1.6,Вес1.7,Вес1.8,Вес1.9,Вес1.11,Вес1.12,Вес1.13,Вес1.14,Вес1.15,Вес1.16,Вес1.17,Вес1.18)),"")</f>
        <v>6</v>
      </c>
      <c r="BK33" s="10">
        <f>IF(BJ33="","не применяется",IF(BG33=0,"не применяется",BJ33*BI33/100))</f>
        <v>4.7544000000000003E-2</v>
      </c>
      <c r="BL33" s="10">
        <f>IF(ISNUMBER(BK33),BK33,"")</f>
        <v>4.7544000000000003E-2</v>
      </c>
      <c r="BM33" s="56">
        <v>1</v>
      </c>
      <c r="BN33" s="56">
        <v>0</v>
      </c>
      <c r="BO33" s="56">
        <v>0</v>
      </c>
      <c r="BP33" s="10">
        <f>IF(BM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1.13/MIN(Вес1.1,Вес1.3,Вес1.4,Вес1.5,Вес1.6,Вес1.7,Вес1.8,Вес1.9,Вес1.11,Вес1.12,Вес1.13,Вес1.14,Вес1.15,Вес1.16,Вес1.17,Вес1.18)),"")</f>
        <v>7</v>
      </c>
      <c r="BQ33" s="10">
        <f>IF(BP33="","не применяется",IF(BM33=0,"не применяется",BP33*BO33/100))</f>
        <v>0</v>
      </c>
      <c r="BR33" s="10">
        <f>IF(ISNUMBER(BQ33),BQ33,"")</f>
        <v>0</v>
      </c>
      <c r="BS33" s="56">
        <v>1</v>
      </c>
      <c r="BT33" s="56">
        <v>1</v>
      </c>
      <c r="BU33" s="56">
        <v>0</v>
      </c>
      <c r="BV33" s="10">
        <f>IF(BS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1.14/MIN(Вес1.1,Вес1.3,Вес1.4,Вес1.5,Вес1.6,Вес1.7,Вес1.8,Вес1.9,Вес1.11,Вес1.12,Вес1.13,Вес1.14,Вес1.15,Вес1.16,Вес1.17,Вес1.18)),"")</f>
        <v>6</v>
      </c>
      <c r="BW33" s="10">
        <f>IF(BV33="","не применяется",IF(BS33=0,"не применяется",BV33*BU33/100))</f>
        <v>0</v>
      </c>
      <c r="BX33" s="10">
        <f>IF(ISNUMBER(BW33),BW33,"")</f>
        <v>0</v>
      </c>
      <c r="BY33" s="56">
        <v>1</v>
      </c>
      <c r="BZ33" s="56">
        <v>0.29389999999999999</v>
      </c>
      <c r="CA33" s="56">
        <v>0.4829</v>
      </c>
      <c r="CB33" s="10">
        <f>IF(BY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1.15/MIN(Вес1.1,Вес1.3,Вес1.4,Вес1.5,Вес1.6,Вес1.7,Вес1.8,Вес1.9,Вес1.11,Вес1.12,Вес1.13,Вес1.14,Вес1.15,Вес1.16,Вес1.17,Вес1.18)),"")</f>
        <v>6</v>
      </c>
      <c r="CC33" s="10">
        <f>IF(CB33="","не применяется",IF(BY33=0,"не применяется",CB33*CA33/100))</f>
        <v>2.8974000000000003E-2</v>
      </c>
      <c r="CD33" s="10">
        <f>IF(ISNUMBER(CC33),CC33,"")</f>
        <v>2.8974000000000003E-2</v>
      </c>
      <c r="CE33" s="56">
        <v>1</v>
      </c>
      <c r="CF33" s="56">
        <v>0</v>
      </c>
      <c r="CG33" s="56">
        <v>1</v>
      </c>
      <c r="CH33" s="10">
        <f>IF(CE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1.16/MIN(Вес1.1,Вес1.3,Вес1.4,Вес1.5,Вес1.6,Вес1.7,Вес1.8,Вес1.9,Вес1.11,Вес1.12,Вес1.13,Вес1.14,Вес1.15,Вес1.16,Вес1.17,Вес1.18)),"")</f>
        <v>7</v>
      </c>
      <c r="CI33" s="10">
        <f>IF(CH33="","не применяется",IF(CE33=0,"не применяется",CH33*CG33/100))</f>
        <v>7.0000000000000007E-2</v>
      </c>
      <c r="CJ33" s="10">
        <f>IF(ISNUMBER(CI33),CI33,"")</f>
        <v>7.0000000000000007E-2</v>
      </c>
      <c r="CK33" s="56">
        <v>1</v>
      </c>
      <c r="CL33" s="56">
        <v>0</v>
      </c>
      <c r="CM33" s="56">
        <v>1</v>
      </c>
      <c r="CN33" s="10">
        <f>IF(CK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1.17/MIN(Вес1.1,Вес1.3,Вес1.4,Вес1.5,Вес1.6,Вес1.7,Вес1.8,Вес1.9,Вес1.11,Вес1.12,Вес1.13,Вес1.14,Вес1.15,Вес1.16,Вес1.17,Вес1.18)),"")</f>
        <v>6</v>
      </c>
      <c r="CO33" s="10">
        <f>IF(CN33="","не применяется",IF(CK33=0,"не применяется",CN33*CM33/100))</f>
        <v>0.06</v>
      </c>
      <c r="CP33" s="10">
        <f>IF(ISNUMBER(CO33),CO33,"")</f>
        <v>0.06</v>
      </c>
      <c r="CQ33" s="56">
        <v>1</v>
      </c>
      <c r="CR33" s="56">
        <v>0</v>
      </c>
      <c r="CS33" s="56">
        <v>1</v>
      </c>
      <c r="CT33" s="10">
        <f>IF(CQ33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33*Вес1.18/MIN(Вес1.1,Вес1.3,Вес1.4,Вес1.5,Вес1.6,Вес1.7,Вес1.8,Вес1.9,Вес1.11,Вес1.12,Вес1.13,Вес1.14,Вес1.15,Вес1.16,Вес1.17,Вес1.18)),"")</f>
        <v>6</v>
      </c>
      <c r="CU33" s="10">
        <f>IF(CT33="","не применяется",IF(CQ33=0,"не применяется",CT33*CS33/100))</f>
        <v>0.06</v>
      </c>
      <c r="CV33" s="10">
        <f>IF(ISNUMBER(CU33),CU33,"")</f>
        <v>0.06</v>
      </c>
      <c r="CW33" s="10">
        <f>IF(E33=1,Вес1.1/MIN(Вес1.1,Вес1.3,Вес1.4,Вес1.5,Вес1.6,Вес1.7,Вес1.8,Вес1.9,Вес1.11,Вес1.12,Вес1.13,Вес1.14,Вес1.15,Вес1.16,Вес1.17,Вес1.18),"")</f>
        <v>1.25</v>
      </c>
      <c r="CX33" s="10">
        <f>IF(K33=1,Вес1.3/MIN(Вес1.1,Вес1.3,Вес1.4,Вес1.5,Вес1.6,Вес1.7,Вес1.8,Вес1.9,Вес1.11,Вес1.12,Вес1.13,Вес1.14,Вес1.15,Вес1.16,Вес1.17,Вес1.18),"")</f>
        <v>1.25</v>
      </c>
      <c r="CY33" s="10">
        <f>IF(Q33=1,Вес1.4/MIN(Вес1.1,Вес1.3,Вес1.4,Вес1.5,Вес1.6,Вес1.7,Вес1.8,Вес1.9,Вес1.11,Вес1.12,Вес1.13,Вес1.14,Вес1.15,Вес1.16,Вес1.17,Вес1.18),"")</f>
        <v>1</v>
      </c>
      <c r="CZ33" s="10">
        <f>IF(W33=1,Вес1.5/MIN(Вес1.1,Вес1.3,Вес1.4,Вес1.5,Вес1.6,Вес1.7,Вес1.8,Вес1.9,Вес1.11,Вес1.12,Вес1.13,Вес1.14,Вес1.15,Вес1.16,Вес1.17,Вес1.18),"")</f>
        <v>1.75</v>
      </c>
      <c r="DA33" s="10">
        <f>IF(AC33=1,Вес1.6/MIN(Вес1.6,Вес1.3,Вес1.4,Вес1.5,Вес1.6,Вес1.7,Вес1.8,Вес1.9,Вес1.11,Вес1.12,Вес1.13,Вес1.14,Вес1.15,Вес1.16,Вес1.17,Вес1.18),"")</f>
        <v>1.75</v>
      </c>
      <c r="DB33" s="10">
        <f>IF(AI33=1,Вес1.7/MIN(Вес1.1,Вес1.3,Вес1.4,Вес1.5,Вес1.6,Вес1.7,Вес1.8,Вес1.9,Вес1.11,Вес1.12,Вес1.13,Вес1.14,Вес1.15,Вес1.16,Вес1.17,Вес1.18),"")</f>
        <v>1.75</v>
      </c>
      <c r="DC33" s="10">
        <f>IF(AO33=1,Вес1.8/MIN(Вес1.1,Вес1.3,Вес1.4,Вес1.5,Вес1.6,Вес1.7,Вес1.8,Вес1.9,Вес1.11,Вес1.12,Вес1.13,Вес1.14,Вес1.15,Вес1.16,Вес1.17,Вес1.18),"")</f>
        <v>1.75</v>
      </c>
      <c r="DD33" s="10">
        <f>IF(AU33=1,Вес1.9/MIN(Вес1.1,Вес1.3,Вес1.4,Вес1.5,Вес1.6,Вес1.7,Вес1.8,Вес1.9,Вес1.11,Вес1.12,Вес1.13,Вес1.14,Вес1.15,Вес1.16,Вес1.17,Вес1.18),"")</f>
        <v>1.75</v>
      </c>
      <c r="DE33" s="10">
        <f>IF(BA33=1,Вес1.11/MIN(Вес1.1,Вес1.3,Вес1.4,Вес1.5,Вес1.6,Вес1.7,Вес1.8,Вес1.9,Вес1.11,Вес1.12,Вес1.13,Вес1.14,Вес1.15,Вес1.16,Вес1.17,Вес1.18),"")</f>
        <v>1.75</v>
      </c>
      <c r="DF33" s="10">
        <f>IF(BG33=1,Вес1.12/MIN(Вес1.1,Вес1.3,Вес1.4,Вес1.5,Вес1.6,Вес1.7,Вес1.8,Вес1.9,Вес1.11,Вес1.12,Вес1.13,Вес1.14,Вес1.15,Вес1.16,Вес1.17,Вес1.18),"")</f>
        <v>1.5</v>
      </c>
      <c r="DG33" s="10">
        <f>IF(BM33=1,Вес1.13/MIN(Вес1.1,Вес1.3,Вес1.4,Вес1.5,Вес1.6,Вес1.7,Вес1.8,Вес1.9,Вес1.11,Вес1.12,Вес1.13,Вес1.14,Вес1.15,Вес1.16,Вес1.17,Вес1.18),"")</f>
        <v>1.75</v>
      </c>
      <c r="DH33" s="10">
        <f>IF(BS33=1,Вес1.14/MIN(Вес1.1,Вес1.3,Вес1.4,Вес1.5,Вес1.6,Вес1.7,Вес1.8,Вес1.9,Вес1.11,Вес1.12,Вес1.13,Вес1.14,Вес1.15,Вес1.16,Вес1.17,Вес1.18),"")</f>
        <v>1.5</v>
      </c>
      <c r="DI33" s="10">
        <f>IF(BY33=1,Вес1.15/MIN(Вес1.1,Вес1.3,Вес1.4,Вес1.5,Вес1.6,Вес1.7,Вес1.8,Вес1.9,Вес1.11,Вес1.12,Вес1.13,Вес1.14,Вес1.15,Вес1.16,Вес1.17,Вес1.18),"")</f>
        <v>1.5</v>
      </c>
      <c r="DJ33" s="10">
        <f>IF(CE33=1,Вес1.16/MIN(Вес1.1,Вес1.3,Вес1.4,Вес1.5,Вес1.6,Вес1.7,Вес1.8,Вес1.9,Вес1.11,Вес1.12,Вес1.13,Вес1.14,Вес1.15,Вес1.16,Вес1.17,Вес1.18),"")</f>
        <v>1.75</v>
      </c>
      <c r="DK33" s="10">
        <f>IF(CK33=1,Вес1.17/MIN(Вес1.1,Вес1.3,Вес1.4,Вес1.5,Вес1.6,Вес1.7,Вес1.8,Вес1.9,Вес1.11,Вес1.12,Вес1.13,Вес1.14,Вес1.15,Вес1.16,Вес1.17,Вес1.18),"")</f>
        <v>1.5</v>
      </c>
      <c r="DL33" s="10">
        <f>IF(CQ33=1,Вес1.18/MIN(Вес1.1,Вес1.3,Вес1.4,Вес1.5,Вес1.6,Вес1.7,Вес1.8,Вес1.9,Вес1.11,Вес1.12,Вес1.13,Вес1.14,Вес1.15,Вес1.16,Вес1.17,Вес1.18),"")</f>
        <v>1.5</v>
      </c>
      <c r="DM33" s="10">
        <f>SUM(CW33:DL33)</f>
        <v>25</v>
      </c>
    </row>
    <row r="34" spans="1:117" ht="38.25" x14ac:dyDescent="0.2">
      <c r="A34" s="1" t="s">
        <v>107</v>
      </c>
      <c r="B34" s="9" t="s">
        <v>26</v>
      </c>
      <c r="C34" s="10">
        <f>IF(D34&lt;&gt;1,"",SUM(J34,P34,V34,AB34,AH34,AN34,AT34,AZ34,BF34,BL34,BR34,BX34,CD34,CJ34,CP34,CV34))</f>
        <v>0.82998800000000017</v>
      </c>
      <c r="D34" s="10">
        <f>IF(SUM(E34,K34,Q34,W34,AC34,AI34,AO34,AU34,BA34,BG34,BM34,BS34,BY34,CE34,CK34,CQ34)=0,0,1)</f>
        <v>1</v>
      </c>
      <c r="E34" s="56">
        <v>1</v>
      </c>
      <c r="F34" s="56">
        <v>0</v>
      </c>
      <c r="G34" s="56">
        <v>1</v>
      </c>
      <c r="H34" s="10">
        <f>IF(E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1.1/MIN(Вес1.1,Вес1.3,Вес1.4,Вес1.5,Вес1.6,Вес1.7,Вес1.8,Вес1.9,Вес1.11,Вес1.12,Вес1.13,Вес1.14,Вес1.15,Вес1.16,Вес1.17,Вес1.18)),"")</f>
        <v>5</v>
      </c>
      <c r="I34" s="10">
        <f>IF(H34="","не применяется",IF(E34=0,"не применяется",H34*G34/100))</f>
        <v>0.05</v>
      </c>
      <c r="J34" s="10">
        <f>IF(ISNUMBER(I34),I34,"")</f>
        <v>0.05</v>
      </c>
      <c r="K34" s="56">
        <v>1</v>
      </c>
      <c r="L34" s="56">
        <v>0</v>
      </c>
      <c r="M34" s="56">
        <v>1</v>
      </c>
      <c r="N34" s="10">
        <f>IF(K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1.3/MIN(Вес1.1,Вес1.3,Вес1.4,Вес1.5,Вес1.6,Вес1.7,Вес1.8,Вес1.9,Вес1.11,Вес1.12,Вес1.13,Вес1.14,Вес1.15,Вес1.16,Вес1.17,Вес1.18)),"")</f>
        <v>5</v>
      </c>
      <c r="O34" s="10">
        <f>IF(N34="","не применяется",IF(K34=0,"не применяется",N34*M34/100))</f>
        <v>0.05</v>
      </c>
      <c r="P34" s="10">
        <f>IF(ISNUMBER(O34),O34,"")</f>
        <v>0.05</v>
      </c>
      <c r="Q34" s="56">
        <v>1</v>
      </c>
      <c r="R34" s="56">
        <v>100</v>
      </c>
      <c r="S34" s="56">
        <v>1</v>
      </c>
      <c r="T34" s="10">
        <f>IF(Q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1.4/MIN(Вес1.1,Вес1.3,Вес1.4,Вес1.5,Вес1.6,Вес1.7,Вес1.8,Вес1.9,Вес1.11,Вес1.12,Вес1.13,Вес1.14,Вес1.15,Вес1.16,Вес1.17,Вес1.18)),"")</f>
        <v>4</v>
      </c>
      <c r="U34" s="10">
        <f>IF(T34="","не применяется",IF(Q34=0,"не применяется",S34*T34/100))</f>
        <v>0.04</v>
      </c>
      <c r="V34" s="10">
        <f>IF(ISNUMBER(U34),U34,"")</f>
        <v>0.04</v>
      </c>
      <c r="W34" s="56">
        <v>1</v>
      </c>
      <c r="X34" s="56">
        <v>9.1999999999999998E-3</v>
      </c>
      <c r="Y34" s="56">
        <v>1</v>
      </c>
      <c r="Z34" s="10">
        <f>IF(W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1.5/MIN(Вес1.1,Вес1.3,Вес1.4,Вес1.5,Вес1.6,Вес1.7,Вес1.8,Вес1.9,Вес1.11,Вес1.12,Вес1.13,Вес1.14,Вес1.15,Вес1.16,Вес1.17,Вес1.18)),"")</f>
        <v>7</v>
      </c>
      <c r="AA34" s="10">
        <f>IF(Z34="","не применяется",IF(W34=0,"не применяется",Z34*Y34/100))</f>
        <v>7.0000000000000007E-2</v>
      </c>
      <c r="AB34" s="10">
        <f>IF(ISNUMBER(AA34),AA34,"")</f>
        <v>7.0000000000000007E-2</v>
      </c>
      <c r="AC34" s="56">
        <v>1</v>
      </c>
      <c r="AD34" s="56">
        <v>0</v>
      </c>
      <c r="AE34" s="56">
        <v>1</v>
      </c>
      <c r="AF34" s="10">
        <f>IF(AC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1.6/MIN(Вес1.1,Вес1.3,Вес1.4,Вес1.5,Вес1.6,Вес1.7,Вес1.8,Вес1.9,Вес1.11,Вес1.12,Вес1.13,Вес1.14,Вес1.15,Вес1.16,Вес1.17,Вес1.18)),"")</f>
        <v>7</v>
      </c>
      <c r="AG34" s="10">
        <f>IF(AF34="","не применяется",IF(AC34=0,"не применяется",AF34*AE34/100))</f>
        <v>7.0000000000000007E-2</v>
      </c>
      <c r="AH34" s="10">
        <f>IF(ISNUMBER(AG34),AG34,"")</f>
        <v>7.0000000000000007E-2</v>
      </c>
      <c r="AI34" s="56">
        <v>1</v>
      </c>
      <c r="AJ34" s="56">
        <v>0</v>
      </c>
      <c r="AK34" s="56">
        <v>1</v>
      </c>
      <c r="AL34" s="10">
        <f>IF(AI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1.7/MIN(Вес1.1,Вес1.3,Вес1.4,Вес1.5,Вес1.6,Вес1.7,Вес1.8,Вес1.9,Вес1.11,Вес1.12,Вес1.13,Вес1.14,Вес1.15,Вес1.16,Вес1.17,Вес1.18)),"")</f>
        <v>7</v>
      </c>
      <c r="AM34" s="10">
        <f>IF(AL34="","не применяется",IF(AI34=0,"не применяется",AL34*AK34/100))</f>
        <v>7.0000000000000007E-2</v>
      </c>
      <c r="AN34" s="10">
        <f>IF(ISNUMBER(AM34),AM34,"")</f>
        <v>7.0000000000000007E-2</v>
      </c>
      <c r="AO34" s="56">
        <v>1</v>
      </c>
      <c r="AP34" s="56">
        <v>46</v>
      </c>
      <c r="AQ34" s="56">
        <v>0</v>
      </c>
      <c r="AR34" s="10">
        <f>IF(AO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1.8/MIN(Вес1.1,Вес1.3,Вес1.4,Вес1.5,Вес1.6,Вес1.7,Вес1.8,Вес1.9,Вес1.11,Вес1.12,Вес1.13,Вес1.14,Вес1.15,Вес1.16,Вес1.17,Вес1.18)),"")</f>
        <v>7</v>
      </c>
      <c r="AS34" s="10">
        <f>IF(AR34="","не применяется",IF(AO34=0,"не применяется",AR34*AQ34/100))</f>
        <v>0</v>
      </c>
      <c r="AT34" s="10">
        <f>IF(ISNUMBER(AS34),AS34,"")</f>
        <v>0</v>
      </c>
      <c r="AU34" s="56">
        <v>1</v>
      </c>
      <c r="AV34" s="56">
        <v>59.896000000000001</v>
      </c>
      <c r="AW34" s="56">
        <v>0</v>
      </c>
      <c r="AX34" s="10">
        <f>IF(AU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1.9/MIN(Вес1.1,Вес1.3,Вес1.4,Вес1.5,Вес1.6,Вес1.7,Вес1.8,Вес1.9,Вес1.11,Вес1.12,Вес1.13,Вес1.14,Вес1.15,Вес1.16,Вес1.17,Вес1.18)),"")</f>
        <v>7</v>
      </c>
      <c r="AY34" s="10">
        <f>IF(AX34="","не применяется",IF(AU34=0,"не применяется",AX34*AW34/100))</f>
        <v>0</v>
      </c>
      <c r="AZ34" s="10">
        <f>IF(ISNUMBER(AY34),AY34,"")</f>
        <v>0</v>
      </c>
      <c r="BA34" s="56">
        <v>1</v>
      </c>
      <c r="BB34" s="56">
        <v>178.55269999999999</v>
      </c>
      <c r="BC34" s="56">
        <v>1</v>
      </c>
      <c r="BD34" s="10">
        <f>IF(BA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1.11/MIN(Вес1.1,Вес1.3,Вес1.4,Вес1.5,Вес1.6,Вес1.7,Вес1.8,Вес1.9,Вес1.11,Вес1.12,Вес1.13,Вес1.14,Вес1.15,Вес1.16,Вес1.17,Вес1.18)),"")</f>
        <v>7</v>
      </c>
      <c r="BE34" s="10">
        <f>IF(BD34="","не применяется",IF(BA34=0,"не применяется",BD34*BC34/100))</f>
        <v>7.0000000000000007E-2</v>
      </c>
      <c r="BF34" s="10">
        <f>IF(ISNUMBER(BE34),BE34,"")</f>
        <v>7.0000000000000007E-2</v>
      </c>
      <c r="BG34" s="56">
        <v>1</v>
      </c>
      <c r="BH34" s="56">
        <v>1.8200000000000001E-2</v>
      </c>
      <c r="BI34" s="56">
        <v>1</v>
      </c>
      <c r="BJ34" s="10">
        <f>IF(BG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1.12/MIN(Вес1.1,Вес1.3,Вес1.4,Вес1.5,Вес1.6,Вес1.7,Вес1.8,Вес1.9,Вес1.11,Вес1.12,Вес1.13,Вес1.14,Вес1.15,Вес1.16,Вес1.17,Вес1.18)),"")</f>
        <v>6</v>
      </c>
      <c r="BK34" s="10">
        <f>IF(BJ34="","не применяется",IF(BG34=0,"не применяется",BJ34*BI34/100))</f>
        <v>0.06</v>
      </c>
      <c r="BL34" s="10">
        <f>IF(ISNUMBER(BK34),BK34,"")</f>
        <v>0.06</v>
      </c>
      <c r="BM34" s="56">
        <v>1</v>
      </c>
      <c r="BN34" s="56">
        <v>98.174800000000005</v>
      </c>
      <c r="BO34" s="56">
        <v>1</v>
      </c>
      <c r="BP34" s="10">
        <f>IF(BM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1.13/MIN(Вес1.1,Вес1.3,Вес1.4,Вес1.5,Вес1.6,Вес1.7,Вес1.8,Вес1.9,Вес1.11,Вес1.12,Вес1.13,Вес1.14,Вес1.15,Вес1.16,Вес1.17,Вес1.18)),"")</f>
        <v>7</v>
      </c>
      <c r="BQ34" s="10">
        <f>IF(BP34="","не применяется",IF(BM34=0,"не применяется",BP34*BO34/100))</f>
        <v>7.0000000000000007E-2</v>
      </c>
      <c r="BR34" s="10">
        <f>IF(ISNUMBER(BQ34),BQ34,"")</f>
        <v>7.0000000000000007E-2</v>
      </c>
      <c r="BS34" s="56">
        <v>1</v>
      </c>
      <c r="BT34" s="56">
        <v>1.83E-2</v>
      </c>
      <c r="BU34" s="56">
        <v>1</v>
      </c>
      <c r="BV34" s="10">
        <f>IF(BS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1.14/MIN(Вес1.1,Вес1.3,Вес1.4,Вес1.5,Вес1.6,Вес1.7,Вес1.8,Вес1.9,Вес1.11,Вес1.12,Вес1.13,Вес1.14,Вес1.15,Вес1.16,Вес1.17,Вес1.18)),"")</f>
        <v>6</v>
      </c>
      <c r="BW34" s="10">
        <f>IF(BV34="","не применяется",IF(BS34=0,"не применяется",BV34*BU34/100))</f>
        <v>0.06</v>
      </c>
      <c r="BX34" s="10">
        <f>IF(ISNUMBER(BW34),BW34,"")</f>
        <v>0.06</v>
      </c>
      <c r="BY34" s="56">
        <v>1</v>
      </c>
      <c r="BZ34" s="56">
        <v>1E-4</v>
      </c>
      <c r="CA34" s="56">
        <v>0.99980000000000002</v>
      </c>
      <c r="CB34" s="10">
        <f>IF(BY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1.15/MIN(Вес1.1,Вес1.3,Вес1.4,Вес1.5,Вес1.6,Вес1.7,Вес1.8,Вес1.9,Вес1.11,Вес1.12,Вес1.13,Вес1.14,Вес1.15,Вес1.16,Вес1.17,Вес1.18)),"")</f>
        <v>6</v>
      </c>
      <c r="CC34" s="10">
        <f>IF(CB34="","не применяется",IF(BY34=0,"не применяется",CB34*CA34/100))</f>
        <v>5.9988E-2</v>
      </c>
      <c r="CD34" s="10">
        <f>IF(ISNUMBER(CC34),CC34,"")</f>
        <v>5.9988E-2</v>
      </c>
      <c r="CE34" s="56">
        <v>1</v>
      </c>
      <c r="CF34" s="56">
        <v>0</v>
      </c>
      <c r="CG34" s="56">
        <v>1</v>
      </c>
      <c r="CH34" s="10">
        <f>IF(CE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1.16/MIN(Вес1.1,Вес1.3,Вес1.4,Вес1.5,Вес1.6,Вес1.7,Вес1.8,Вес1.9,Вес1.11,Вес1.12,Вес1.13,Вес1.14,Вес1.15,Вес1.16,Вес1.17,Вес1.18)),"")</f>
        <v>7</v>
      </c>
      <c r="CI34" s="10">
        <f>IF(CH34="","не применяется",IF(CE34=0,"не применяется",CH34*CG34/100))</f>
        <v>7.0000000000000007E-2</v>
      </c>
      <c r="CJ34" s="10">
        <f>IF(ISNUMBER(CI34),CI34,"")</f>
        <v>7.0000000000000007E-2</v>
      </c>
      <c r="CK34" s="56">
        <v>1</v>
      </c>
      <c r="CL34" s="56">
        <v>0</v>
      </c>
      <c r="CM34" s="56">
        <v>1</v>
      </c>
      <c r="CN34" s="10">
        <f>IF(CK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1.17/MIN(Вес1.1,Вес1.3,Вес1.4,Вес1.5,Вес1.6,Вес1.7,Вес1.8,Вес1.9,Вес1.11,Вес1.12,Вес1.13,Вес1.14,Вес1.15,Вес1.16,Вес1.17,Вес1.18)),"")</f>
        <v>6</v>
      </c>
      <c r="CO34" s="10">
        <f>IF(CN34="","не применяется",IF(CK34=0,"не применяется",CN34*CM34/100))</f>
        <v>0.06</v>
      </c>
      <c r="CP34" s="10">
        <f>IF(ISNUMBER(CO34),CO34,"")</f>
        <v>0.06</v>
      </c>
      <c r="CQ34" s="56">
        <v>1</v>
      </c>
      <c r="CR34" s="56">
        <v>100</v>
      </c>
      <c r="CS34" s="56">
        <v>0.5</v>
      </c>
      <c r="CT34" s="10">
        <f>IF(CQ34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34*Вес1.18/MIN(Вес1.1,Вес1.3,Вес1.4,Вес1.5,Вес1.6,Вес1.7,Вес1.8,Вес1.9,Вес1.11,Вес1.12,Вес1.13,Вес1.14,Вес1.15,Вес1.16,Вес1.17,Вес1.18)),"")</f>
        <v>6</v>
      </c>
      <c r="CU34" s="10">
        <f>IF(CT34="","не применяется",IF(CQ34=0,"не применяется",CT34*CS34/100))</f>
        <v>0.03</v>
      </c>
      <c r="CV34" s="10">
        <f>IF(ISNUMBER(CU34),CU34,"")</f>
        <v>0.03</v>
      </c>
      <c r="CW34" s="10">
        <f>IF(E34=1,Вес1.1/MIN(Вес1.1,Вес1.3,Вес1.4,Вес1.5,Вес1.6,Вес1.7,Вес1.8,Вес1.9,Вес1.11,Вес1.12,Вес1.13,Вес1.14,Вес1.15,Вес1.16,Вес1.17,Вес1.18),"")</f>
        <v>1.25</v>
      </c>
      <c r="CX34" s="10">
        <f>IF(K34=1,Вес1.3/MIN(Вес1.1,Вес1.3,Вес1.4,Вес1.5,Вес1.6,Вес1.7,Вес1.8,Вес1.9,Вес1.11,Вес1.12,Вес1.13,Вес1.14,Вес1.15,Вес1.16,Вес1.17,Вес1.18),"")</f>
        <v>1.25</v>
      </c>
      <c r="CY34" s="10">
        <f>IF(Q34=1,Вес1.4/MIN(Вес1.1,Вес1.3,Вес1.4,Вес1.5,Вес1.6,Вес1.7,Вес1.8,Вес1.9,Вес1.11,Вес1.12,Вес1.13,Вес1.14,Вес1.15,Вес1.16,Вес1.17,Вес1.18),"")</f>
        <v>1</v>
      </c>
      <c r="CZ34" s="10">
        <f>IF(W34=1,Вес1.5/MIN(Вес1.1,Вес1.3,Вес1.4,Вес1.5,Вес1.6,Вес1.7,Вес1.8,Вес1.9,Вес1.11,Вес1.12,Вес1.13,Вес1.14,Вес1.15,Вес1.16,Вес1.17,Вес1.18),"")</f>
        <v>1.75</v>
      </c>
      <c r="DA34" s="10">
        <f>IF(AC34=1,Вес1.6/MIN(Вес1.6,Вес1.3,Вес1.4,Вес1.5,Вес1.6,Вес1.7,Вес1.8,Вес1.9,Вес1.11,Вес1.12,Вес1.13,Вес1.14,Вес1.15,Вес1.16,Вес1.17,Вес1.18),"")</f>
        <v>1.75</v>
      </c>
      <c r="DB34" s="10">
        <f>IF(AI34=1,Вес1.7/MIN(Вес1.1,Вес1.3,Вес1.4,Вес1.5,Вес1.6,Вес1.7,Вес1.8,Вес1.9,Вес1.11,Вес1.12,Вес1.13,Вес1.14,Вес1.15,Вес1.16,Вес1.17,Вес1.18),"")</f>
        <v>1.75</v>
      </c>
      <c r="DC34" s="10">
        <f>IF(AO34=1,Вес1.8/MIN(Вес1.1,Вес1.3,Вес1.4,Вес1.5,Вес1.6,Вес1.7,Вес1.8,Вес1.9,Вес1.11,Вес1.12,Вес1.13,Вес1.14,Вес1.15,Вес1.16,Вес1.17,Вес1.18),"")</f>
        <v>1.75</v>
      </c>
      <c r="DD34" s="10">
        <f>IF(AU34=1,Вес1.9/MIN(Вес1.1,Вес1.3,Вес1.4,Вес1.5,Вес1.6,Вес1.7,Вес1.8,Вес1.9,Вес1.11,Вес1.12,Вес1.13,Вес1.14,Вес1.15,Вес1.16,Вес1.17,Вес1.18),"")</f>
        <v>1.75</v>
      </c>
      <c r="DE34" s="10">
        <f>IF(BA34=1,Вес1.11/MIN(Вес1.1,Вес1.3,Вес1.4,Вес1.5,Вес1.6,Вес1.7,Вес1.8,Вес1.9,Вес1.11,Вес1.12,Вес1.13,Вес1.14,Вес1.15,Вес1.16,Вес1.17,Вес1.18),"")</f>
        <v>1.75</v>
      </c>
      <c r="DF34" s="10">
        <f>IF(BG34=1,Вес1.12/MIN(Вес1.1,Вес1.3,Вес1.4,Вес1.5,Вес1.6,Вес1.7,Вес1.8,Вес1.9,Вес1.11,Вес1.12,Вес1.13,Вес1.14,Вес1.15,Вес1.16,Вес1.17,Вес1.18),"")</f>
        <v>1.5</v>
      </c>
      <c r="DG34" s="10">
        <f>IF(BM34=1,Вес1.13/MIN(Вес1.1,Вес1.3,Вес1.4,Вес1.5,Вес1.6,Вес1.7,Вес1.8,Вес1.9,Вес1.11,Вес1.12,Вес1.13,Вес1.14,Вес1.15,Вес1.16,Вес1.17,Вес1.18),"")</f>
        <v>1.75</v>
      </c>
      <c r="DH34" s="10">
        <f>IF(BS34=1,Вес1.14/MIN(Вес1.1,Вес1.3,Вес1.4,Вес1.5,Вес1.6,Вес1.7,Вес1.8,Вес1.9,Вес1.11,Вес1.12,Вес1.13,Вес1.14,Вес1.15,Вес1.16,Вес1.17,Вес1.18),"")</f>
        <v>1.5</v>
      </c>
      <c r="DI34" s="10">
        <f>IF(BY34=1,Вес1.15/MIN(Вес1.1,Вес1.3,Вес1.4,Вес1.5,Вес1.6,Вес1.7,Вес1.8,Вес1.9,Вес1.11,Вес1.12,Вес1.13,Вес1.14,Вес1.15,Вес1.16,Вес1.17,Вес1.18),"")</f>
        <v>1.5</v>
      </c>
      <c r="DJ34" s="10">
        <f>IF(CE34=1,Вес1.16/MIN(Вес1.1,Вес1.3,Вес1.4,Вес1.5,Вес1.6,Вес1.7,Вес1.8,Вес1.9,Вес1.11,Вес1.12,Вес1.13,Вес1.14,Вес1.15,Вес1.16,Вес1.17,Вес1.18),"")</f>
        <v>1.75</v>
      </c>
      <c r="DK34" s="10">
        <f>IF(CK34=1,Вес1.17/MIN(Вес1.1,Вес1.3,Вес1.4,Вес1.5,Вес1.6,Вес1.7,Вес1.8,Вес1.9,Вес1.11,Вес1.12,Вес1.13,Вес1.14,Вес1.15,Вес1.16,Вес1.17,Вес1.18),"")</f>
        <v>1.5</v>
      </c>
      <c r="DL34" s="10">
        <f>IF(CQ34=1,Вес1.18/MIN(Вес1.1,Вес1.3,Вес1.4,Вес1.5,Вес1.6,Вес1.7,Вес1.8,Вес1.9,Вес1.11,Вес1.12,Вес1.13,Вес1.14,Вес1.15,Вес1.16,Вес1.17,Вес1.18),"")</f>
        <v>1.5</v>
      </c>
      <c r="DM34" s="10">
        <f>SUM(CW34:DL34)</f>
        <v>25</v>
      </c>
    </row>
    <row r="35" spans="1:117" ht="38.25" x14ac:dyDescent="0.2">
      <c r="A35" s="1" t="s">
        <v>108</v>
      </c>
      <c r="B35" s="9" t="s">
        <v>51</v>
      </c>
      <c r="C35" s="10">
        <f>IF(D35&lt;&gt;1,"",SUM(J35,P35,V35,AB35,AH35,AN35,AT35,AZ35,BF35,BL35,BR35,BX35,CD35,CJ35,CP35,CV35))</f>
        <v>0.72031800000000024</v>
      </c>
      <c r="D35" s="10">
        <f>IF(SUM(E35,K35,Q35,W35,AC35,AI35,AO35,AU35,BA35,BG35,BM35,BS35,BY35,CE35,CK35,CQ35)=0,0,1)</f>
        <v>1</v>
      </c>
      <c r="E35" s="56">
        <v>1</v>
      </c>
      <c r="F35" s="56">
        <v>11.885199999999999</v>
      </c>
      <c r="G35" s="56">
        <v>0</v>
      </c>
      <c r="H35" s="10">
        <f>IF(E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1.1/MIN(Вес1.1,Вес1.3,Вес1.4,Вес1.5,Вес1.6,Вес1.7,Вес1.8,Вес1.9,Вес1.11,Вес1.12,Вес1.13,Вес1.14,Вес1.15,Вес1.16,Вес1.17,Вес1.18)),"")</f>
        <v>5</v>
      </c>
      <c r="I35" s="10">
        <f>IF(H35="","не применяется",IF(E35=0,"не применяется",H35*G35/100))</f>
        <v>0</v>
      </c>
      <c r="J35" s="10">
        <f>IF(ISNUMBER(I35),I35,"")</f>
        <v>0</v>
      </c>
      <c r="K35" s="56">
        <v>1</v>
      </c>
      <c r="L35" s="56">
        <v>0</v>
      </c>
      <c r="M35" s="56">
        <v>1</v>
      </c>
      <c r="N35" s="10">
        <f>IF(K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1.3/MIN(Вес1.1,Вес1.3,Вес1.4,Вес1.5,Вес1.6,Вес1.7,Вес1.8,Вес1.9,Вес1.11,Вес1.12,Вес1.13,Вес1.14,Вес1.15,Вес1.16,Вес1.17,Вес1.18)),"")</f>
        <v>5</v>
      </c>
      <c r="O35" s="10">
        <f>IF(N35="","не применяется",IF(K35=0,"не применяется",N35*M35/100))</f>
        <v>0.05</v>
      </c>
      <c r="P35" s="10">
        <f>IF(ISNUMBER(O35),O35,"")</f>
        <v>0.05</v>
      </c>
      <c r="Q35" s="56">
        <v>1</v>
      </c>
      <c r="R35" s="56">
        <v>100</v>
      </c>
      <c r="S35" s="56">
        <v>1</v>
      </c>
      <c r="T35" s="10">
        <f>IF(Q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1.4/MIN(Вес1.1,Вес1.3,Вес1.4,Вес1.5,Вес1.6,Вес1.7,Вес1.8,Вес1.9,Вес1.11,Вес1.12,Вес1.13,Вес1.14,Вес1.15,Вес1.16,Вес1.17,Вес1.18)),"")</f>
        <v>4</v>
      </c>
      <c r="U35" s="10">
        <f>IF(T35="","не применяется",IF(Q35=0,"не применяется",S35*T35/100))</f>
        <v>0.04</v>
      </c>
      <c r="V35" s="10">
        <f>IF(ISNUMBER(U35),U35,"")</f>
        <v>0.04</v>
      </c>
      <c r="W35" s="56">
        <v>1</v>
      </c>
      <c r="X35" s="56">
        <v>0.26050000000000001</v>
      </c>
      <c r="Y35" s="56">
        <v>0</v>
      </c>
      <c r="Z35" s="10">
        <f>IF(W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1.5/MIN(Вес1.1,Вес1.3,Вес1.4,Вес1.5,Вес1.6,Вес1.7,Вес1.8,Вес1.9,Вес1.11,Вес1.12,Вес1.13,Вес1.14,Вес1.15,Вес1.16,Вес1.17,Вес1.18)),"")</f>
        <v>7</v>
      </c>
      <c r="AA35" s="10">
        <f>IF(Z35="","не применяется",IF(W35=0,"не применяется",Z35*Y35/100))</f>
        <v>0</v>
      </c>
      <c r="AB35" s="10">
        <f>IF(ISNUMBER(AA35),AA35,"")</f>
        <v>0</v>
      </c>
      <c r="AC35" s="56">
        <v>1</v>
      </c>
      <c r="AD35" s="56">
        <v>0</v>
      </c>
      <c r="AE35" s="56">
        <v>1</v>
      </c>
      <c r="AF35" s="10">
        <f>IF(AC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1.6/MIN(Вес1.1,Вес1.3,Вес1.4,Вес1.5,Вес1.6,Вес1.7,Вес1.8,Вес1.9,Вес1.11,Вес1.12,Вес1.13,Вес1.14,Вес1.15,Вес1.16,Вес1.17,Вес1.18)),"")</f>
        <v>7</v>
      </c>
      <c r="AG35" s="10">
        <f>IF(AF35="","не применяется",IF(AC35=0,"не применяется",AF35*AE35/100))</f>
        <v>7.0000000000000007E-2</v>
      </c>
      <c r="AH35" s="10">
        <f>IF(ISNUMBER(AG35),AG35,"")</f>
        <v>7.0000000000000007E-2</v>
      </c>
      <c r="AI35" s="56">
        <v>1</v>
      </c>
      <c r="AJ35" s="56">
        <v>2.9999999999999997E-4</v>
      </c>
      <c r="AK35" s="56">
        <v>1</v>
      </c>
      <c r="AL35" s="10">
        <f>IF(AI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1.7/MIN(Вес1.1,Вес1.3,Вес1.4,Вес1.5,Вес1.6,Вес1.7,Вес1.8,Вес1.9,Вес1.11,Вес1.12,Вес1.13,Вес1.14,Вес1.15,Вес1.16,Вес1.17,Вес1.18)),"")</f>
        <v>7</v>
      </c>
      <c r="AM35" s="10">
        <f>IF(AL35="","не применяется",IF(AI35=0,"не применяется",AL35*AK35/100))</f>
        <v>7.0000000000000007E-2</v>
      </c>
      <c r="AN35" s="10">
        <f>IF(ISNUMBER(AM35),AM35,"")</f>
        <v>7.0000000000000007E-2</v>
      </c>
      <c r="AO35" s="56">
        <v>1</v>
      </c>
      <c r="AP35" s="56">
        <v>61</v>
      </c>
      <c r="AQ35" s="56">
        <v>0</v>
      </c>
      <c r="AR35" s="10">
        <f>IF(AO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1.8/MIN(Вес1.1,Вес1.3,Вес1.4,Вес1.5,Вес1.6,Вес1.7,Вес1.8,Вес1.9,Вес1.11,Вес1.12,Вес1.13,Вес1.14,Вес1.15,Вес1.16,Вес1.17,Вес1.18)),"")</f>
        <v>7</v>
      </c>
      <c r="AS35" s="10">
        <f>IF(AR35="","не применяется",IF(AO35=0,"не применяется",AR35*AQ35/100))</f>
        <v>0</v>
      </c>
      <c r="AT35" s="10">
        <f>IF(ISNUMBER(AS35),AS35,"")</f>
        <v>0</v>
      </c>
      <c r="AU35" s="56">
        <v>1</v>
      </c>
      <c r="AV35" s="56">
        <v>22.375699999999998</v>
      </c>
      <c r="AW35" s="56">
        <v>1</v>
      </c>
      <c r="AX35" s="10">
        <f>IF(AU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1.9/MIN(Вес1.1,Вес1.3,Вес1.4,Вес1.5,Вес1.6,Вес1.7,Вес1.8,Вес1.9,Вес1.11,Вес1.12,Вес1.13,Вес1.14,Вес1.15,Вес1.16,Вес1.17,Вес1.18)),"")</f>
        <v>7</v>
      </c>
      <c r="AY35" s="10">
        <f>IF(AX35="","не применяется",IF(AU35=0,"не применяется",AX35*AW35/100))</f>
        <v>7.0000000000000007E-2</v>
      </c>
      <c r="AZ35" s="10">
        <f>IF(ISNUMBER(AY35),AY35,"")</f>
        <v>7.0000000000000007E-2</v>
      </c>
      <c r="BA35" s="56">
        <v>1</v>
      </c>
      <c r="BB35" s="56">
        <v>101.6062</v>
      </c>
      <c r="BC35" s="56">
        <v>1</v>
      </c>
      <c r="BD35" s="10">
        <f>IF(BA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1.11/MIN(Вес1.1,Вес1.3,Вес1.4,Вес1.5,Вес1.6,Вес1.7,Вес1.8,Вес1.9,Вес1.11,Вес1.12,Вес1.13,Вес1.14,Вес1.15,Вес1.16,Вес1.17,Вес1.18)),"")</f>
        <v>7</v>
      </c>
      <c r="BE35" s="10">
        <f>IF(BD35="","не применяется",IF(BA35=0,"не применяется",BD35*BC35/100))</f>
        <v>7.0000000000000007E-2</v>
      </c>
      <c r="BF35" s="10">
        <f>IF(ISNUMBER(BE35),BE35,"")</f>
        <v>7.0000000000000007E-2</v>
      </c>
      <c r="BG35" s="56">
        <v>1</v>
      </c>
      <c r="BH35" s="56">
        <v>5.96E-2</v>
      </c>
      <c r="BI35" s="56">
        <v>0.50529999999999997</v>
      </c>
      <c r="BJ35" s="10">
        <f>IF(BG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1.12/MIN(Вес1.1,Вес1.3,Вес1.4,Вес1.5,Вес1.6,Вес1.7,Вес1.8,Вес1.9,Вес1.11,Вес1.12,Вес1.13,Вес1.14,Вес1.15,Вес1.16,Вес1.17,Вес1.18)),"")</f>
        <v>6</v>
      </c>
      <c r="BK35" s="10">
        <f>IF(BJ35="","не применяется",IF(BG35=0,"не применяется",BJ35*BI35/100))</f>
        <v>3.0317999999999998E-2</v>
      </c>
      <c r="BL35" s="10">
        <f>IF(ISNUMBER(BK35),BK35,"")</f>
        <v>3.0317999999999998E-2</v>
      </c>
      <c r="BM35" s="56">
        <v>1</v>
      </c>
      <c r="BN35" s="56">
        <v>99.2654</v>
      </c>
      <c r="BO35" s="56">
        <v>1</v>
      </c>
      <c r="BP35" s="10">
        <f>IF(BM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1.13/MIN(Вес1.1,Вес1.3,Вес1.4,Вес1.5,Вес1.6,Вес1.7,Вес1.8,Вес1.9,Вес1.11,Вес1.12,Вес1.13,Вес1.14,Вес1.15,Вес1.16,Вес1.17,Вес1.18)),"")</f>
        <v>7</v>
      </c>
      <c r="BQ35" s="10">
        <f>IF(BP35="","не применяется",IF(BM35=0,"не применяется",BP35*BO35/100))</f>
        <v>7.0000000000000007E-2</v>
      </c>
      <c r="BR35" s="10">
        <f>IF(ISNUMBER(BQ35),BQ35,"")</f>
        <v>7.0000000000000007E-2</v>
      </c>
      <c r="BS35" s="56">
        <v>1</v>
      </c>
      <c r="BT35" s="56">
        <v>7.3000000000000001E-3</v>
      </c>
      <c r="BU35" s="56">
        <v>1</v>
      </c>
      <c r="BV35" s="10">
        <f>IF(BS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1.14/MIN(Вес1.1,Вес1.3,Вес1.4,Вес1.5,Вес1.6,Вес1.7,Вес1.8,Вес1.9,Вес1.11,Вес1.12,Вес1.13,Вес1.14,Вес1.15,Вес1.16,Вес1.17,Вес1.18)),"")</f>
        <v>6</v>
      </c>
      <c r="BW35" s="10">
        <f>IF(BV35="","не применяется",IF(BS35=0,"не применяется",BV35*BU35/100))</f>
        <v>0.06</v>
      </c>
      <c r="BX35" s="10">
        <f>IF(ISNUMBER(BW35),BW35,"")</f>
        <v>0.06</v>
      </c>
      <c r="BY35" s="56">
        <v>1</v>
      </c>
      <c r="BZ35" s="56">
        <v>3.6808999999999998</v>
      </c>
      <c r="CA35" s="56">
        <v>0</v>
      </c>
      <c r="CB35" s="10">
        <f>IF(BY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1.15/MIN(Вес1.1,Вес1.3,Вес1.4,Вес1.5,Вес1.6,Вес1.7,Вес1.8,Вес1.9,Вес1.11,Вес1.12,Вес1.13,Вес1.14,Вес1.15,Вес1.16,Вес1.17,Вес1.18)),"")</f>
        <v>6</v>
      </c>
      <c r="CC35" s="10">
        <f>IF(CB35="","не применяется",IF(BY35=0,"не применяется",CB35*CA35/100))</f>
        <v>0</v>
      </c>
      <c r="CD35" s="10">
        <f>IF(ISNUMBER(CC35),CC35,"")</f>
        <v>0</v>
      </c>
      <c r="CE35" s="56">
        <v>1</v>
      </c>
      <c r="CF35" s="56">
        <v>0</v>
      </c>
      <c r="CG35" s="56">
        <v>1</v>
      </c>
      <c r="CH35" s="10">
        <f>IF(CE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1.16/MIN(Вес1.1,Вес1.3,Вес1.4,Вес1.5,Вес1.6,Вес1.7,Вес1.8,Вес1.9,Вес1.11,Вес1.12,Вес1.13,Вес1.14,Вес1.15,Вес1.16,Вес1.17,Вес1.18)),"")</f>
        <v>7</v>
      </c>
      <c r="CI35" s="10">
        <f>IF(CH35="","не применяется",IF(CE35=0,"не применяется",CH35*CG35/100))</f>
        <v>7.0000000000000007E-2</v>
      </c>
      <c r="CJ35" s="10">
        <f>IF(ISNUMBER(CI35),CI35,"")</f>
        <v>7.0000000000000007E-2</v>
      </c>
      <c r="CK35" s="56">
        <v>1</v>
      </c>
      <c r="CL35" s="56">
        <v>0</v>
      </c>
      <c r="CM35" s="56">
        <v>1</v>
      </c>
      <c r="CN35" s="10">
        <f>IF(CK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1.17/MIN(Вес1.1,Вес1.3,Вес1.4,Вес1.5,Вес1.6,Вес1.7,Вес1.8,Вес1.9,Вес1.11,Вес1.12,Вес1.13,Вес1.14,Вес1.15,Вес1.16,Вес1.17,Вес1.18)),"")</f>
        <v>6</v>
      </c>
      <c r="CO35" s="10">
        <f>IF(CN35="","не применяется",IF(CK35=0,"не применяется",CN35*CM35/100))</f>
        <v>0.06</v>
      </c>
      <c r="CP35" s="10">
        <f>IF(ISNUMBER(CO35),CO35,"")</f>
        <v>0.06</v>
      </c>
      <c r="CQ35" s="56">
        <v>1</v>
      </c>
      <c r="CR35" s="56">
        <v>42.1053</v>
      </c>
      <c r="CS35" s="56">
        <v>1</v>
      </c>
      <c r="CT35" s="10">
        <f>IF(CQ35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35*Вес1.18/MIN(Вес1.1,Вес1.3,Вес1.4,Вес1.5,Вес1.6,Вес1.7,Вес1.8,Вес1.9,Вес1.11,Вес1.12,Вес1.13,Вес1.14,Вес1.15,Вес1.16,Вес1.17,Вес1.18)),"")</f>
        <v>6</v>
      </c>
      <c r="CU35" s="10">
        <f>IF(CT35="","не применяется",IF(CQ35=0,"не применяется",CT35*CS35/100))</f>
        <v>0.06</v>
      </c>
      <c r="CV35" s="10">
        <f>IF(ISNUMBER(CU35),CU35,"")</f>
        <v>0.06</v>
      </c>
      <c r="CW35" s="10">
        <f>IF(E35=1,Вес1.1/MIN(Вес1.1,Вес1.3,Вес1.4,Вес1.5,Вес1.6,Вес1.7,Вес1.8,Вес1.9,Вес1.11,Вес1.12,Вес1.13,Вес1.14,Вес1.15,Вес1.16,Вес1.17,Вес1.18),"")</f>
        <v>1.25</v>
      </c>
      <c r="CX35" s="10">
        <f>IF(K35=1,Вес1.3/MIN(Вес1.1,Вес1.3,Вес1.4,Вес1.5,Вес1.6,Вес1.7,Вес1.8,Вес1.9,Вес1.11,Вес1.12,Вес1.13,Вес1.14,Вес1.15,Вес1.16,Вес1.17,Вес1.18),"")</f>
        <v>1.25</v>
      </c>
      <c r="CY35" s="10">
        <f>IF(Q35=1,Вес1.4/MIN(Вес1.1,Вес1.3,Вес1.4,Вес1.5,Вес1.6,Вес1.7,Вес1.8,Вес1.9,Вес1.11,Вес1.12,Вес1.13,Вес1.14,Вес1.15,Вес1.16,Вес1.17,Вес1.18),"")</f>
        <v>1</v>
      </c>
      <c r="CZ35" s="10">
        <f>IF(W35=1,Вес1.5/MIN(Вес1.1,Вес1.3,Вес1.4,Вес1.5,Вес1.6,Вес1.7,Вес1.8,Вес1.9,Вес1.11,Вес1.12,Вес1.13,Вес1.14,Вес1.15,Вес1.16,Вес1.17,Вес1.18),"")</f>
        <v>1.75</v>
      </c>
      <c r="DA35" s="10">
        <f>IF(AC35=1,Вес1.6/MIN(Вес1.6,Вес1.3,Вес1.4,Вес1.5,Вес1.6,Вес1.7,Вес1.8,Вес1.9,Вес1.11,Вес1.12,Вес1.13,Вес1.14,Вес1.15,Вес1.16,Вес1.17,Вес1.18),"")</f>
        <v>1.75</v>
      </c>
      <c r="DB35" s="10">
        <f>IF(AI35=1,Вес1.7/MIN(Вес1.1,Вес1.3,Вес1.4,Вес1.5,Вес1.6,Вес1.7,Вес1.8,Вес1.9,Вес1.11,Вес1.12,Вес1.13,Вес1.14,Вес1.15,Вес1.16,Вес1.17,Вес1.18),"")</f>
        <v>1.75</v>
      </c>
      <c r="DC35" s="10">
        <f>IF(AO35=1,Вес1.8/MIN(Вес1.1,Вес1.3,Вес1.4,Вес1.5,Вес1.6,Вес1.7,Вес1.8,Вес1.9,Вес1.11,Вес1.12,Вес1.13,Вес1.14,Вес1.15,Вес1.16,Вес1.17,Вес1.18),"")</f>
        <v>1.75</v>
      </c>
      <c r="DD35" s="10">
        <f>IF(AU35=1,Вес1.9/MIN(Вес1.1,Вес1.3,Вес1.4,Вес1.5,Вес1.6,Вес1.7,Вес1.8,Вес1.9,Вес1.11,Вес1.12,Вес1.13,Вес1.14,Вес1.15,Вес1.16,Вес1.17,Вес1.18),"")</f>
        <v>1.75</v>
      </c>
      <c r="DE35" s="10">
        <f>IF(BA35=1,Вес1.11/MIN(Вес1.1,Вес1.3,Вес1.4,Вес1.5,Вес1.6,Вес1.7,Вес1.8,Вес1.9,Вес1.11,Вес1.12,Вес1.13,Вес1.14,Вес1.15,Вес1.16,Вес1.17,Вес1.18),"")</f>
        <v>1.75</v>
      </c>
      <c r="DF35" s="10">
        <f>IF(BG35=1,Вес1.12/MIN(Вес1.1,Вес1.3,Вес1.4,Вес1.5,Вес1.6,Вес1.7,Вес1.8,Вес1.9,Вес1.11,Вес1.12,Вес1.13,Вес1.14,Вес1.15,Вес1.16,Вес1.17,Вес1.18),"")</f>
        <v>1.5</v>
      </c>
      <c r="DG35" s="10">
        <f>IF(BM35=1,Вес1.13/MIN(Вес1.1,Вес1.3,Вес1.4,Вес1.5,Вес1.6,Вес1.7,Вес1.8,Вес1.9,Вес1.11,Вес1.12,Вес1.13,Вес1.14,Вес1.15,Вес1.16,Вес1.17,Вес1.18),"")</f>
        <v>1.75</v>
      </c>
      <c r="DH35" s="10">
        <f>IF(BS35=1,Вес1.14/MIN(Вес1.1,Вес1.3,Вес1.4,Вес1.5,Вес1.6,Вес1.7,Вес1.8,Вес1.9,Вес1.11,Вес1.12,Вес1.13,Вес1.14,Вес1.15,Вес1.16,Вес1.17,Вес1.18),"")</f>
        <v>1.5</v>
      </c>
      <c r="DI35" s="10">
        <f>IF(BY35=1,Вес1.15/MIN(Вес1.1,Вес1.3,Вес1.4,Вес1.5,Вес1.6,Вес1.7,Вес1.8,Вес1.9,Вес1.11,Вес1.12,Вес1.13,Вес1.14,Вес1.15,Вес1.16,Вес1.17,Вес1.18),"")</f>
        <v>1.5</v>
      </c>
      <c r="DJ35" s="10">
        <f>IF(CE35=1,Вес1.16/MIN(Вес1.1,Вес1.3,Вес1.4,Вес1.5,Вес1.6,Вес1.7,Вес1.8,Вес1.9,Вес1.11,Вес1.12,Вес1.13,Вес1.14,Вес1.15,Вес1.16,Вес1.17,Вес1.18),"")</f>
        <v>1.75</v>
      </c>
      <c r="DK35" s="10">
        <f>IF(CK35=1,Вес1.17/MIN(Вес1.1,Вес1.3,Вес1.4,Вес1.5,Вес1.6,Вес1.7,Вес1.8,Вес1.9,Вес1.11,Вес1.12,Вес1.13,Вес1.14,Вес1.15,Вес1.16,Вес1.17,Вес1.18),"")</f>
        <v>1.5</v>
      </c>
      <c r="DL35" s="10">
        <f>IF(CQ35=1,Вес1.18/MIN(Вес1.1,Вес1.3,Вес1.4,Вес1.5,Вес1.6,Вес1.7,Вес1.8,Вес1.9,Вес1.11,Вес1.12,Вес1.13,Вес1.14,Вес1.15,Вес1.16,Вес1.17,Вес1.18),"")</f>
        <v>1.5</v>
      </c>
      <c r="DM35" s="10">
        <f>SUM(CW35:DL35)</f>
        <v>25</v>
      </c>
    </row>
    <row r="36" spans="1:117" ht="25.5" x14ac:dyDescent="0.2">
      <c r="A36" s="1" t="s">
        <v>109</v>
      </c>
      <c r="B36" s="9" t="s">
        <v>27</v>
      </c>
      <c r="C36" s="10">
        <f>IF(D36&lt;&gt;1,"",SUM(J36,P36,V36,AB36,AH36,AN36,AT36,AZ36,BF36,BL36,BR36,BX36,CD36,CJ36,CP36,CV36))</f>
        <v>0.75414599999999998</v>
      </c>
      <c r="D36" s="10">
        <f>IF(SUM(E36,K36,Q36,W36,AC36,AI36,AO36,AU36,BA36,BG36,BM36,BS36,BY36,CE36,CK36,CQ36)=0,0,1)</f>
        <v>1</v>
      </c>
      <c r="E36" s="56">
        <v>1</v>
      </c>
      <c r="F36" s="56">
        <v>19.070599999999999</v>
      </c>
      <c r="G36" s="56">
        <v>0</v>
      </c>
      <c r="H36" s="10">
        <f>IF(E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1.1/MIN(Вес1.1,Вес1.3,Вес1.4,Вес1.5,Вес1.6,Вес1.7,Вес1.8,Вес1.9,Вес1.11,Вес1.12,Вес1.13,Вес1.14,Вес1.15,Вес1.16,Вес1.17,Вес1.18)),"")</f>
        <v>5</v>
      </c>
      <c r="I36" s="10">
        <f>IF(H36="","не применяется",IF(E36=0,"не применяется",H36*G36/100))</f>
        <v>0</v>
      </c>
      <c r="J36" s="10">
        <f>IF(ISNUMBER(I36),I36,"")</f>
        <v>0</v>
      </c>
      <c r="K36" s="56">
        <v>1</v>
      </c>
      <c r="L36" s="56">
        <v>0</v>
      </c>
      <c r="M36" s="56">
        <v>1</v>
      </c>
      <c r="N36" s="10">
        <f>IF(K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1.3/MIN(Вес1.1,Вес1.3,Вес1.4,Вес1.5,Вес1.6,Вес1.7,Вес1.8,Вес1.9,Вес1.11,Вес1.12,Вес1.13,Вес1.14,Вес1.15,Вес1.16,Вес1.17,Вес1.18)),"")</f>
        <v>5</v>
      </c>
      <c r="O36" s="10">
        <f>IF(N36="","не применяется",IF(K36=0,"не применяется",N36*M36/100))</f>
        <v>0.05</v>
      </c>
      <c r="P36" s="10">
        <f>IF(ISNUMBER(O36),O36,"")</f>
        <v>0.05</v>
      </c>
      <c r="Q36" s="56">
        <v>1</v>
      </c>
      <c r="R36" s="56">
        <v>100</v>
      </c>
      <c r="S36" s="56">
        <v>1</v>
      </c>
      <c r="T36" s="10">
        <f>IF(Q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1.4/MIN(Вес1.1,Вес1.3,Вес1.4,Вес1.5,Вес1.6,Вес1.7,Вес1.8,Вес1.9,Вес1.11,Вес1.12,Вес1.13,Вес1.14,Вес1.15,Вес1.16,Вес1.17,Вес1.18)),"")</f>
        <v>4</v>
      </c>
      <c r="U36" s="10">
        <f>IF(T36="","не применяется",IF(Q36=0,"не применяется",S36*T36/100))</f>
        <v>0.04</v>
      </c>
      <c r="V36" s="10">
        <f>IF(ISNUMBER(U36),U36,"")</f>
        <v>0.04</v>
      </c>
      <c r="W36" s="56">
        <v>1</v>
      </c>
      <c r="X36" s="56">
        <v>8.9999999999999993E-3</v>
      </c>
      <c r="Y36" s="56">
        <v>1</v>
      </c>
      <c r="Z36" s="10">
        <f>IF(W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1.5/MIN(Вес1.1,Вес1.3,Вес1.4,Вес1.5,Вес1.6,Вес1.7,Вес1.8,Вес1.9,Вес1.11,Вес1.12,Вес1.13,Вес1.14,Вес1.15,Вес1.16,Вес1.17,Вес1.18)),"")</f>
        <v>7</v>
      </c>
      <c r="AA36" s="10">
        <f>IF(Z36="","не применяется",IF(W36=0,"не применяется",Z36*Y36/100))</f>
        <v>7.0000000000000007E-2</v>
      </c>
      <c r="AB36" s="10">
        <f>IF(ISNUMBER(AA36),AA36,"")</f>
        <v>7.0000000000000007E-2</v>
      </c>
      <c r="AC36" s="56">
        <v>1</v>
      </c>
      <c r="AD36" s="56">
        <v>0</v>
      </c>
      <c r="AE36" s="56">
        <v>1</v>
      </c>
      <c r="AF36" s="10">
        <f>IF(AC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1.6/MIN(Вес1.1,Вес1.3,Вес1.4,Вес1.5,Вес1.6,Вес1.7,Вес1.8,Вес1.9,Вес1.11,Вес1.12,Вес1.13,Вес1.14,Вес1.15,Вес1.16,Вес1.17,Вес1.18)),"")</f>
        <v>7</v>
      </c>
      <c r="AG36" s="10">
        <f>IF(AF36="","не применяется",IF(AC36=0,"не применяется",AF36*AE36/100))</f>
        <v>7.0000000000000007E-2</v>
      </c>
      <c r="AH36" s="10">
        <f>IF(ISNUMBER(AG36),AG36,"")</f>
        <v>7.0000000000000007E-2</v>
      </c>
      <c r="AI36" s="56">
        <v>1</v>
      </c>
      <c r="AJ36" s="56">
        <v>5.5119999999999996</v>
      </c>
      <c r="AK36" s="56">
        <v>0.72</v>
      </c>
      <c r="AL36" s="10">
        <f>IF(AI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1.7/MIN(Вес1.1,Вес1.3,Вес1.4,Вес1.5,Вес1.6,Вес1.7,Вес1.8,Вес1.9,Вес1.11,Вес1.12,Вес1.13,Вес1.14,Вес1.15,Вес1.16,Вес1.17,Вес1.18)),"")</f>
        <v>7</v>
      </c>
      <c r="AM36" s="10">
        <f>IF(AL36="","не применяется",IF(AI36=0,"не применяется",AL36*AK36/100))</f>
        <v>5.04E-2</v>
      </c>
      <c r="AN36" s="10">
        <f>IF(ISNUMBER(AM36),AM36,"")</f>
        <v>5.04E-2</v>
      </c>
      <c r="AO36" s="56">
        <v>1</v>
      </c>
      <c r="AP36" s="56">
        <v>133</v>
      </c>
      <c r="AQ36" s="56">
        <v>0</v>
      </c>
      <c r="AR36" s="10">
        <f>IF(AO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1.8/MIN(Вес1.1,Вес1.3,Вес1.4,Вес1.5,Вес1.6,Вес1.7,Вес1.8,Вес1.9,Вес1.11,Вес1.12,Вес1.13,Вес1.14,Вес1.15,Вес1.16,Вес1.17,Вес1.18)),"")</f>
        <v>7</v>
      </c>
      <c r="AS36" s="10">
        <f>IF(AR36="","не применяется",IF(AO36=0,"не применяется",AR36*AQ36/100))</f>
        <v>0</v>
      </c>
      <c r="AT36" s="10">
        <f>IF(ISNUMBER(AS36),AS36,"")</f>
        <v>0</v>
      </c>
      <c r="AU36" s="56">
        <v>1</v>
      </c>
      <c r="AV36" s="56">
        <v>24.563800000000001</v>
      </c>
      <c r="AW36" s="56">
        <v>1</v>
      </c>
      <c r="AX36" s="10">
        <f>IF(AU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1.9/MIN(Вес1.1,Вес1.3,Вес1.4,Вес1.5,Вес1.6,Вес1.7,Вес1.8,Вес1.9,Вес1.11,Вес1.12,Вес1.13,Вес1.14,Вес1.15,Вес1.16,Вес1.17,Вес1.18)),"")</f>
        <v>7</v>
      </c>
      <c r="AY36" s="10">
        <f>IF(AX36="","не применяется",IF(AU36=0,"не применяется",AX36*AW36/100))</f>
        <v>7.0000000000000007E-2</v>
      </c>
      <c r="AZ36" s="10">
        <f>IF(ISNUMBER(AY36),AY36,"")</f>
        <v>7.0000000000000007E-2</v>
      </c>
      <c r="BA36" s="56">
        <v>1</v>
      </c>
      <c r="BB36" s="56">
        <v>104.252</v>
      </c>
      <c r="BC36" s="56">
        <v>1</v>
      </c>
      <c r="BD36" s="10">
        <f>IF(BA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1.11/MIN(Вес1.1,Вес1.3,Вес1.4,Вес1.5,Вес1.6,Вес1.7,Вес1.8,Вес1.9,Вес1.11,Вес1.12,Вес1.13,Вес1.14,Вес1.15,Вес1.16,Вес1.17,Вес1.18)),"")</f>
        <v>7</v>
      </c>
      <c r="BE36" s="10">
        <f>IF(BD36="","не применяется",IF(BA36=0,"не применяется",BD36*BC36/100))</f>
        <v>7.0000000000000007E-2</v>
      </c>
      <c r="BF36" s="10">
        <f>IF(ISNUMBER(BE36),BE36,"")</f>
        <v>7.0000000000000007E-2</v>
      </c>
      <c r="BG36" s="56">
        <v>1</v>
      </c>
      <c r="BH36" s="56">
        <v>2.3900000000000001E-2</v>
      </c>
      <c r="BI36" s="56">
        <v>0.95120000000000005</v>
      </c>
      <c r="BJ36" s="10">
        <f>IF(BG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1.12/MIN(Вес1.1,Вес1.3,Вес1.4,Вес1.5,Вес1.6,Вес1.7,Вес1.8,Вес1.9,Вес1.11,Вес1.12,Вес1.13,Вес1.14,Вес1.15,Вес1.16,Вес1.17,Вес1.18)),"")</f>
        <v>6</v>
      </c>
      <c r="BK36" s="10">
        <f>IF(BJ36="","не применяется",IF(BG36=0,"не применяется",BJ36*BI36/100))</f>
        <v>5.7072000000000005E-2</v>
      </c>
      <c r="BL36" s="10">
        <f>IF(ISNUMBER(BK36),BK36,"")</f>
        <v>5.7072000000000005E-2</v>
      </c>
      <c r="BM36" s="56">
        <v>1</v>
      </c>
      <c r="BN36" s="56">
        <v>99.899000000000001</v>
      </c>
      <c r="BO36" s="56">
        <v>1</v>
      </c>
      <c r="BP36" s="10">
        <f>IF(BM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1.13/MIN(Вес1.1,Вес1.3,Вес1.4,Вес1.5,Вес1.6,Вес1.7,Вес1.8,Вес1.9,Вес1.11,Вес1.12,Вес1.13,Вес1.14,Вес1.15,Вес1.16,Вес1.17,Вес1.18)),"")</f>
        <v>7</v>
      </c>
      <c r="BQ36" s="10">
        <f>IF(BP36="","не применяется",IF(BM36=0,"не применяется",BP36*BO36/100))</f>
        <v>7.0000000000000007E-2</v>
      </c>
      <c r="BR36" s="10">
        <f>IF(ISNUMBER(BQ36),BQ36,"")</f>
        <v>7.0000000000000007E-2</v>
      </c>
      <c r="BS36" s="56">
        <v>1</v>
      </c>
      <c r="BT36" s="56">
        <v>1E-3</v>
      </c>
      <c r="BU36" s="56">
        <v>1</v>
      </c>
      <c r="BV36" s="10">
        <f>IF(BS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1.14/MIN(Вес1.1,Вес1.3,Вес1.4,Вес1.5,Вес1.6,Вес1.7,Вес1.8,Вес1.9,Вес1.11,Вес1.12,Вес1.13,Вес1.14,Вес1.15,Вес1.16,Вес1.17,Вес1.18)),"")</f>
        <v>6</v>
      </c>
      <c r="BW36" s="10">
        <f>IF(BV36="","не применяется",IF(BS36=0,"не применяется",BV36*BU36/100))</f>
        <v>0.06</v>
      </c>
      <c r="BX36" s="10">
        <f>IF(ISNUMBER(BW36),BW36,"")</f>
        <v>0.06</v>
      </c>
      <c r="BY36" s="56">
        <v>1</v>
      </c>
      <c r="BZ36" s="56">
        <v>8.9999999999999993E-3</v>
      </c>
      <c r="CA36" s="56">
        <v>0.97789999999999999</v>
      </c>
      <c r="CB36" s="10">
        <f>IF(BY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1.15/MIN(Вес1.1,Вес1.3,Вес1.4,Вес1.5,Вес1.6,Вес1.7,Вес1.8,Вес1.9,Вес1.11,Вес1.12,Вес1.13,Вес1.14,Вес1.15,Вес1.16,Вес1.17,Вес1.18)),"")</f>
        <v>6</v>
      </c>
      <c r="CC36" s="10">
        <f>IF(CB36="","не применяется",IF(BY36=0,"не применяется",CB36*CA36/100))</f>
        <v>5.8673999999999997E-2</v>
      </c>
      <c r="CD36" s="10">
        <f>IF(ISNUMBER(CC36),CC36,"")</f>
        <v>5.8673999999999997E-2</v>
      </c>
      <c r="CE36" s="56">
        <v>1</v>
      </c>
      <c r="CF36" s="56">
        <v>0</v>
      </c>
      <c r="CG36" s="56">
        <v>1</v>
      </c>
      <c r="CH36" s="10">
        <f>IF(CE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1.16/MIN(Вес1.1,Вес1.3,Вес1.4,Вес1.5,Вес1.6,Вес1.7,Вес1.8,Вес1.9,Вес1.11,Вес1.12,Вес1.13,Вес1.14,Вес1.15,Вес1.16,Вес1.17,Вес1.18)),"")</f>
        <v>7</v>
      </c>
      <c r="CI36" s="10">
        <f>IF(CH36="","не применяется",IF(CE36=0,"не применяется",CH36*CG36/100))</f>
        <v>7.0000000000000007E-2</v>
      </c>
      <c r="CJ36" s="10">
        <f>IF(ISNUMBER(CI36),CI36,"")</f>
        <v>7.0000000000000007E-2</v>
      </c>
      <c r="CK36" s="56">
        <v>1</v>
      </c>
      <c r="CL36" s="56">
        <v>7</v>
      </c>
      <c r="CM36" s="56">
        <v>0.3</v>
      </c>
      <c r="CN36" s="10">
        <f>IF(CK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1.17/MIN(Вес1.1,Вес1.3,Вес1.4,Вес1.5,Вес1.6,Вес1.7,Вес1.8,Вес1.9,Вес1.11,Вес1.12,Вес1.13,Вес1.14,Вес1.15,Вес1.16,Вес1.17,Вес1.18)),"")</f>
        <v>6</v>
      </c>
      <c r="CO36" s="10">
        <f>IF(CN36="","не применяется",IF(CK36=0,"не применяется",CN36*CM36/100))</f>
        <v>1.7999999999999999E-2</v>
      </c>
      <c r="CP36" s="10">
        <f>IF(ISNUMBER(CO36),CO36,"")</f>
        <v>1.7999999999999999E-2</v>
      </c>
      <c r="CQ36" s="56">
        <v>1</v>
      </c>
      <c r="CR36" s="56">
        <v>441.3793</v>
      </c>
      <c r="CS36" s="56">
        <v>0</v>
      </c>
      <c r="CT36" s="10">
        <f>IF(CQ36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36*Вес1.18/MIN(Вес1.1,Вес1.3,Вес1.4,Вес1.5,Вес1.6,Вес1.7,Вес1.8,Вес1.9,Вес1.11,Вес1.12,Вес1.13,Вес1.14,Вес1.15,Вес1.16,Вес1.17,Вес1.18)),"")</f>
        <v>6</v>
      </c>
      <c r="CU36" s="10">
        <f>IF(CT36="","не применяется",IF(CQ36=0,"не применяется",CT36*CS36/100))</f>
        <v>0</v>
      </c>
      <c r="CV36" s="10">
        <f>IF(ISNUMBER(CU36),CU36,"")</f>
        <v>0</v>
      </c>
      <c r="CW36" s="10">
        <f>IF(E36=1,Вес1.1/MIN(Вес1.1,Вес1.3,Вес1.4,Вес1.5,Вес1.6,Вес1.7,Вес1.8,Вес1.9,Вес1.11,Вес1.12,Вес1.13,Вес1.14,Вес1.15,Вес1.16,Вес1.17,Вес1.18),"")</f>
        <v>1.25</v>
      </c>
      <c r="CX36" s="10">
        <f>IF(K36=1,Вес1.3/MIN(Вес1.1,Вес1.3,Вес1.4,Вес1.5,Вес1.6,Вес1.7,Вес1.8,Вес1.9,Вес1.11,Вес1.12,Вес1.13,Вес1.14,Вес1.15,Вес1.16,Вес1.17,Вес1.18),"")</f>
        <v>1.25</v>
      </c>
      <c r="CY36" s="10">
        <f>IF(Q36=1,Вес1.4/MIN(Вес1.1,Вес1.3,Вес1.4,Вес1.5,Вес1.6,Вес1.7,Вес1.8,Вес1.9,Вес1.11,Вес1.12,Вес1.13,Вес1.14,Вес1.15,Вес1.16,Вес1.17,Вес1.18),"")</f>
        <v>1</v>
      </c>
      <c r="CZ36" s="10">
        <f>IF(W36=1,Вес1.5/MIN(Вес1.1,Вес1.3,Вес1.4,Вес1.5,Вес1.6,Вес1.7,Вес1.8,Вес1.9,Вес1.11,Вес1.12,Вес1.13,Вес1.14,Вес1.15,Вес1.16,Вес1.17,Вес1.18),"")</f>
        <v>1.75</v>
      </c>
      <c r="DA36" s="10">
        <f>IF(AC36=1,Вес1.6/MIN(Вес1.6,Вес1.3,Вес1.4,Вес1.5,Вес1.6,Вес1.7,Вес1.8,Вес1.9,Вес1.11,Вес1.12,Вес1.13,Вес1.14,Вес1.15,Вес1.16,Вес1.17,Вес1.18),"")</f>
        <v>1.75</v>
      </c>
      <c r="DB36" s="10">
        <f>IF(AI36=1,Вес1.7/MIN(Вес1.1,Вес1.3,Вес1.4,Вес1.5,Вес1.6,Вес1.7,Вес1.8,Вес1.9,Вес1.11,Вес1.12,Вес1.13,Вес1.14,Вес1.15,Вес1.16,Вес1.17,Вес1.18),"")</f>
        <v>1.75</v>
      </c>
      <c r="DC36" s="10">
        <f>IF(AO36=1,Вес1.8/MIN(Вес1.1,Вес1.3,Вес1.4,Вес1.5,Вес1.6,Вес1.7,Вес1.8,Вес1.9,Вес1.11,Вес1.12,Вес1.13,Вес1.14,Вес1.15,Вес1.16,Вес1.17,Вес1.18),"")</f>
        <v>1.75</v>
      </c>
      <c r="DD36" s="10">
        <f>IF(AU36=1,Вес1.9/MIN(Вес1.1,Вес1.3,Вес1.4,Вес1.5,Вес1.6,Вес1.7,Вес1.8,Вес1.9,Вес1.11,Вес1.12,Вес1.13,Вес1.14,Вес1.15,Вес1.16,Вес1.17,Вес1.18),"")</f>
        <v>1.75</v>
      </c>
      <c r="DE36" s="10">
        <f>IF(BA36=1,Вес1.11/MIN(Вес1.1,Вес1.3,Вес1.4,Вес1.5,Вес1.6,Вес1.7,Вес1.8,Вес1.9,Вес1.11,Вес1.12,Вес1.13,Вес1.14,Вес1.15,Вес1.16,Вес1.17,Вес1.18),"")</f>
        <v>1.75</v>
      </c>
      <c r="DF36" s="10">
        <f>IF(BG36=1,Вес1.12/MIN(Вес1.1,Вес1.3,Вес1.4,Вес1.5,Вес1.6,Вес1.7,Вес1.8,Вес1.9,Вес1.11,Вес1.12,Вес1.13,Вес1.14,Вес1.15,Вес1.16,Вес1.17,Вес1.18),"")</f>
        <v>1.5</v>
      </c>
      <c r="DG36" s="10">
        <f>IF(BM36=1,Вес1.13/MIN(Вес1.1,Вес1.3,Вес1.4,Вес1.5,Вес1.6,Вес1.7,Вес1.8,Вес1.9,Вес1.11,Вес1.12,Вес1.13,Вес1.14,Вес1.15,Вес1.16,Вес1.17,Вес1.18),"")</f>
        <v>1.75</v>
      </c>
      <c r="DH36" s="10">
        <f>IF(BS36=1,Вес1.14/MIN(Вес1.1,Вес1.3,Вес1.4,Вес1.5,Вес1.6,Вес1.7,Вес1.8,Вес1.9,Вес1.11,Вес1.12,Вес1.13,Вес1.14,Вес1.15,Вес1.16,Вес1.17,Вес1.18),"")</f>
        <v>1.5</v>
      </c>
      <c r="DI36" s="10">
        <f>IF(BY36=1,Вес1.15/MIN(Вес1.1,Вес1.3,Вес1.4,Вес1.5,Вес1.6,Вес1.7,Вес1.8,Вес1.9,Вес1.11,Вес1.12,Вес1.13,Вес1.14,Вес1.15,Вес1.16,Вес1.17,Вес1.18),"")</f>
        <v>1.5</v>
      </c>
      <c r="DJ36" s="10">
        <f>IF(CE36=1,Вес1.16/MIN(Вес1.1,Вес1.3,Вес1.4,Вес1.5,Вес1.6,Вес1.7,Вес1.8,Вес1.9,Вес1.11,Вес1.12,Вес1.13,Вес1.14,Вес1.15,Вес1.16,Вес1.17,Вес1.18),"")</f>
        <v>1.75</v>
      </c>
      <c r="DK36" s="10">
        <f>IF(CK36=1,Вес1.17/MIN(Вес1.1,Вес1.3,Вес1.4,Вес1.5,Вес1.6,Вес1.7,Вес1.8,Вес1.9,Вес1.11,Вес1.12,Вес1.13,Вес1.14,Вес1.15,Вес1.16,Вес1.17,Вес1.18),"")</f>
        <v>1.5</v>
      </c>
      <c r="DL36" s="10">
        <f>IF(CQ36=1,Вес1.18/MIN(Вес1.1,Вес1.3,Вес1.4,Вес1.5,Вес1.6,Вес1.7,Вес1.8,Вес1.9,Вес1.11,Вес1.12,Вес1.13,Вес1.14,Вес1.15,Вес1.16,Вес1.17,Вес1.18),"")</f>
        <v>1.5</v>
      </c>
      <c r="DM36" s="10">
        <f>SUM(CW36:DL36)</f>
        <v>25</v>
      </c>
    </row>
    <row r="37" spans="1:117" ht="25.5" x14ac:dyDescent="0.2">
      <c r="A37" s="1" t="s">
        <v>110</v>
      </c>
      <c r="B37" s="9" t="s">
        <v>28</v>
      </c>
      <c r="C37" s="10">
        <f>IF(D37&lt;&gt;1,"",SUM(J37,P37,V37,AB37,AH37,AN37,AT37,AZ37,BF37,BL37,BR37,BX37,CD37,CJ37,CP37,CV37))</f>
        <v>0.87945900000000021</v>
      </c>
      <c r="D37" s="10">
        <f>IF(SUM(E37,K37,Q37,W37,AC37,AI37,AO37,AU37,BA37,BG37,BM37,BS37,BY37,CE37,CK37,CQ37)=0,0,1)</f>
        <v>1</v>
      </c>
      <c r="E37" s="56">
        <v>1</v>
      </c>
      <c r="F37" s="56">
        <v>29.949200000000001</v>
      </c>
      <c r="G37" s="56">
        <v>0</v>
      </c>
      <c r="H37" s="10">
        <f>IF(E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1.1/MIN(Вес1.1,Вес1.3,Вес1.4,Вес1.5,Вес1.6,Вес1.7,Вес1.8,Вес1.9,Вес1.11,Вес1.12,Вес1.13,Вес1.14,Вес1.15,Вес1.16,Вес1.17,Вес1.18)),"")</f>
        <v>5</v>
      </c>
      <c r="I37" s="10">
        <f>IF(H37="","не применяется",IF(E37=0,"не применяется",H37*G37/100))</f>
        <v>0</v>
      </c>
      <c r="J37" s="10">
        <f>IF(ISNUMBER(I37),I37,"")</f>
        <v>0</v>
      </c>
      <c r="K37" s="56">
        <v>1</v>
      </c>
      <c r="L37" s="56">
        <v>0</v>
      </c>
      <c r="M37" s="56">
        <v>1</v>
      </c>
      <c r="N37" s="10">
        <f>IF(K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1.3/MIN(Вес1.1,Вес1.3,Вес1.4,Вес1.5,Вес1.6,Вес1.7,Вес1.8,Вес1.9,Вес1.11,Вес1.12,Вес1.13,Вес1.14,Вес1.15,Вес1.16,Вес1.17,Вес1.18)),"")</f>
        <v>5</v>
      </c>
      <c r="O37" s="10">
        <f>IF(N37="","не применяется",IF(K37=0,"не применяется",N37*M37/100))</f>
        <v>0.05</v>
      </c>
      <c r="P37" s="10">
        <f>IF(ISNUMBER(O37),O37,"")</f>
        <v>0.05</v>
      </c>
      <c r="Q37" s="56">
        <v>1</v>
      </c>
      <c r="R37" s="56">
        <v>100</v>
      </c>
      <c r="S37" s="56">
        <v>1</v>
      </c>
      <c r="T37" s="10">
        <f>IF(Q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1.4/MIN(Вес1.1,Вес1.3,Вес1.4,Вес1.5,Вес1.6,Вес1.7,Вес1.8,Вес1.9,Вес1.11,Вес1.12,Вес1.13,Вес1.14,Вес1.15,Вес1.16,Вес1.17,Вес1.18)),"")</f>
        <v>4</v>
      </c>
      <c r="U37" s="10">
        <f>IF(T37="","не применяется",IF(Q37=0,"не применяется",S37*T37/100))</f>
        <v>0.04</v>
      </c>
      <c r="V37" s="10">
        <f>IF(ISNUMBER(U37),U37,"")</f>
        <v>0.04</v>
      </c>
      <c r="W37" s="56">
        <v>1</v>
      </c>
      <c r="X37" s="56">
        <v>6.7400000000000002E-2</v>
      </c>
      <c r="Y37" s="56">
        <v>1</v>
      </c>
      <c r="Z37" s="10">
        <f>IF(W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1.5/MIN(Вес1.1,Вес1.3,Вес1.4,Вес1.5,Вес1.6,Вес1.7,Вес1.8,Вес1.9,Вес1.11,Вес1.12,Вес1.13,Вес1.14,Вес1.15,Вес1.16,Вес1.17,Вес1.18)),"")</f>
        <v>7</v>
      </c>
      <c r="AA37" s="10">
        <f>IF(Z37="","не применяется",IF(W37=0,"не применяется",Z37*Y37/100))</f>
        <v>7.0000000000000007E-2</v>
      </c>
      <c r="AB37" s="10">
        <f>IF(ISNUMBER(AA37),AA37,"")</f>
        <v>7.0000000000000007E-2</v>
      </c>
      <c r="AC37" s="56">
        <v>1</v>
      </c>
      <c r="AD37" s="56">
        <v>0</v>
      </c>
      <c r="AE37" s="56">
        <v>1</v>
      </c>
      <c r="AF37" s="10">
        <f>IF(AC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1.6/MIN(Вес1.1,Вес1.3,Вес1.4,Вес1.5,Вес1.6,Вес1.7,Вес1.8,Вес1.9,Вес1.11,Вес1.12,Вес1.13,Вес1.14,Вес1.15,Вес1.16,Вес1.17,Вес1.18)),"")</f>
        <v>7</v>
      </c>
      <c r="AG37" s="10">
        <f>IF(AF37="","не применяется",IF(AC37=0,"не применяется",AF37*AE37/100))</f>
        <v>7.0000000000000007E-2</v>
      </c>
      <c r="AH37" s="10">
        <f>IF(ISNUMBER(AG37),AG37,"")</f>
        <v>7.0000000000000007E-2</v>
      </c>
      <c r="AI37" s="56">
        <v>1</v>
      </c>
      <c r="AJ37" s="56">
        <v>6.3299999999999995E-2</v>
      </c>
      <c r="AK37" s="56">
        <v>0.99629999999999996</v>
      </c>
      <c r="AL37" s="10">
        <f>IF(AI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1.7/MIN(Вес1.1,Вес1.3,Вес1.4,Вес1.5,Вес1.6,Вес1.7,Вес1.8,Вес1.9,Вес1.11,Вес1.12,Вес1.13,Вес1.14,Вес1.15,Вес1.16,Вес1.17,Вес1.18)),"")</f>
        <v>7</v>
      </c>
      <c r="AM37" s="10">
        <f>IF(AL37="","не применяется",IF(AI37=0,"не применяется",AL37*AK37/100))</f>
        <v>6.9740999999999997E-2</v>
      </c>
      <c r="AN37" s="10">
        <f>IF(ISNUMBER(AM37),AM37,"")</f>
        <v>6.9740999999999997E-2</v>
      </c>
      <c r="AO37" s="56">
        <v>1</v>
      </c>
      <c r="AP37" s="56">
        <v>46</v>
      </c>
      <c r="AQ37" s="56">
        <v>0</v>
      </c>
      <c r="AR37" s="10">
        <f>IF(AO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1.8/MIN(Вес1.1,Вес1.3,Вес1.4,Вес1.5,Вес1.6,Вес1.7,Вес1.8,Вес1.9,Вес1.11,Вес1.12,Вес1.13,Вес1.14,Вес1.15,Вес1.16,Вес1.17,Вес1.18)),"")</f>
        <v>7</v>
      </c>
      <c r="AS37" s="10">
        <f>IF(AR37="","не применяется",IF(AO37=0,"не применяется",AR37*AQ37/100))</f>
        <v>0</v>
      </c>
      <c r="AT37" s="10">
        <f>IF(ISNUMBER(AS37),AS37,"")</f>
        <v>0</v>
      </c>
      <c r="AU37" s="56">
        <v>1</v>
      </c>
      <c r="AV37" s="56">
        <v>28.037199999999999</v>
      </c>
      <c r="AW37" s="56">
        <v>1</v>
      </c>
      <c r="AX37" s="10">
        <f>IF(AU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1.9/MIN(Вес1.1,Вес1.3,Вес1.4,Вес1.5,Вес1.6,Вес1.7,Вес1.8,Вес1.9,Вес1.11,Вес1.12,Вес1.13,Вес1.14,Вес1.15,Вес1.16,Вес1.17,Вес1.18)),"")</f>
        <v>7</v>
      </c>
      <c r="AY37" s="10">
        <f>IF(AX37="","не применяется",IF(AU37=0,"не применяется",AX37*AW37/100))</f>
        <v>7.0000000000000007E-2</v>
      </c>
      <c r="AZ37" s="10">
        <f>IF(ISNUMBER(AY37),AY37,"")</f>
        <v>7.0000000000000007E-2</v>
      </c>
      <c r="BA37" s="56">
        <v>1</v>
      </c>
      <c r="BB37" s="56">
        <v>108.68470000000001</v>
      </c>
      <c r="BC37" s="56">
        <v>1</v>
      </c>
      <c r="BD37" s="10">
        <f>IF(BA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1.11/MIN(Вес1.1,Вес1.3,Вес1.4,Вес1.5,Вес1.6,Вес1.7,Вес1.8,Вес1.9,Вес1.11,Вес1.12,Вес1.13,Вес1.14,Вес1.15,Вес1.16,Вес1.17,Вес1.18)),"")</f>
        <v>7</v>
      </c>
      <c r="BE37" s="10">
        <f>IF(BD37="","не применяется",IF(BA37=0,"не применяется",BD37*BC37/100))</f>
        <v>7.0000000000000007E-2</v>
      </c>
      <c r="BF37" s="10">
        <f>IF(ISNUMBER(BE37),BE37,"")</f>
        <v>7.0000000000000007E-2</v>
      </c>
      <c r="BG37" s="56">
        <v>1</v>
      </c>
      <c r="BH37" s="56">
        <v>8.5000000000000006E-3</v>
      </c>
      <c r="BI37" s="56">
        <v>1</v>
      </c>
      <c r="BJ37" s="10">
        <f>IF(BG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1.12/MIN(Вес1.1,Вес1.3,Вес1.4,Вес1.5,Вес1.6,Вес1.7,Вес1.8,Вес1.9,Вес1.11,Вес1.12,Вес1.13,Вес1.14,Вес1.15,Вес1.16,Вес1.17,Вес1.18)),"")</f>
        <v>6</v>
      </c>
      <c r="BK37" s="10">
        <f>IF(BJ37="","не применяется",IF(BG37=0,"не применяется",BJ37*BI37/100))</f>
        <v>0.06</v>
      </c>
      <c r="BL37" s="10">
        <f>IF(ISNUMBER(BK37),BK37,"")</f>
        <v>0.06</v>
      </c>
      <c r="BM37" s="56">
        <v>1</v>
      </c>
      <c r="BN37" s="56">
        <v>99.997100000000003</v>
      </c>
      <c r="BO37" s="56">
        <v>1</v>
      </c>
      <c r="BP37" s="10">
        <f>IF(BM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1.13/MIN(Вес1.1,Вес1.3,Вес1.4,Вес1.5,Вес1.6,Вес1.7,Вес1.8,Вес1.9,Вес1.11,Вес1.12,Вес1.13,Вес1.14,Вес1.15,Вес1.16,Вес1.17,Вес1.18)),"")</f>
        <v>7</v>
      </c>
      <c r="BQ37" s="10">
        <f>IF(BP37="","не применяется",IF(BM37=0,"не применяется",BP37*BO37/100))</f>
        <v>7.0000000000000007E-2</v>
      </c>
      <c r="BR37" s="10">
        <f>IF(ISNUMBER(BQ37),BQ37,"")</f>
        <v>7.0000000000000007E-2</v>
      </c>
      <c r="BS37" s="56">
        <v>1</v>
      </c>
      <c r="BT37" s="56">
        <v>0</v>
      </c>
      <c r="BU37" s="56">
        <v>1</v>
      </c>
      <c r="BV37" s="10">
        <f>IF(BS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1.14/MIN(Вес1.1,Вес1.3,Вес1.4,Вес1.5,Вес1.6,Вес1.7,Вес1.8,Вес1.9,Вес1.11,Вес1.12,Вес1.13,Вес1.14,Вес1.15,Вес1.16,Вес1.17,Вес1.18)),"")</f>
        <v>6</v>
      </c>
      <c r="BW37" s="10">
        <f>IF(BV37="","не применяется",IF(BS37=0,"не применяется",BV37*BU37/100))</f>
        <v>0.06</v>
      </c>
      <c r="BX37" s="10">
        <f>IF(ISNUMBER(BW37),BW37,"")</f>
        <v>0.06</v>
      </c>
      <c r="BY37" s="56">
        <v>1</v>
      </c>
      <c r="BZ37" s="56">
        <v>1.9E-3</v>
      </c>
      <c r="CA37" s="56">
        <v>0.99529999999999996</v>
      </c>
      <c r="CB37" s="10">
        <f>IF(BY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1.15/MIN(Вес1.1,Вес1.3,Вес1.4,Вес1.5,Вес1.6,Вес1.7,Вес1.8,Вес1.9,Вес1.11,Вес1.12,Вес1.13,Вес1.14,Вес1.15,Вес1.16,Вес1.17,Вес1.18)),"")</f>
        <v>6</v>
      </c>
      <c r="CC37" s="10">
        <f>IF(CB37="","не применяется",IF(BY37=0,"не применяется",CB37*CA37/100))</f>
        <v>5.9718E-2</v>
      </c>
      <c r="CD37" s="10">
        <f>IF(ISNUMBER(CC37),CC37,"")</f>
        <v>5.9718E-2</v>
      </c>
      <c r="CE37" s="56">
        <v>1</v>
      </c>
      <c r="CF37" s="56">
        <v>0</v>
      </c>
      <c r="CG37" s="56">
        <v>1</v>
      </c>
      <c r="CH37" s="10">
        <f>IF(CE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1.16/MIN(Вес1.1,Вес1.3,Вес1.4,Вес1.5,Вес1.6,Вес1.7,Вес1.8,Вес1.9,Вес1.11,Вес1.12,Вес1.13,Вес1.14,Вес1.15,Вес1.16,Вес1.17,Вес1.18)),"")</f>
        <v>7</v>
      </c>
      <c r="CI37" s="10">
        <f>IF(CH37="","не применяется",IF(CE37=0,"не применяется",CH37*CG37/100))</f>
        <v>7.0000000000000007E-2</v>
      </c>
      <c r="CJ37" s="10">
        <f>IF(ISNUMBER(CI37),CI37,"")</f>
        <v>7.0000000000000007E-2</v>
      </c>
      <c r="CK37" s="56">
        <v>1</v>
      </c>
      <c r="CL37" s="56">
        <v>0</v>
      </c>
      <c r="CM37" s="56">
        <v>1</v>
      </c>
      <c r="CN37" s="10">
        <f>IF(CK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1.17/MIN(Вес1.1,Вес1.3,Вес1.4,Вес1.5,Вес1.6,Вес1.7,Вес1.8,Вес1.9,Вес1.11,Вес1.12,Вес1.13,Вес1.14,Вес1.15,Вес1.16,Вес1.17,Вес1.18)),"")</f>
        <v>6</v>
      </c>
      <c r="CO37" s="10">
        <f>IF(CN37="","не применяется",IF(CK37=0,"не применяется",CN37*CM37/100))</f>
        <v>0.06</v>
      </c>
      <c r="CP37" s="10">
        <f>IF(ISNUMBER(CO37),CO37,"")</f>
        <v>0.06</v>
      </c>
      <c r="CQ37" s="56">
        <v>1</v>
      </c>
      <c r="CR37" s="56">
        <v>66.666700000000006</v>
      </c>
      <c r="CS37" s="56">
        <v>1</v>
      </c>
      <c r="CT37" s="10">
        <f>IF(CQ37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37*Вес1.18/MIN(Вес1.1,Вес1.3,Вес1.4,Вес1.5,Вес1.6,Вес1.7,Вес1.8,Вес1.9,Вес1.11,Вес1.12,Вес1.13,Вес1.14,Вес1.15,Вес1.16,Вес1.17,Вес1.18)),"")</f>
        <v>6</v>
      </c>
      <c r="CU37" s="10">
        <f>IF(CT37="","не применяется",IF(CQ37=0,"не применяется",CT37*CS37/100))</f>
        <v>0.06</v>
      </c>
      <c r="CV37" s="10">
        <f>IF(ISNUMBER(CU37),CU37,"")</f>
        <v>0.06</v>
      </c>
      <c r="CW37" s="10">
        <f>IF(E37=1,Вес1.1/MIN(Вес1.1,Вес1.3,Вес1.4,Вес1.5,Вес1.6,Вес1.7,Вес1.8,Вес1.9,Вес1.11,Вес1.12,Вес1.13,Вес1.14,Вес1.15,Вес1.16,Вес1.17,Вес1.18),"")</f>
        <v>1.25</v>
      </c>
      <c r="CX37" s="10">
        <f>IF(K37=1,Вес1.3/MIN(Вес1.1,Вес1.3,Вес1.4,Вес1.5,Вес1.6,Вес1.7,Вес1.8,Вес1.9,Вес1.11,Вес1.12,Вес1.13,Вес1.14,Вес1.15,Вес1.16,Вес1.17,Вес1.18),"")</f>
        <v>1.25</v>
      </c>
      <c r="CY37" s="10">
        <f>IF(Q37=1,Вес1.4/MIN(Вес1.1,Вес1.3,Вес1.4,Вес1.5,Вес1.6,Вес1.7,Вес1.8,Вес1.9,Вес1.11,Вес1.12,Вес1.13,Вес1.14,Вес1.15,Вес1.16,Вес1.17,Вес1.18),"")</f>
        <v>1</v>
      </c>
      <c r="CZ37" s="10">
        <f>IF(W37=1,Вес1.5/MIN(Вес1.1,Вес1.3,Вес1.4,Вес1.5,Вес1.6,Вес1.7,Вес1.8,Вес1.9,Вес1.11,Вес1.12,Вес1.13,Вес1.14,Вес1.15,Вес1.16,Вес1.17,Вес1.18),"")</f>
        <v>1.75</v>
      </c>
      <c r="DA37" s="10">
        <f>IF(AC37=1,Вес1.6/MIN(Вес1.6,Вес1.3,Вес1.4,Вес1.5,Вес1.6,Вес1.7,Вес1.8,Вес1.9,Вес1.11,Вес1.12,Вес1.13,Вес1.14,Вес1.15,Вес1.16,Вес1.17,Вес1.18),"")</f>
        <v>1.75</v>
      </c>
      <c r="DB37" s="10">
        <f>IF(AI37=1,Вес1.7/MIN(Вес1.1,Вес1.3,Вес1.4,Вес1.5,Вес1.6,Вес1.7,Вес1.8,Вес1.9,Вес1.11,Вес1.12,Вес1.13,Вес1.14,Вес1.15,Вес1.16,Вес1.17,Вес1.18),"")</f>
        <v>1.75</v>
      </c>
      <c r="DC37" s="10">
        <f>IF(AO37=1,Вес1.8/MIN(Вес1.1,Вес1.3,Вес1.4,Вес1.5,Вес1.6,Вес1.7,Вес1.8,Вес1.9,Вес1.11,Вес1.12,Вес1.13,Вес1.14,Вес1.15,Вес1.16,Вес1.17,Вес1.18),"")</f>
        <v>1.75</v>
      </c>
      <c r="DD37" s="10">
        <f>IF(AU37=1,Вес1.9/MIN(Вес1.1,Вес1.3,Вес1.4,Вес1.5,Вес1.6,Вес1.7,Вес1.8,Вес1.9,Вес1.11,Вес1.12,Вес1.13,Вес1.14,Вес1.15,Вес1.16,Вес1.17,Вес1.18),"")</f>
        <v>1.75</v>
      </c>
      <c r="DE37" s="10">
        <f>IF(BA37=1,Вес1.11/MIN(Вес1.1,Вес1.3,Вес1.4,Вес1.5,Вес1.6,Вес1.7,Вес1.8,Вес1.9,Вес1.11,Вес1.12,Вес1.13,Вес1.14,Вес1.15,Вес1.16,Вес1.17,Вес1.18),"")</f>
        <v>1.75</v>
      </c>
      <c r="DF37" s="10">
        <f>IF(BG37=1,Вес1.12/MIN(Вес1.1,Вес1.3,Вес1.4,Вес1.5,Вес1.6,Вес1.7,Вес1.8,Вес1.9,Вес1.11,Вес1.12,Вес1.13,Вес1.14,Вес1.15,Вес1.16,Вес1.17,Вес1.18),"")</f>
        <v>1.5</v>
      </c>
      <c r="DG37" s="10">
        <f>IF(BM37=1,Вес1.13/MIN(Вес1.1,Вес1.3,Вес1.4,Вес1.5,Вес1.6,Вес1.7,Вес1.8,Вес1.9,Вес1.11,Вес1.12,Вес1.13,Вес1.14,Вес1.15,Вес1.16,Вес1.17,Вес1.18),"")</f>
        <v>1.75</v>
      </c>
      <c r="DH37" s="10">
        <f>IF(BS37=1,Вес1.14/MIN(Вес1.1,Вес1.3,Вес1.4,Вес1.5,Вес1.6,Вес1.7,Вес1.8,Вес1.9,Вес1.11,Вес1.12,Вес1.13,Вес1.14,Вес1.15,Вес1.16,Вес1.17,Вес1.18),"")</f>
        <v>1.5</v>
      </c>
      <c r="DI37" s="10">
        <f>IF(BY37=1,Вес1.15/MIN(Вес1.1,Вес1.3,Вес1.4,Вес1.5,Вес1.6,Вес1.7,Вес1.8,Вес1.9,Вес1.11,Вес1.12,Вес1.13,Вес1.14,Вес1.15,Вес1.16,Вес1.17,Вес1.18),"")</f>
        <v>1.5</v>
      </c>
      <c r="DJ37" s="10">
        <f>IF(CE37=1,Вес1.16/MIN(Вес1.1,Вес1.3,Вес1.4,Вес1.5,Вес1.6,Вес1.7,Вес1.8,Вес1.9,Вес1.11,Вес1.12,Вес1.13,Вес1.14,Вес1.15,Вес1.16,Вес1.17,Вес1.18),"")</f>
        <v>1.75</v>
      </c>
      <c r="DK37" s="10">
        <f>IF(CK37=1,Вес1.17/MIN(Вес1.1,Вес1.3,Вес1.4,Вес1.5,Вес1.6,Вес1.7,Вес1.8,Вес1.9,Вес1.11,Вес1.12,Вес1.13,Вес1.14,Вес1.15,Вес1.16,Вес1.17,Вес1.18),"")</f>
        <v>1.5</v>
      </c>
      <c r="DL37" s="10">
        <f>IF(CQ37=1,Вес1.18/MIN(Вес1.1,Вес1.3,Вес1.4,Вес1.5,Вес1.6,Вес1.7,Вес1.8,Вес1.9,Вес1.11,Вес1.12,Вес1.13,Вес1.14,Вес1.15,Вес1.16,Вес1.17,Вес1.18),"")</f>
        <v>1.5</v>
      </c>
      <c r="DM37" s="10">
        <f>SUM(CW37:DL37)</f>
        <v>25</v>
      </c>
    </row>
    <row r="38" spans="1:117" ht="38.25" x14ac:dyDescent="0.2">
      <c r="A38" s="1" t="s">
        <v>121</v>
      </c>
      <c r="B38" s="9" t="s">
        <v>120</v>
      </c>
      <c r="C38" s="10">
        <f>IF(D38&lt;&gt;1,"",SUM(J38,P38,V38,AB38,AH38,AN38,AT38,AZ38,BF38,BL38,BR38,BX38,CD38,CJ38,CP38,CV38))</f>
        <v>0.74984400000000018</v>
      </c>
      <c r="D38" s="10">
        <f>IF(SUM(E38,K38,Q38,W38,AC38,AI38,AO38,AU38,BA38,BG38,BM38,BS38,BY38,CE38,CK38,CQ38)=0,0,1)</f>
        <v>1</v>
      </c>
      <c r="E38" s="56">
        <v>1</v>
      </c>
      <c r="F38" s="56">
        <v>22.054400000000001</v>
      </c>
      <c r="G38" s="56">
        <v>0</v>
      </c>
      <c r="H38" s="10">
        <f>IF(E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1.1/MIN(Вес1.1,Вес1.3,Вес1.4,Вес1.5,Вес1.6,Вес1.7,Вес1.8,Вес1.9,Вес1.11,Вес1.12,Вес1.13,Вес1.14,Вес1.15,Вес1.16,Вес1.17,Вес1.18)),"")</f>
        <v>5</v>
      </c>
      <c r="I38" s="10">
        <f>IF(H38="","не применяется",IF(E38=0,"не применяется",H38*G38/100))</f>
        <v>0</v>
      </c>
      <c r="J38" s="10">
        <f>IF(ISNUMBER(I38),I38,"")</f>
        <v>0</v>
      </c>
      <c r="K38" s="56">
        <v>1</v>
      </c>
      <c r="L38" s="56">
        <v>0</v>
      </c>
      <c r="M38" s="56">
        <v>1</v>
      </c>
      <c r="N38" s="10">
        <f>IF(K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1.3/MIN(Вес1.1,Вес1.3,Вес1.4,Вес1.5,Вес1.6,Вес1.7,Вес1.8,Вес1.9,Вес1.11,Вес1.12,Вес1.13,Вес1.14,Вес1.15,Вес1.16,Вес1.17,Вес1.18)),"")</f>
        <v>5</v>
      </c>
      <c r="O38" s="10">
        <f>IF(N38="","не применяется",IF(K38=0,"не применяется",N38*M38/100))</f>
        <v>0.05</v>
      </c>
      <c r="P38" s="10">
        <f>IF(ISNUMBER(O38),O38,"")</f>
        <v>0.05</v>
      </c>
      <c r="Q38" s="56">
        <v>1</v>
      </c>
      <c r="R38" s="56">
        <v>100</v>
      </c>
      <c r="S38" s="56">
        <v>1</v>
      </c>
      <c r="T38" s="10">
        <f>IF(Q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1.4/MIN(Вес1.1,Вес1.3,Вес1.4,Вес1.5,Вес1.6,Вес1.7,Вес1.8,Вес1.9,Вес1.11,Вес1.12,Вес1.13,Вес1.14,Вес1.15,Вес1.16,Вес1.17,Вес1.18)),"")</f>
        <v>4</v>
      </c>
      <c r="U38" s="10">
        <f>IF(T38="","не применяется",IF(Q38=0,"не применяется",S38*T38/100))</f>
        <v>0.04</v>
      </c>
      <c r="V38" s="10">
        <f>IF(ISNUMBER(U38),U38,"")</f>
        <v>0.04</v>
      </c>
      <c r="W38" s="56">
        <v>1</v>
      </c>
      <c r="X38" s="56">
        <v>4.3499999999999997E-2</v>
      </c>
      <c r="Y38" s="56">
        <v>1</v>
      </c>
      <c r="Z38" s="10">
        <f>IF(W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1.5/MIN(Вес1.1,Вес1.3,Вес1.4,Вес1.5,Вес1.6,Вес1.7,Вес1.8,Вес1.9,Вес1.11,Вес1.12,Вес1.13,Вес1.14,Вес1.15,Вес1.16,Вес1.17,Вес1.18)),"")</f>
        <v>7</v>
      </c>
      <c r="AA38" s="10">
        <f>IF(Z38="","не применяется",IF(W38=0,"не применяется",Z38*Y38/100))</f>
        <v>7.0000000000000007E-2</v>
      </c>
      <c r="AB38" s="10">
        <f>IF(ISNUMBER(AA38),AA38,"")</f>
        <v>7.0000000000000007E-2</v>
      </c>
      <c r="AC38" s="56">
        <v>1</v>
      </c>
      <c r="AD38" s="56">
        <v>0</v>
      </c>
      <c r="AE38" s="56">
        <v>1</v>
      </c>
      <c r="AF38" s="10">
        <f>IF(AC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1.6/MIN(Вес1.1,Вес1.3,Вес1.4,Вес1.5,Вес1.6,Вес1.7,Вес1.8,Вес1.9,Вес1.11,Вес1.12,Вес1.13,Вес1.14,Вес1.15,Вес1.16,Вес1.17,Вес1.18)),"")</f>
        <v>7</v>
      </c>
      <c r="AG38" s="10">
        <f>IF(AF38="","не применяется",IF(AC38=0,"не применяется",AF38*AE38/100))</f>
        <v>7.0000000000000007E-2</v>
      </c>
      <c r="AH38" s="10">
        <f>IF(ISNUMBER(AG38),AG38,"")</f>
        <v>7.0000000000000007E-2</v>
      </c>
      <c r="AI38" s="56">
        <v>1</v>
      </c>
      <c r="AJ38" s="56">
        <v>0</v>
      </c>
      <c r="AK38" s="56">
        <v>1</v>
      </c>
      <c r="AL38" s="10">
        <f>IF(AI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1.7/MIN(Вес1.1,Вес1.3,Вес1.4,Вес1.5,Вес1.6,Вес1.7,Вес1.8,Вес1.9,Вес1.11,Вес1.12,Вес1.13,Вес1.14,Вес1.15,Вес1.16,Вес1.17,Вес1.18)),"")</f>
        <v>7</v>
      </c>
      <c r="AM38" s="10">
        <f>IF(AL38="","не применяется",IF(AI38=0,"не применяется",AL38*AK38/100))</f>
        <v>7.0000000000000007E-2</v>
      </c>
      <c r="AN38" s="10">
        <f>IF(ISNUMBER(AM38),AM38,"")</f>
        <v>7.0000000000000007E-2</v>
      </c>
      <c r="AO38" s="56">
        <v>1</v>
      </c>
      <c r="AP38" s="56">
        <v>28</v>
      </c>
      <c r="AQ38" s="56">
        <v>0</v>
      </c>
      <c r="AR38" s="10">
        <f>IF(AO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1.8/MIN(Вес1.1,Вес1.3,Вес1.4,Вес1.5,Вес1.6,Вес1.7,Вес1.8,Вес1.9,Вес1.11,Вес1.12,Вес1.13,Вес1.14,Вес1.15,Вес1.16,Вес1.17,Вес1.18)),"")</f>
        <v>7</v>
      </c>
      <c r="AS38" s="10">
        <f>IF(AR38="","не применяется",IF(AO38=0,"не применяется",AR38*AQ38/100))</f>
        <v>0</v>
      </c>
      <c r="AT38" s="10">
        <f>IF(ISNUMBER(AS38),AS38,"")</f>
        <v>0</v>
      </c>
      <c r="AU38" s="56">
        <v>1</v>
      </c>
      <c r="AV38" s="56">
        <v>29.358499999999999</v>
      </c>
      <c r="AW38" s="56">
        <v>1</v>
      </c>
      <c r="AX38" s="10">
        <f>IF(AU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1.9/MIN(Вес1.1,Вес1.3,Вес1.4,Вес1.5,Вес1.6,Вес1.7,Вес1.8,Вес1.9,Вес1.11,Вес1.12,Вес1.13,Вес1.14,Вес1.15,Вес1.16,Вес1.17,Вес1.18)),"")</f>
        <v>7</v>
      </c>
      <c r="AY38" s="10">
        <f>IF(AX38="","не применяется",IF(AU38=0,"не применяется",AX38*AW38/100))</f>
        <v>7.0000000000000007E-2</v>
      </c>
      <c r="AZ38" s="10">
        <f>IF(ISNUMBER(AY38),AY38,"")</f>
        <v>7.0000000000000007E-2</v>
      </c>
      <c r="BA38" s="56">
        <v>1</v>
      </c>
      <c r="BB38" s="56">
        <v>108.1418</v>
      </c>
      <c r="BC38" s="56">
        <v>1</v>
      </c>
      <c r="BD38" s="10">
        <f>IF(BA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1.11/MIN(Вес1.1,Вес1.3,Вес1.4,Вес1.5,Вес1.6,Вес1.7,Вес1.8,Вес1.9,Вес1.11,Вес1.12,Вес1.13,Вес1.14,Вес1.15,Вес1.16,Вес1.17,Вес1.18)),"")</f>
        <v>7</v>
      </c>
      <c r="BE38" s="10">
        <f>IF(BD38="","не применяется",IF(BA38=0,"не применяется",BD38*BC38/100))</f>
        <v>7.0000000000000007E-2</v>
      </c>
      <c r="BF38" s="10">
        <f>IF(ISNUMBER(BE38),BE38,"")</f>
        <v>7.0000000000000007E-2</v>
      </c>
      <c r="BG38" s="56">
        <v>1</v>
      </c>
      <c r="BH38" s="56">
        <v>8.3999999999999995E-3</v>
      </c>
      <c r="BI38" s="56">
        <v>1</v>
      </c>
      <c r="BJ38" s="10">
        <f>IF(BG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1.12/MIN(Вес1.1,Вес1.3,Вес1.4,Вес1.5,Вес1.6,Вес1.7,Вес1.8,Вес1.9,Вес1.11,Вес1.12,Вес1.13,Вес1.14,Вес1.15,Вес1.16,Вес1.17,Вес1.18)),"")</f>
        <v>6</v>
      </c>
      <c r="BK38" s="10">
        <f>IF(BJ38="","не применяется",IF(BG38=0,"не применяется",BJ38*BI38/100))</f>
        <v>0.06</v>
      </c>
      <c r="BL38" s="10">
        <f>IF(ISNUMBER(BK38),BK38,"")</f>
        <v>0.06</v>
      </c>
      <c r="BM38" s="56">
        <v>1</v>
      </c>
      <c r="BN38" s="56">
        <v>86.973200000000006</v>
      </c>
      <c r="BO38" s="56">
        <v>0</v>
      </c>
      <c r="BP38" s="10">
        <f>IF(BM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1.13/MIN(Вес1.1,Вес1.3,Вес1.4,Вес1.5,Вес1.6,Вес1.7,Вес1.8,Вес1.9,Вес1.11,Вес1.12,Вес1.13,Вес1.14,Вес1.15,Вес1.16,Вес1.17,Вес1.18)),"")</f>
        <v>7</v>
      </c>
      <c r="BQ38" s="10">
        <f>IF(BP38="","не применяется",IF(BM38=0,"не применяется",BP38*BO38/100))</f>
        <v>0</v>
      </c>
      <c r="BR38" s="10">
        <f>IF(ISNUMBER(BQ38),BQ38,"")</f>
        <v>0</v>
      </c>
      <c r="BS38" s="56">
        <v>1</v>
      </c>
      <c r="BT38" s="56">
        <v>0.1303</v>
      </c>
      <c r="BU38" s="56">
        <v>0</v>
      </c>
      <c r="BV38" s="10">
        <f>IF(BS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1.14/MIN(Вес1.1,Вес1.3,Вес1.4,Вес1.5,Вес1.6,Вес1.7,Вес1.8,Вес1.9,Вес1.11,Вес1.12,Вес1.13,Вес1.14,Вес1.15,Вес1.16,Вес1.17,Вес1.18)),"")</f>
        <v>6</v>
      </c>
      <c r="BW38" s="10">
        <f>IF(BV38="","не применяется",IF(BS38=0,"не применяется",BV38*BU38/100))</f>
        <v>0</v>
      </c>
      <c r="BX38" s="10">
        <f>IF(ISNUMBER(BW38),BW38,"")</f>
        <v>0</v>
      </c>
      <c r="BY38" s="56">
        <v>1</v>
      </c>
      <c r="BZ38" s="56">
        <v>1.1000000000000001E-3</v>
      </c>
      <c r="CA38" s="56">
        <v>0.99739999999999995</v>
      </c>
      <c r="CB38" s="10">
        <f>IF(BY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1.15/MIN(Вес1.1,Вес1.3,Вес1.4,Вес1.5,Вес1.6,Вес1.7,Вес1.8,Вес1.9,Вес1.11,Вес1.12,Вес1.13,Вес1.14,Вес1.15,Вес1.16,Вес1.17,Вес1.18)),"")</f>
        <v>6</v>
      </c>
      <c r="CC38" s="10">
        <f>IF(CB38="","не применяется",IF(BY38=0,"не применяется",CB38*CA38/100))</f>
        <v>5.9844000000000001E-2</v>
      </c>
      <c r="CD38" s="10">
        <f>IF(ISNUMBER(CC38),CC38,"")</f>
        <v>5.9844000000000001E-2</v>
      </c>
      <c r="CE38" s="56">
        <v>1</v>
      </c>
      <c r="CF38" s="56">
        <v>0</v>
      </c>
      <c r="CG38" s="56">
        <v>1</v>
      </c>
      <c r="CH38" s="10">
        <f>IF(CE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1.16/MIN(Вес1.1,Вес1.3,Вес1.4,Вес1.5,Вес1.6,Вес1.7,Вес1.8,Вес1.9,Вес1.11,Вес1.12,Вес1.13,Вес1.14,Вес1.15,Вес1.16,Вес1.17,Вес1.18)),"")</f>
        <v>7</v>
      </c>
      <c r="CI38" s="10">
        <f>IF(CH38="","не применяется",IF(CE38=0,"не применяется",CH38*CG38/100))</f>
        <v>7.0000000000000007E-2</v>
      </c>
      <c r="CJ38" s="10">
        <f>IF(ISNUMBER(CI38),CI38,"")</f>
        <v>7.0000000000000007E-2</v>
      </c>
      <c r="CK38" s="56">
        <v>1</v>
      </c>
      <c r="CL38" s="56">
        <v>0</v>
      </c>
      <c r="CM38" s="56">
        <v>1</v>
      </c>
      <c r="CN38" s="10">
        <f>IF(CK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1.17/MIN(Вес1.1,Вес1.3,Вес1.4,Вес1.5,Вес1.6,Вес1.7,Вес1.8,Вес1.9,Вес1.11,Вес1.12,Вес1.13,Вес1.14,Вес1.15,Вес1.16,Вес1.17,Вес1.18)),"")</f>
        <v>6</v>
      </c>
      <c r="CO38" s="10">
        <f>IF(CN38="","не применяется",IF(CK38=0,"не применяется",CN38*CM38/100))</f>
        <v>0.06</v>
      </c>
      <c r="CP38" s="10">
        <f>IF(ISNUMBER(CO38),CO38,"")</f>
        <v>0.06</v>
      </c>
      <c r="CQ38" s="56">
        <v>1</v>
      </c>
      <c r="CR38" s="56">
        <v>0</v>
      </c>
      <c r="CS38" s="56">
        <v>1</v>
      </c>
      <c r="CT38" s="10">
        <f>IF(CQ38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38*Вес1.18/MIN(Вес1.1,Вес1.3,Вес1.4,Вес1.5,Вес1.6,Вес1.7,Вес1.8,Вес1.9,Вес1.11,Вес1.12,Вес1.13,Вес1.14,Вес1.15,Вес1.16,Вес1.17,Вес1.18)),"")</f>
        <v>6</v>
      </c>
      <c r="CU38" s="10">
        <f>IF(CT38="","не применяется",IF(CQ38=0,"не применяется",CT38*CS38/100))</f>
        <v>0.06</v>
      </c>
      <c r="CV38" s="10">
        <f>IF(ISNUMBER(CU38),CU38,"")</f>
        <v>0.06</v>
      </c>
      <c r="CW38" s="10">
        <f>IF(E38=1,Вес1.1/MIN(Вес1.1,Вес1.3,Вес1.4,Вес1.5,Вес1.6,Вес1.7,Вес1.8,Вес1.9,Вес1.11,Вес1.12,Вес1.13,Вес1.14,Вес1.15,Вес1.16,Вес1.17,Вес1.18),"")</f>
        <v>1.25</v>
      </c>
      <c r="CX38" s="10">
        <f>IF(K38=1,Вес1.3/MIN(Вес1.1,Вес1.3,Вес1.4,Вес1.5,Вес1.6,Вес1.7,Вес1.8,Вес1.9,Вес1.11,Вес1.12,Вес1.13,Вес1.14,Вес1.15,Вес1.16,Вес1.17,Вес1.18),"")</f>
        <v>1.25</v>
      </c>
      <c r="CY38" s="10">
        <f>IF(Q38=1,Вес1.4/MIN(Вес1.1,Вес1.3,Вес1.4,Вес1.5,Вес1.6,Вес1.7,Вес1.8,Вес1.9,Вес1.11,Вес1.12,Вес1.13,Вес1.14,Вес1.15,Вес1.16,Вес1.17,Вес1.18),"")</f>
        <v>1</v>
      </c>
      <c r="CZ38" s="10">
        <f>IF(W38=1,Вес1.5/MIN(Вес1.1,Вес1.3,Вес1.4,Вес1.5,Вес1.6,Вес1.7,Вес1.8,Вес1.9,Вес1.11,Вес1.12,Вес1.13,Вес1.14,Вес1.15,Вес1.16,Вес1.17,Вес1.18),"")</f>
        <v>1.75</v>
      </c>
      <c r="DA38" s="10">
        <f>IF(AC38=1,Вес1.6/MIN(Вес1.6,Вес1.3,Вес1.4,Вес1.5,Вес1.6,Вес1.7,Вес1.8,Вес1.9,Вес1.11,Вес1.12,Вес1.13,Вес1.14,Вес1.15,Вес1.16,Вес1.17,Вес1.18),"")</f>
        <v>1.75</v>
      </c>
      <c r="DB38" s="10">
        <f>IF(AI38=1,Вес1.7/MIN(Вес1.1,Вес1.3,Вес1.4,Вес1.5,Вес1.6,Вес1.7,Вес1.8,Вес1.9,Вес1.11,Вес1.12,Вес1.13,Вес1.14,Вес1.15,Вес1.16,Вес1.17,Вес1.18),"")</f>
        <v>1.75</v>
      </c>
      <c r="DC38" s="10">
        <f>IF(AO38=1,Вес1.8/MIN(Вес1.1,Вес1.3,Вес1.4,Вес1.5,Вес1.6,Вес1.7,Вес1.8,Вес1.9,Вес1.11,Вес1.12,Вес1.13,Вес1.14,Вес1.15,Вес1.16,Вес1.17,Вес1.18),"")</f>
        <v>1.75</v>
      </c>
      <c r="DD38" s="10">
        <f>IF(AU38=1,Вес1.9/MIN(Вес1.1,Вес1.3,Вес1.4,Вес1.5,Вес1.6,Вес1.7,Вес1.8,Вес1.9,Вес1.11,Вес1.12,Вес1.13,Вес1.14,Вес1.15,Вес1.16,Вес1.17,Вес1.18),"")</f>
        <v>1.75</v>
      </c>
      <c r="DE38" s="10">
        <f>IF(BA38=1,Вес1.11/MIN(Вес1.1,Вес1.3,Вес1.4,Вес1.5,Вес1.6,Вес1.7,Вес1.8,Вес1.9,Вес1.11,Вес1.12,Вес1.13,Вес1.14,Вес1.15,Вес1.16,Вес1.17,Вес1.18),"")</f>
        <v>1.75</v>
      </c>
      <c r="DF38" s="10">
        <f>IF(BG38=1,Вес1.12/MIN(Вес1.1,Вес1.3,Вес1.4,Вес1.5,Вес1.6,Вес1.7,Вес1.8,Вес1.9,Вес1.11,Вес1.12,Вес1.13,Вес1.14,Вес1.15,Вес1.16,Вес1.17,Вес1.18),"")</f>
        <v>1.5</v>
      </c>
      <c r="DG38" s="10">
        <f>IF(BM38=1,Вес1.13/MIN(Вес1.1,Вес1.3,Вес1.4,Вес1.5,Вес1.6,Вес1.7,Вес1.8,Вес1.9,Вес1.11,Вес1.12,Вес1.13,Вес1.14,Вес1.15,Вес1.16,Вес1.17,Вес1.18),"")</f>
        <v>1.75</v>
      </c>
      <c r="DH38" s="10">
        <f>IF(BS38=1,Вес1.14/MIN(Вес1.1,Вес1.3,Вес1.4,Вес1.5,Вес1.6,Вес1.7,Вес1.8,Вес1.9,Вес1.11,Вес1.12,Вес1.13,Вес1.14,Вес1.15,Вес1.16,Вес1.17,Вес1.18),"")</f>
        <v>1.5</v>
      </c>
      <c r="DI38" s="10">
        <f>IF(BY38=1,Вес1.15/MIN(Вес1.1,Вес1.3,Вес1.4,Вес1.5,Вес1.6,Вес1.7,Вес1.8,Вес1.9,Вес1.11,Вес1.12,Вес1.13,Вес1.14,Вес1.15,Вес1.16,Вес1.17,Вес1.18),"")</f>
        <v>1.5</v>
      </c>
      <c r="DJ38" s="10">
        <f>IF(CE38=1,Вес1.16/MIN(Вес1.1,Вес1.3,Вес1.4,Вес1.5,Вес1.6,Вес1.7,Вес1.8,Вес1.9,Вес1.11,Вес1.12,Вес1.13,Вес1.14,Вес1.15,Вес1.16,Вес1.17,Вес1.18),"")</f>
        <v>1.75</v>
      </c>
      <c r="DK38" s="10">
        <f>IF(CK38=1,Вес1.17/MIN(Вес1.1,Вес1.3,Вес1.4,Вес1.5,Вес1.6,Вес1.7,Вес1.8,Вес1.9,Вес1.11,Вес1.12,Вес1.13,Вес1.14,Вес1.15,Вес1.16,Вес1.17,Вес1.18),"")</f>
        <v>1.5</v>
      </c>
      <c r="DL38" s="10">
        <f>IF(CQ38=1,Вес1.18/MIN(Вес1.1,Вес1.3,Вес1.4,Вес1.5,Вес1.6,Вес1.7,Вес1.8,Вес1.9,Вес1.11,Вес1.12,Вес1.13,Вес1.14,Вес1.15,Вес1.16,Вес1.17,Вес1.18),"")</f>
        <v>1.5</v>
      </c>
      <c r="DM38" s="10">
        <f>SUM(CW38:DL38)</f>
        <v>25</v>
      </c>
    </row>
    <row r="39" spans="1:117" ht="25.5" x14ac:dyDescent="0.2">
      <c r="A39" s="1" t="s">
        <v>111</v>
      </c>
      <c r="B39" s="9" t="s">
        <v>29</v>
      </c>
      <c r="C39" s="10">
        <f>IF(D39&lt;&gt;1,"",SUM(J39,P39,V39,AB39,AH39,AN39,AT39,AZ39,BF39,BL39,BR39,BX39,CD39,CJ39,CP39,CV39))</f>
        <v>0.80902446808510642</v>
      </c>
      <c r="D39" s="10">
        <f>IF(SUM(E39,K39,Q39,W39,AC39,AI39,AO39,AU39,BA39,BG39,BM39,BS39,BY39,CE39,CK39,CQ39)=0,0,1)</f>
        <v>1</v>
      </c>
      <c r="E39" s="56">
        <v>1</v>
      </c>
      <c r="F39" s="56">
        <v>0.93459999999999999</v>
      </c>
      <c r="G39" s="56">
        <v>0.99070000000000003</v>
      </c>
      <c r="H39" s="10">
        <f>IF(E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1.1/MIN(Вес1.1,Вес1.3,Вес1.4,Вес1.5,Вес1.6,Вес1.7,Вес1.8,Вес1.9,Вес1.11,Вес1.12,Вес1.13,Вес1.14,Вес1.15,Вес1.16,Вес1.17,Вес1.18)),"")</f>
        <v>5.3191489361702127</v>
      </c>
      <c r="I39" s="10">
        <f>IF(H39="","не применяется",IF(E39=0,"не применяется",H39*G39/100))</f>
        <v>5.26968085106383E-2</v>
      </c>
      <c r="J39" s="10">
        <f>IF(ISNUMBER(I39),I39,"")</f>
        <v>5.26968085106383E-2</v>
      </c>
      <c r="K39" s="56">
        <v>1</v>
      </c>
      <c r="L39" s="56">
        <v>0</v>
      </c>
      <c r="M39" s="56">
        <v>1</v>
      </c>
      <c r="N39" s="10">
        <f>IF(K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1.3/MIN(Вес1.1,Вес1.3,Вес1.4,Вес1.5,Вес1.6,Вес1.7,Вес1.8,Вес1.9,Вес1.11,Вес1.12,Вес1.13,Вес1.14,Вес1.15,Вес1.16,Вес1.17,Вес1.18)),"")</f>
        <v>5.3191489361702127</v>
      </c>
      <c r="O39" s="10">
        <f>IF(N39="","не применяется",IF(K39=0,"не применяется",N39*M39/100))</f>
        <v>5.3191489361702128E-2</v>
      </c>
      <c r="P39" s="10">
        <f>IF(ISNUMBER(O39),O39,"")</f>
        <v>5.3191489361702128E-2</v>
      </c>
      <c r="Q39" s="56">
        <v>1</v>
      </c>
      <c r="R39" s="56">
        <v>100</v>
      </c>
      <c r="S39" s="56">
        <v>1</v>
      </c>
      <c r="T39" s="10">
        <f>IF(Q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1.4/MIN(Вес1.1,Вес1.3,Вес1.4,Вес1.5,Вес1.6,Вес1.7,Вес1.8,Вес1.9,Вес1.11,Вес1.12,Вес1.13,Вес1.14,Вес1.15,Вес1.16,Вес1.17,Вес1.18)),"")</f>
        <v>4.2553191489361701</v>
      </c>
      <c r="U39" s="10">
        <f>IF(T39="","не применяется",IF(Q39=0,"не применяется",S39*T39/100))</f>
        <v>4.2553191489361701E-2</v>
      </c>
      <c r="V39" s="10">
        <f>IF(ISNUMBER(U39),U39,"")</f>
        <v>4.2553191489361701E-2</v>
      </c>
      <c r="W39" s="56">
        <v>1</v>
      </c>
      <c r="X39" s="56">
        <v>8.9300000000000004E-2</v>
      </c>
      <c r="Y39" s="56">
        <v>1</v>
      </c>
      <c r="Z39" s="10">
        <f>IF(W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1.5/MIN(Вес1.1,Вес1.3,Вес1.4,Вес1.5,Вес1.6,Вес1.7,Вес1.8,Вес1.9,Вес1.11,Вес1.12,Вес1.13,Вес1.14,Вес1.15,Вес1.16,Вес1.17,Вес1.18)),"")</f>
        <v>7.4468085106382977</v>
      </c>
      <c r="AA39" s="10">
        <f>IF(Z39="","не применяется",IF(W39=0,"не применяется",Z39*Y39/100))</f>
        <v>7.4468085106382975E-2</v>
      </c>
      <c r="AB39" s="10">
        <f>IF(ISNUMBER(AA39),AA39,"")</f>
        <v>7.4468085106382975E-2</v>
      </c>
      <c r="AC39" s="56">
        <v>1</v>
      </c>
      <c r="AD39" s="56">
        <v>0</v>
      </c>
      <c r="AE39" s="56">
        <v>1</v>
      </c>
      <c r="AF39" s="10">
        <f>IF(AC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1.6/MIN(Вес1.1,Вес1.3,Вес1.4,Вес1.5,Вес1.6,Вес1.7,Вес1.8,Вес1.9,Вес1.11,Вес1.12,Вес1.13,Вес1.14,Вес1.15,Вес1.16,Вес1.17,Вес1.18)),"")</f>
        <v>7.4468085106382977</v>
      </c>
      <c r="AG39" s="10">
        <f>IF(AF39="","не применяется",IF(AC39=0,"не применяется",AF39*AE39/100))</f>
        <v>7.4468085106382975E-2</v>
      </c>
      <c r="AH39" s="10">
        <f>IF(ISNUMBER(AG39),AG39,"")</f>
        <v>7.4468085106382975E-2</v>
      </c>
      <c r="AI39" s="56">
        <v>1</v>
      </c>
      <c r="AJ39" s="56">
        <v>0</v>
      </c>
      <c r="AK39" s="56">
        <v>1</v>
      </c>
      <c r="AL39" s="10">
        <f>IF(AI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1.7/MIN(Вес1.1,Вес1.3,Вес1.4,Вес1.5,Вес1.6,Вес1.7,Вес1.8,Вес1.9,Вес1.11,Вес1.12,Вес1.13,Вес1.14,Вес1.15,Вес1.16,Вес1.17,Вес1.18)),"")</f>
        <v>7.4468085106382977</v>
      </c>
      <c r="AM39" s="10">
        <f>IF(AL39="","не применяется",IF(AI39=0,"не применяется",AL39*AK39/100))</f>
        <v>7.4468085106382975E-2</v>
      </c>
      <c r="AN39" s="10">
        <f>IF(ISNUMBER(AM39),AM39,"")</f>
        <v>7.4468085106382975E-2</v>
      </c>
      <c r="AO39" s="56">
        <v>1</v>
      </c>
      <c r="AP39" s="56">
        <v>28</v>
      </c>
      <c r="AQ39" s="56">
        <v>0</v>
      </c>
      <c r="AR39" s="10">
        <f>IF(AO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1.8/MIN(Вес1.1,Вес1.3,Вес1.4,Вес1.5,Вес1.6,Вес1.7,Вес1.8,Вес1.9,Вес1.11,Вес1.12,Вес1.13,Вес1.14,Вес1.15,Вес1.16,Вес1.17,Вес1.18)),"")</f>
        <v>7.4468085106382977</v>
      </c>
      <c r="AS39" s="10">
        <f>IF(AR39="","не применяется",IF(AO39=0,"не применяется",AR39*AQ39/100))</f>
        <v>0</v>
      </c>
      <c r="AT39" s="10">
        <f>IF(ISNUMBER(AS39),AS39,"")</f>
        <v>0</v>
      </c>
      <c r="AU39" s="56">
        <v>1</v>
      </c>
      <c r="AV39" s="56">
        <v>40.726399999999998</v>
      </c>
      <c r="AW39" s="56">
        <v>0.98180000000000001</v>
      </c>
      <c r="AX39" s="10">
        <f>IF(AU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1.9/MIN(Вес1.1,Вес1.3,Вес1.4,Вес1.5,Вес1.6,Вес1.7,Вес1.8,Вес1.9,Вес1.11,Вес1.12,Вес1.13,Вес1.14,Вес1.15,Вес1.16,Вес1.17,Вес1.18)),"")</f>
        <v>7.4468085106382977</v>
      </c>
      <c r="AY39" s="10">
        <f>IF(AX39="","не применяется",IF(AU39=0,"не применяется",AX39*AW39/100))</f>
        <v>7.3112765957446813E-2</v>
      </c>
      <c r="AZ39" s="10">
        <f>IF(ISNUMBER(AY39),AY39,"")</f>
        <v>7.3112765957446813E-2</v>
      </c>
      <c r="BA39" s="56">
        <v>1</v>
      </c>
      <c r="BB39" s="56">
        <v>135.751</v>
      </c>
      <c r="BC39" s="56">
        <v>1</v>
      </c>
      <c r="BD39" s="10">
        <f>IF(BA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1.11/MIN(Вес1.1,Вес1.3,Вес1.4,Вес1.5,Вес1.6,Вес1.7,Вес1.8,Вес1.9,Вес1.11,Вес1.12,Вес1.13,Вес1.14,Вес1.15,Вес1.16,Вес1.17,Вес1.18)),"")</f>
        <v>7.4468085106382977</v>
      </c>
      <c r="BE39" s="10">
        <f>IF(BD39="","не применяется",IF(BA39=0,"не применяется",BD39*BC39/100))</f>
        <v>7.4468085106382975E-2</v>
      </c>
      <c r="BF39" s="10">
        <f>IF(ISNUMBER(BE39),BE39,"")</f>
        <v>7.4468085106382975E-2</v>
      </c>
      <c r="BG39" s="56">
        <v>1</v>
      </c>
      <c r="BH39" s="56">
        <v>3.5700000000000003E-2</v>
      </c>
      <c r="BI39" s="56">
        <v>0.80430000000000001</v>
      </c>
      <c r="BJ39" s="10">
        <f>IF(BG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1.12/MIN(Вес1.1,Вес1.3,Вес1.4,Вес1.5,Вес1.6,Вес1.7,Вес1.8,Вес1.9,Вес1.11,Вес1.12,Вес1.13,Вес1.14,Вес1.15,Вес1.16,Вес1.17,Вес1.18)),"")</f>
        <v>6.3829787234042552</v>
      </c>
      <c r="BK39" s="10">
        <f>IF(BJ39="","не применяется",IF(BG39=0,"не применяется",BJ39*BI39/100))</f>
        <v>5.1338297872340427E-2</v>
      </c>
      <c r="BL39" s="10">
        <f>IF(ISNUMBER(BK39),BK39,"")</f>
        <v>5.1338297872340427E-2</v>
      </c>
      <c r="BM39" s="56">
        <v>1</v>
      </c>
      <c r="BN39" s="56">
        <v>98.337199999999996</v>
      </c>
      <c r="BO39" s="56">
        <v>1</v>
      </c>
      <c r="BP39" s="10">
        <f>IF(BM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1.13/MIN(Вес1.1,Вес1.3,Вес1.4,Вес1.5,Вес1.6,Вес1.7,Вес1.8,Вес1.9,Вес1.11,Вес1.12,Вес1.13,Вес1.14,Вес1.15,Вес1.16,Вес1.17,Вес1.18)),"")</f>
        <v>7.4468085106382977</v>
      </c>
      <c r="BQ39" s="10">
        <f>IF(BP39="","не применяется",IF(BM39=0,"не применяется",BP39*BO39/100))</f>
        <v>7.4468085106382975E-2</v>
      </c>
      <c r="BR39" s="10">
        <f>IF(ISNUMBER(BQ39),BQ39,"")</f>
        <v>7.4468085106382975E-2</v>
      </c>
      <c r="BS39" s="56">
        <v>1</v>
      </c>
      <c r="BT39" s="56">
        <v>1.66E-2</v>
      </c>
      <c r="BU39" s="56">
        <v>1</v>
      </c>
      <c r="BV39" s="10">
        <f>IF(BS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1.14/MIN(Вес1.1,Вес1.3,Вес1.4,Вес1.5,Вес1.6,Вес1.7,Вес1.8,Вес1.9,Вес1.11,Вес1.12,Вес1.13,Вес1.14,Вес1.15,Вес1.16,Вес1.17,Вес1.18)),"")</f>
        <v>6.3829787234042552</v>
      </c>
      <c r="BW39" s="10">
        <f>IF(BV39="","не применяется",IF(BS39=0,"не применяется",BV39*BU39/100))</f>
        <v>6.3829787234042548E-2</v>
      </c>
      <c r="BX39" s="10">
        <f>IF(ISNUMBER(BW39),BW39,"")</f>
        <v>6.3829787234042548E-2</v>
      </c>
      <c r="BY39" s="56">
        <v>1</v>
      </c>
      <c r="BZ39" s="56">
        <v>0.37040000000000001</v>
      </c>
      <c r="CA39" s="56">
        <v>0.39939999999999998</v>
      </c>
      <c r="CB39" s="10">
        <f>IF(BY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1.15/MIN(Вес1.1,Вес1.3,Вес1.4,Вес1.5,Вес1.6,Вес1.7,Вес1.8,Вес1.9,Вес1.11,Вес1.12,Вес1.13,Вес1.14,Вес1.15,Вес1.16,Вес1.17,Вес1.18)),"")</f>
        <v>6.3829787234042552</v>
      </c>
      <c r="CC39" s="10">
        <f>IF(CB39="","не применяется",IF(BY39=0,"не применяется",CB39*CA39/100))</f>
        <v>2.5493617021276595E-2</v>
      </c>
      <c r="CD39" s="10">
        <f>IF(ISNUMBER(CC39),CC39,"")</f>
        <v>2.5493617021276595E-2</v>
      </c>
      <c r="CE39" s="56">
        <v>1</v>
      </c>
      <c r="CF39" s="56">
        <v>0</v>
      </c>
      <c r="CG39" s="56">
        <v>1</v>
      </c>
      <c r="CH39" s="10">
        <f>IF(CE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1.16/MIN(Вес1.1,Вес1.3,Вес1.4,Вес1.5,Вес1.6,Вес1.7,Вес1.8,Вес1.9,Вес1.11,Вес1.12,Вес1.13,Вес1.14,Вес1.15,Вес1.16,Вес1.17,Вес1.18)),"")</f>
        <v>7.4468085106382977</v>
      </c>
      <c r="CI39" s="10">
        <f>IF(CH39="","не применяется",IF(CE39=0,"не применяется",CH39*CG39/100))</f>
        <v>7.4468085106382975E-2</v>
      </c>
      <c r="CJ39" s="10">
        <f>IF(ISNUMBER(CI39),CI39,"")</f>
        <v>7.4468085106382975E-2</v>
      </c>
      <c r="CK39" s="56">
        <v>0</v>
      </c>
      <c r="CL39" s="56">
        <v>0</v>
      </c>
      <c r="CM39" s="56">
        <v>0</v>
      </c>
      <c r="CN39" s="10" t="str">
        <f>IF(CK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1.17/MIN(Вес1.1,Вес1.3,Вес1.4,Вес1.5,Вес1.6,Вес1.7,Вес1.8,Вес1.9,Вес1.11,Вес1.12,Вес1.13,Вес1.14,Вес1.15,Вес1.16,Вес1.17,Вес1.18)),"")</f>
        <v/>
      </c>
      <c r="CO39" s="10" t="str">
        <f>IF(CN39="","не применяется",IF(CK39=0,"не применяется",CN39*CM39/100))</f>
        <v>не применяется</v>
      </c>
      <c r="CP39" s="10" t="str">
        <f>IF(ISNUMBER(CO39),CO39,"")</f>
        <v/>
      </c>
      <c r="CQ39" s="56">
        <v>1</v>
      </c>
      <c r="CR39" s="56">
        <v>200</v>
      </c>
      <c r="CS39" s="56">
        <v>0</v>
      </c>
      <c r="CT39" s="10">
        <f>IF(CQ39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39*Вес1.18/MIN(Вес1.1,Вес1.3,Вес1.4,Вес1.5,Вес1.6,Вес1.7,Вес1.8,Вес1.9,Вес1.11,Вес1.12,Вес1.13,Вес1.14,Вес1.15,Вес1.16,Вес1.17,Вес1.18)),"")</f>
        <v>6.3829787234042552</v>
      </c>
      <c r="CU39" s="10">
        <f>IF(CT39="","не применяется",IF(CQ39=0,"не применяется",CT39*CS39/100))</f>
        <v>0</v>
      </c>
      <c r="CV39" s="10">
        <f>IF(ISNUMBER(CU39),CU39,"")</f>
        <v>0</v>
      </c>
      <c r="CW39" s="10">
        <f>IF(E39=1,Вес1.1/MIN(Вес1.1,Вес1.3,Вес1.4,Вес1.5,Вес1.6,Вес1.7,Вес1.8,Вес1.9,Вес1.11,Вес1.12,Вес1.13,Вес1.14,Вес1.15,Вес1.16,Вес1.17,Вес1.18),"")</f>
        <v>1.25</v>
      </c>
      <c r="CX39" s="10">
        <f>IF(K39=1,Вес1.3/MIN(Вес1.1,Вес1.3,Вес1.4,Вес1.5,Вес1.6,Вес1.7,Вес1.8,Вес1.9,Вес1.11,Вес1.12,Вес1.13,Вес1.14,Вес1.15,Вес1.16,Вес1.17,Вес1.18),"")</f>
        <v>1.25</v>
      </c>
      <c r="CY39" s="10">
        <f>IF(Q39=1,Вес1.4/MIN(Вес1.1,Вес1.3,Вес1.4,Вес1.5,Вес1.6,Вес1.7,Вес1.8,Вес1.9,Вес1.11,Вес1.12,Вес1.13,Вес1.14,Вес1.15,Вес1.16,Вес1.17,Вес1.18),"")</f>
        <v>1</v>
      </c>
      <c r="CZ39" s="10">
        <f>IF(W39=1,Вес1.5/MIN(Вес1.1,Вес1.3,Вес1.4,Вес1.5,Вес1.6,Вес1.7,Вес1.8,Вес1.9,Вес1.11,Вес1.12,Вес1.13,Вес1.14,Вес1.15,Вес1.16,Вес1.17,Вес1.18),"")</f>
        <v>1.75</v>
      </c>
      <c r="DA39" s="10">
        <f>IF(AC39=1,Вес1.6/MIN(Вес1.6,Вес1.3,Вес1.4,Вес1.5,Вес1.6,Вес1.7,Вес1.8,Вес1.9,Вес1.11,Вес1.12,Вес1.13,Вес1.14,Вес1.15,Вес1.16,Вес1.17,Вес1.18),"")</f>
        <v>1.75</v>
      </c>
      <c r="DB39" s="10">
        <f>IF(AI39=1,Вес1.7/MIN(Вес1.1,Вес1.3,Вес1.4,Вес1.5,Вес1.6,Вес1.7,Вес1.8,Вес1.9,Вес1.11,Вес1.12,Вес1.13,Вес1.14,Вес1.15,Вес1.16,Вес1.17,Вес1.18),"")</f>
        <v>1.75</v>
      </c>
      <c r="DC39" s="10">
        <f>IF(AO39=1,Вес1.8/MIN(Вес1.1,Вес1.3,Вес1.4,Вес1.5,Вес1.6,Вес1.7,Вес1.8,Вес1.9,Вес1.11,Вес1.12,Вес1.13,Вес1.14,Вес1.15,Вес1.16,Вес1.17,Вес1.18),"")</f>
        <v>1.75</v>
      </c>
      <c r="DD39" s="10">
        <f>IF(AU39=1,Вес1.9/MIN(Вес1.1,Вес1.3,Вес1.4,Вес1.5,Вес1.6,Вес1.7,Вес1.8,Вес1.9,Вес1.11,Вес1.12,Вес1.13,Вес1.14,Вес1.15,Вес1.16,Вес1.17,Вес1.18),"")</f>
        <v>1.75</v>
      </c>
      <c r="DE39" s="10">
        <f>IF(BA39=1,Вес1.11/MIN(Вес1.1,Вес1.3,Вес1.4,Вес1.5,Вес1.6,Вес1.7,Вес1.8,Вес1.9,Вес1.11,Вес1.12,Вес1.13,Вес1.14,Вес1.15,Вес1.16,Вес1.17,Вес1.18),"")</f>
        <v>1.75</v>
      </c>
      <c r="DF39" s="10">
        <f>IF(BG39=1,Вес1.12/MIN(Вес1.1,Вес1.3,Вес1.4,Вес1.5,Вес1.6,Вес1.7,Вес1.8,Вес1.9,Вес1.11,Вес1.12,Вес1.13,Вес1.14,Вес1.15,Вес1.16,Вес1.17,Вес1.18),"")</f>
        <v>1.5</v>
      </c>
      <c r="DG39" s="10">
        <f>IF(BM39=1,Вес1.13/MIN(Вес1.1,Вес1.3,Вес1.4,Вес1.5,Вес1.6,Вес1.7,Вес1.8,Вес1.9,Вес1.11,Вес1.12,Вес1.13,Вес1.14,Вес1.15,Вес1.16,Вес1.17,Вес1.18),"")</f>
        <v>1.75</v>
      </c>
      <c r="DH39" s="10">
        <f>IF(BS39=1,Вес1.14/MIN(Вес1.1,Вес1.3,Вес1.4,Вес1.5,Вес1.6,Вес1.7,Вес1.8,Вес1.9,Вес1.11,Вес1.12,Вес1.13,Вес1.14,Вес1.15,Вес1.16,Вес1.17,Вес1.18),"")</f>
        <v>1.5</v>
      </c>
      <c r="DI39" s="10">
        <f>IF(BY39=1,Вес1.15/MIN(Вес1.1,Вес1.3,Вес1.4,Вес1.5,Вес1.6,Вес1.7,Вес1.8,Вес1.9,Вес1.11,Вес1.12,Вес1.13,Вес1.14,Вес1.15,Вес1.16,Вес1.17,Вес1.18),"")</f>
        <v>1.5</v>
      </c>
      <c r="DJ39" s="10">
        <f>IF(CE39=1,Вес1.16/MIN(Вес1.1,Вес1.3,Вес1.4,Вес1.5,Вес1.6,Вес1.7,Вес1.8,Вес1.9,Вес1.11,Вес1.12,Вес1.13,Вес1.14,Вес1.15,Вес1.16,Вес1.17,Вес1.18),"")</f>
        <v>1.75</v>
      </c>
      <c r="DK39" s="10" t="str">
        <f>IF(CK39=1,Вес1.17/MIN(Вес1.1,Вес1.3,Вес1.4,Вес1.5,Вес1.6,Вес1.7,Вес1.8,Вес1.9,Вес1.11,Вес1.12,Вес1.13,Вес1.14,Вес1.15,Вес1.16,Вес1.17,Вес1.18),"")</f>
        <v/>
      </c>
      <c r="DL39" s="10">
        <f>IF(CQ39=1,Вес1.18/MIN(Вес1.1,Вес1.3,Вес1.4,Вес1.5,Вес1.6,Вес1.7,Вес1.8,Вес1.9,Вес1.11,Вес1.12,Вес1.13,Вес1.14,Вес1.15,Вес1.16,Вес1.17,Вес1.18),"")</f>
        <v>1.5</v>
      </c>
      <c r="DM39" s="10">
        <f>SUM(CW39:DL39)</f>
        <v>23.5</v>
      </c>
    </row>
    <row r="40" spans="1:117" ht="25.5" x14ac:dyDescent="0.2">
      <c r="A40" s="1" t="s">
        <v>112</v>
      </c>
      <c r="B40" s="9" t="s">
        <v>30</v>
      </c>
      <c r="C40" s="10">
        <f>IF(D40&lt;&gt;1,"",SUM(J40,P40,V40,AB40,AH40,AN40,AT40,AZ40,BF40,BL40,BR40,BX40,CD40,CJ40,CP40,CV40))</f>
        <v>0.85148404255319132</v>
      </c>
      <c r="D40" s="10">
        <f>IF(SUM(E40,K40,Q40,W40,AC40,AI40,AO40,AU40,BA40,BG40,BM40,BS40,BY40,CE40,CK40,CQ40)=0,0,1)</f>
        <v>1</v>
      </c>
      <c r="E40" s="56">
        <v>1</v>
      </c>
      <c r="F40" s="56">
        <v>1.3332999999999999</v>
      </c>
      <c r="G40" s="56">
        <v>0.98670000000000002</v>
      </c>
      <c r="H40" s="10">
        <f>IF(E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1.1/MIN(Вес1.1,Вес1.3,Вес1.4,Вес1.5,Вес1.6,Вес1.7,Вес1.8,Вес1.9,Вес1.11,Вес1.12,Вес1.13,Вес1.14,Вес1.15,Вес1.16,Вес1.17,Вес1.18)),"")</f>
        <v>5.3191489361702127</v>
      </c>
      <c r="I40" s="10">
        <f>IF(H40="","не применяется",IF(E40=0,"не применяется",H40*G40/100))</f>
        <v>5.2484042553191487E-2</v>
      </c>
      <c r="J40" s="10">
        <f>IF(ISNUMBER(I40),I40,"")</f>
        <v>5.2484042553191487E-2</v>
      </c>
      <c r="K40" s="56">
        <v>1</v>
      </c>
      <c r="L40" s="56">
        <v>0</v>
      </c>
      <c r="M40" s="56">
        <v>1</v>
      </c>
      <c r="N40" s="10">
        <f>IF(K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1.3/MIN(Вес1.1,Вес1.3,Вес1.4,Вес1.5,Вес1.6,Вес1.7,Вес1.8,Вес1.9,Вес1.11,Вес1.12,Вес1.13,Вес1.14,Вес1.15,Вес1.16,Вес1.17,Вес1.18)),"")</f>
        <v>5.3191489361702127</v>
      </c>
      <c r="O40" s="10">
        <f>IF(N40="","не применяется",IF(K40=0,"не применяется",N40*M40/100))</f>
        <v>5.3191489361702128E-2</v>
      </c>
      <c r="P40" s="10">
        <f>IF(ISNUMBER(O40),O40,"")</f>
        <v>5.3191489361702128E-2</v>
      </c>
      <c r="Q40" s="56">
        <v>1</v>
      </c>
      <c r="R40" s="56">
        <v>100</v>
      </c>
      <c r="S40" s="56">
        <v>1</v>
      </c>
      <c r="T40" s="10">
        <f>IF(Q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1.4/MIN(Вес1.1,Вес1.3,Вес1.4,Вес1.5,Вес1.6,Вес1.7,Вес1.8,Вес1.9,Вес1.11,Вес1.12,Вес1.13,Вес1.14,Вес1.15,Вес1.16,Вес1.17,Вес1.18)),"")</f>
        <v>4.2553191489361701</v>
      </c>
      <c r="U40" s="10">
        <f>IF(T40="","не применяется",IF(Q40=0,"не применяется",S40*T40/100))</f>
        <v>4.2553191489361701E-2</v>
      </c>
      <c r="V40" s="10">
        <f>IF(ISNUMBER(U40),U40,"")</f>
        <v>4.2553191489361701E-2</v>
      </c>
      <c r="W40" s="56">
        <v>1</v>
      </c>
      <c r="X40" s="56">
        <v>5.2900000000000003E-2</v>
      </c>
      <c r="Y40" s="56">
        <v>1</v>
      </c>
      <c r="Z40" s="10">
        <f>IF(W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1.5/MIN(Вес1.1,Вес1.3,Вес1.4,Вес1.5,Вес1.6,Вес1.7,Вес1.8,Вес1.9,Вес1.11,Вес1.12,Вес1.13,Вес1.14,Вес1.15,Вес1.16,Вес1.17,Вес1.18)),"")</f>
        <v>7.4468085106382977</v>
      </c>
      <c r="AA40" s="10">
        <f>IF(Z40="","не применяется",IF(W40=0,"не применяется",Z40*Y40/100))</f>
        <v>7.4468085106382975E-2</v>
      </c>
      <c r="AB40" s="10">
        <f>IF(ISNUMBER(AA40),AA40,"")</f>
        <v>7.4468085106382975E-2</v>
      </c>
      <c r="AC40" s="56">
        <v>1</v>
      </c>
      <c r="AD40" s="56">
        <v>0</v>
      </c>
      <c r="AE40" s="56">
        <v>1</v>
      </c>
      <c r="AF40" s="10">
        <f>IF(AC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1.6/MIN(Вес1.1,Вес1.3,Вес1.4,Вес1.5,Вес1.6,Вес1.7,Вес1.8,Вес1.9,Вес1.11,Вес1.12,Вес1.13,Вес1.14,Вес1.15,Вес1.16,Вес1.17,Вес1.18)),"")</f>
        <v>7.4468085106382977</v>
      </c>
      <c r="AG40" s="10">
        <f>IF(AF40="","не применяется",IF(AC40=0,"не применяется",AF40*AE40/100))</f>
        <v>7.4468085106382975E-2</v>
      </c>
      <c r="AH40" s="10">
        <f>IF(ISNUMBER(AG40),AG40,"")</f>
        <v>7.4468085106382975E-2</v>
      </c>
      <c r="AI40" s="56">
        <v>1</v>
      </c>
      <c r="AJ40" s="56">
        <v>0</v>
      </c>
      <c r="AK40" s="56">
        <v>1</v>
      </c>
      <c r="AL40" s="10">
        <f>IF(AI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1.7/MIN(Вес1.1,Вес1.3,Вес1.4,Вес1.5,Вес1.6,Вес1.7,Вес1.8,Вес1.9,Вес1.11,Вес1.12,Вес1.13,Вес1.14,Вес1.15,Вес1.16,Вес1.17,Вес1.18)),"")</f>
        <v>7.4468085106382977</v>
      </c>
      <c r="AM40" s="10">
        <f>IF(AL40="","не применяется",IF(AI40=0,"не применяется",AL40*AK40/100))</f>
        <v>7.4468085106382975E-2</v>
      </c>
      <c r="AN40" s="10">
        <f>IF(ISNUMBER(AM40),AM40,"")</f>
        <v>7.4468085106382975E-2</v>
      </c>
      <c r="AO40" s="56">
        <v>1</v>
      </c>
      <c r="AP40" s="56">
        <v>36</v>
      </c>
      <c r="AQ40" s="56">
        <v>0</v>
      </c>
      <c r="AR40" s="10">
        <f>IF(AO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1.8/MIN(Вес1.1,Вес1.3,Вес1.4,Вес1.5,Вес1.6,Вес1.7,Вес1.8,Вес1.9,Вес1.11,Вес1.12,Вес1.13,Вес1.14,Вес1.15,Вес1.16,Вес1.17,Вес1.18)),"")</f>
        <v>7.4468085106382977</v>
      </c>
      <c r="AS40" s="10">
        <f>IF(AR40="","не применяется",IF(AO40=0,"не применяется",AR40*AQ40/100))</f>
        <v>0</v>
      </c>
      <c r="AT40" s="10">
        <f>IF(ISNUMBER(AS40),AS40,"")</f>
        <v>0</v>
      </c>
      <c r="AU40" s="56">
        <v>1</v>
      </c>
      <c r="AV40" s="56">
        <v>35.9968</v>
      </c>
      <c r="AW40" s="56">
        <v>1</v>
      </c>
      <c r="AX40" s="10">
        <f>IF(AU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1.9/MIN(Вес1.1,Вес1.3,Вес1.4,Вес1.5,Вес1.6,Вес1.7,Вес1.8,Вес1.9,Вес1.11,Вес1.12,Вес1.13,Вес1.14,Вес1.15,Вес1.16,Вес1.17,Вес1.18)),"")</f>
        <v>7.4468085106382977</v>
      </c>
      <c r="AY40" s="10">
        <f>IF(AX40="","не применяется",IF(AU40=0,"не применяется",AX40*AW40/100))</f>
        <v>7.4468085106382975E-2</v>
      </c>
      <c r="AZ40" s="10">
        <f>IF(ISNUMBER(AY40),AY40,"")</f>
        <v>7.4468085106382975E-2</v>
      </c>
      <c r="BA40" s="56">
        <v>1</v>
      </c>
      <c r="BB40" s="56">
        <v>123.11320000000001</v>
      </c>
      <c r="BC40" s="56">
        <v>1</v>
      </c>
      <c r="BD40" s="10">
        <f>IF(BA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1.11/MIN(Вес1.1,Вес1.3,Вес1.4,Вес1.5,Вес1.6,Вес1.7,Вес1.8,Вес1.9,Вес1.11,Вес1.12,Вес1.13,Вес1.14,Вес1.15,Вес1.16,Вес1.17,Вес1.18)),"")</f>
        <v>7.4468085106382977</v>
      </c>
      <c r="BE40" s="10">
        <f>IF(BD40="","не применяется",IF(BA40=0,"не применяется",BD40*BC40/100))</f>
        <v>7.4468085106382975E-2</v>
      </c>
      <c r="BF40" s="10">
        <f>IF(ISNUMBER(BE40),BE40,"")</f>
        <v>7.4468085106382975E-2</v>
      </c>
      <c r="BG40" s="56">
        <v>1</v>
      </c>
      <c r="BH40" s="56">
        <v>3.7900000000000003E-2</v>
      </c>
      <c r="BI40" s="56">
        <v>0.77680000000000005</v>
      </c>
      <c r="BJ40" s="10">
        <f>IF(BG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1.12/MIN(Вес1.1,Вес1.3,Вес1.4,Вес1.5,Вес1.6,Вес1.7,Вес1.8,Вес1.9,Вес1.11,Вес1.12,Вес1.13,Вес1.14,Вес1.15,Вес1.16,Вес1.17,Вес1.18)),"")</f>
        <v>6.3829787234042552</v>
      </c>
      <c r="BK40" s="10">
        <f>IF(BJ40="","не применяется",IF(BG40=0,"не применяется",BJ40*BI40/100))</f>
        <v>4.9582978723404253E-2</v>
      </c>
      <c r="BL40" s="10">
        <f>IF(ISNUMBER(BK40),BK40,"")</f>
        <v>4.9582978723404253E-2</v>
      </c>
      <c r="BM40" s="56">
        <v>1</v>
      </c>
      <c r="BN40" s="56">
        <v>99.625399999999999</v>
      </c>
      <c r="BO40" s="56">
        <v>1</v>
      </c>
      <c r="BP40" s="10">
        <f>IF(BM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1.13/MIN(Вес1.1,Вес1.3,Вес1.4,Вес1.5,Вес1.6,Вес1.7,Вес1.8,Вес1.9,Вес1.11,Вес1.12,Вес1.13,Вес1.14,Вес1.15,Вес1.16,Вес1.17,Вес1.18)),"")</f>
        <v>7.4468085106382977</v>
      </c>
      <c r="BQ40" s="10">
        <f>IF(BP40="","не применяется",IF(BM40=0,"не применяется",BP40*BO40/100))</f>
        <v>7.4468085106382975E-2</v>
      </c>
      <c r="BR40" s="10">
        <f>IF(ISNUMBER(BQ40),BQ40,"")</f>
        <v>7.4468085106382975E-2</v>
      </c>
      <c r="BS40" s="56">
        <v>1</v>
      </c>
      <c r="BT40" s="56">
        <v>3.7000000000000002E-3</v>
      </c>
      <c r="BU40" s="56">
        <v>1</v>
      </c>
      <c r="BV40" s="10">
        <f>IF(BS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1.14/MIN(Вес1.1,Вес1.3,Вес1.4,Вес1.5,Вес1.6,Вес1.7,Вес1.8,Вес1.9,Вес1.11,Вес1.12,Вес1.13,Вес1.14,Вес1.15,Вес1.16,Вес1.17,Вес1.18)),"")</f>
        <v>6.3829787234042552</v>
      </c>
      <c r="BW40" s="10">
        <f>IF(BV40="","не применяется",IF(BS40=0,"не применяется",BV40*BU40/100))</f>
        <v>6.3829787234042548E-2</v>
      </c>
      <c r="BX40" s="10">
        <f>IF(ISNUMBER(BW40),BW40,"")</f>
        <v>6.3829787234042548E-2</v>
      </c>
      <c r="BY40" s="56">
        <v>1</v>
      </c>
      <c r="BZ40" s="56">
        <v>0.22409999999999999</v>
      </c>
      <c r="CA40" s="56">
        <v>0.57420000000000004</v>
      </c>
      <c r="CB40" s="10">
        <f>IF(BY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1.15/MIN(Вес1.1,Вес1.3,Вес1.4,Вес1.5,Вес1.6,Вес1.7,Вес1.8,Вес1.9,Вес1.11,Вес1.12,Вес1.13,Вес1.14,Вес1.15,Вес1.16,Вес1.17,Вес1.18)),"")</f>
        <v>6.3829787234042552</v>
      </c>
      <c r="CC40" s="10">
        <f>IF(CB40="","не применяется",IF(BY40=0,"не применяется",CB40*CA40/100))</f>
        <v>3.6651063829787237E-2</v>
      </c>
      <c r="CD40" s="10">
        <f>IF(ISNUMBER(CC40),CC40,"")</f>
        <v>3.6651063829787237E-2</v>
      </c>
      <c r="CE40" s="56">
        <v>1</v>
      </c>
      <c r="CF40" s="56">
        <v>0</v>
      </c>
      <c r="CG40" s="56">
        <v>1</v>
      </c>
      <c r="CH40" s="10">
        <f>IF(CE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1.16/MIN(Вес1.1,Вес1.3,Вес1.4,Вес1.5,Вес1.6,Вес1.7,Вес1.8,Вес1.9,Вес1.11,Вес1.12,Вес1.13,Вес1.14,Вес1.15,Вес1.16,Вес1.17,Вес1.18)),"")</f>
        <v>7.4468085106382977</v>
      </c>
      <c r="CI40" s="10">
        <f>IF(CH40="","не применяется",IF(CE40=0,"не применяется",CH40*CG40/100))</f>
        <v>7.4468085106382975E-2</v>
      </c>
      <c r="CJ40" s="10">
        <f>IF(ISNUMBER(CI40),CI40,"")</f>
        <v>7.4468085106382975E-2</v>
      </c>
      <c r="CK40" s="56">
        <v>0</v>
      </c>
      <c r="CL40" s="56">
        <v>0</v>
      </c>
      <c r="CM40" s="56">
        <v>0</v>
      </c>
      <c r="CN40" s="10" t="str">
        <f>IF(CK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1.17/MIN(Вес1.1,Вес1.3,Вес1.4,Вес1.5,Вес1.6,Вес1.7,Вес1.8,Вес1.9,Вес1.11,Вес1.12,Вес1.13,Вес1.14,Вес1.15,Вес1.16,Вес1.17,Вес1.18)),"")</f>
        <v/>
      </c>
      <c r="CO40" s="10" t="str">
        <f>IF(CN40="","не применяется",IF(CK40=0,"не применяется",CN40*CM40/100))</f>
        <v>не применяется</v>
      </c>
      <c r="CP40" s="10" t="str">
        <f>IF(ISNUMBER(CO40),CO40,"")</f>
        <v/>
      </c>
      <c r="CQ40" s="56">
        <v>1</v>
      </c>
      <c r="CR40" s="56">
        <v>100</v>
      </c>
      <c r="CS40" s="56">
        <v>0.5</v>
      </c>
      <c r="CT40" s="10">
        <f>IF(CQ40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40*Вес1.18/MIN(Вес1.1,Вес1.3,Вес1.4,Вес1.5,Вес1.6,Вес1.7,Вес1.8,Вес1.9,Вес1.11,Вес1.12,Вес1.13,Вес1.14,Вес1.15,Вес1.16,Вес1.17,Вес1.18)),"")</f>
        <v>6.3829787234042552</v>
      </c>
      <c r="CU40" s="10">
        <f>IF(CT40="","не применяется",IF(CQ40=0,"не применяется",CT40*CS40/100))</f>
        <v>3.1914893617021274E-2</v>
      </c>
      <c r="CV40" s="10">
        <f>IF(ISNUMBER(CU40),CU40,"")</f>
        <v>3.1914893617021274E-2</v>
      </c>
      <c r="CW40" s="10">
        <f>IF(E40=1,Вес1.1/MIN(Вес1.1,Вес1.3,Вес1.4,Вес1.5,Вес1.6,Вес1.7,Вес1.8,Вес1.9,Вес1.11,Вес1.12,Вес1.13,Вес1.14,Вес1.15,Вес1.16,Вес1.17,Вес1.18),"")</f>
        <v>1.25</v>
      </c>
      <c r="CX40" s="10">
        <f>IF(K40=1,Вес1.3/MIN(Вес1.1,Вес1.3,Вес1.4,Вес1.5,Вес1.6,Вес1.7,Вес1.8,Вес1.9,Вес1.11,Вес1.12,Вес1.13,Вес1.14,Вес1.15,Вес1.16,Вес1.17,Вес1.18),"")</f>
        <v>1.25</v>
      </c>
      <c r="CY40" s="10">
        <f>IF(Q40=1,Вес1.4/MIN(Вес1.1,Вес1.3,Вес1.4,Вес1.5,Вес1.6,Вес1.7,Вес1.8,Вес1.9,Вес1.11,Вес1.12,Вес1.13,Вес1.14,Вес1.15,Вес1.16,Вес1.17,Вес1.18),"")</f>
        <v>1</v>
      </c>
      <c r="CZ40" s="10">
        <f>IF(W40=1,Вес1.5/MIN(Вес1.1,Вес1.3,Вес1.4,Вес1.5,Вес1.6,Вес1.7,Вес1.8,Вес1.9,Вес1.11,Вес1.12,Вес1.13,Вес1.14,Вес1.15,Вес1.16,Вес1.17,Вес1.18),"")</f>
        <v>1.75</v>
      </c>
      <c r="DA40" s="10">
        <f>IF(AC40=1,Вес1.6/MIN(Вес1.6,Вес1.3,Вес1.4,Вес1.5,Вес1.6,Вес1.7,Вес1.8,Вес1.9,Вес1.11,Вес1.12,Вес1.13,Вес1.14,Вес1.15,Вес1.16,Вес1.17,Вес1.18),"")</f>
        <v>1.75</v>
      </c>
      <c r="DB40" s="10">
        <f>IF(AI40=1,Вес1.7/MIN(Вес1.1,Вес1.3,Вес1.4,Вес1.5,Вес1.6,Вес1.7,Вес1.8,Вес1.9,Вес1.11,Вес1.12,Вес1.13,Вес1.14,Вес1.15,Вес1.16,Вес1.17,Вес1.18),"")</f>
        <v>1.75</v>
      </c>
      <c r="DC40" s="10">
        <f>IF(AO40=1,Вес1.8/MIN(Вес1.1,Вес1.3,Вес1.4,Вес1.5,Вес1.6,Вес1.7,Вес1.8,Вес1.9,Вес1.11,Вес1.12,Вес1.13,Вес1.14,Вес1.15,Вес1.16,Вес1.17,Вес1.18),"")</f>
        <v>1.75</v>
      </c>
      <c r="DD40" s="10">
        <f>IF(AU40=1,Вес1.9/MIN(Вес1.1,Вес1.3,Вес1.4,Вес1.5,Вес1.6,Вес1.7,Вес1.8,Вес1.9,Вес1.11,Вес1.12,Вес1.13,Вес1.14,Вес1.15,Вес1.16,Вес1.17,Вес1.18),"")</f>
        <v>1.75</v>
      </c>
      <c r="DE40" s="10">
        <f>IF(BA40=1,Вес1.11/MIN(Вес1.1,Вес1.3,Вес1.4,Вес1.5,Вес1.6,Вес1.7,Вес1.8,Вес1.9,Вес1.11,Вес1.12,Вес1.13,Вес1.14,Вес1.15,Вес1.16,Вес1.17,Вес1.18),"")</f>
        <v>1.75</v>
      </c>
      <c r="DF40" s="10">
        <f>IF(BG40=1,Вес1.12/MIN(Вес1.1,Вес1.3,Вес1.4,Вес1.5,Вес1.6,Вес1.7,Вес1.8,Вес1.9,Вес1.11,Вес1.12,Вес1.13,Вес1.14,Вес1.15,Вес1.16,Вес1.17,Вес1.18),"")</f>
        <v>1.5</v>
      </c>
      <c r="DG40" s="10">
        <f>IF(BM40=1,Вес1.13/MIN(Вес1.1,Вес1.3,Вес1.4,Вес1.5,Вес1.6,Вес1.7,Вес1.8,Вес1.9,Вес1.11,Вес1.12,Вес1.13,Вес1.14,Вес1.15,Вес1.16,Вес1.17,Вес1.18),"")</f>
        <v>1.75</v>
      </c>
      <c r="DH40" s="10">
        <f>IF(BS40=1,Вес1.14/MIN(Вес1.1,Вес1.3,Вес1.4,Вес1.5,Вес1.6,Вес1.7,Вес1.8,Вес1.9,Вес1.11,Вес1.12,Вес1.13,Вес1.14,Вес1.15,Вес1.16,Вес1.17,Вес1.18),"")</f>
        <v>1.5</v>
      </c>
      <c r="DI40" s="10">
        <f>IF(BY40=1,Вес1.15/MIN(Вес1.1,Вес1.3,Вес1.4,Вес1.5,Вес1.6,Вес1.7,Вес1.8,Вес1.9,Вес1.11,Вес1.12,Вес1.13,Вес1.14,Вес1.15,Вес1.16,Вес1.17,Вес1.18),"")</f>
        <v>1.5</v>
      </c>
      <c r="DJ40" s="10">
        <f>IF(CE40=1,Вес1.16/MIN(Вес1.1,Вес1.3,Вес1.4,Вес1.5,Вес1.6,Вес1.7,Вес1.8,Вес1.9,Вес1.11,Вес1.12,Вес1.13,Вес1.14,Вес1.15,Вес1.16,Вес1.17,Вес1.18),"")</f>
        <v>1.75</v>
      </c>
      <c r="DK40" s="10" t="str">
        <f>IF(CK40=1,Вес1.17/MIN(Вес1.1,Вес1.3,Вес1.4,Вес1.5,Вес1.6,Вес1.7,Вес1.8,Вес1.9,Вес1.11,Вес1.12,Вес1.13,Вес1.14,Вес1.15,Вес1.16,Вес1.17,Вес1.18),"")</f>
        <v/>
      </c>
      <c r="DL40" s="10">
        <f>IF(CQ40=1,Вес1.18/MIN(Вес1.1,Вес1.3,Вес1.4,Вес1.5,Вес1.6,Вес1.7,Вес1.8,Вес1.9,Вес1.11,Вес1.12,Вес1.13,Вес1.14,Вес1.15,Вес1.16,Вес1.17,Вес1.18),"")</f>
        <v>1.5</v>
      </c>
      <c r="DM40" s="10">
        <f>SUM(CW40:DL40)</f>
        <v>23.5</v>
      </c>
    </row>
    <row r="41" spans="1:117" ht="25.5" x14ac:dyDescent="0.2">
      <c r="A41" s="1" t="s">
        <v>113</v>
      </c>
      <c r="B41" s="9" t="s">
        <v>31</v>
      </c>
      <c r="C41" s="10">
        <f>IF(D41&lt;&gt;1,"",SUM(J41,P41,V41,AB41,AH41,AN41,AT41,AZ41,BF41,BL41,BR41,BX41,CD41,CJ41,CP41,CV41))</f>
        <v>0.84473829787234034</v>
      </c>
      <c r="D41" s="10">
        <f>IF(SUM(E41,K41,Q41,W41,AC41,AI41,AO41,AU41,BA41,BG41,BM41,BS41,BY41,CE41,CK41,CQ41)=0,0,1)</f>
        <v>1</v>
      </c>
      <c r="E41" s="56">
        <v>1</v>
      </c>
      <c r="F41" s="56">
        <v>5</v>
      </c>
      <c r="G41" s="56">
        <v>0.95</v>
      </c>
      <c r="H41" s="10">
        <f>IF(E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1.1/MIN(Вес1.1,Вес1.3,Вес1.4,Вес1.5,Вес1.6,Вес1.7,Вес1.8,Вес1.9,Вес1.11,Вес1.12,Вес1.13,Вес1.14,Вес1.15,Вес1.16,Вес1.17,Вес1.18)),"")</f>
        <v>5.3191489361702127</v>
      </c>
      <c r="I41" s="10">
        <f>IF(H41="","не применяется",IF(E41=0,"не применяется",H41*G41/100))</f>
        <v>5.0531914893617011E-2</v>
      </c>
      <c r="J41" s="10">
        <f>IF(ISNUMBER(I41),I41,"")</f>
        <v>5.0531914893617011E-2</v>
      </c>
      <c r="K41" s="56">
        <v>1</v>
      </c>
      <c r="L41" s="56">
        <v>0</v>
      </c>
      <c r="M41" s="56">
        <v>1</v>
      </c>
      <c r="N41" s="10">
        <f>IF(K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1.3/MIN(Вес1.1,Вес1.3,Вес1.4,Вес1.5,Вес1.6,Вес1.7,Вес1.8,Вес1.9,Вес1.11,Вес1.12,Вес1.13,Вес1.14,Вес1.15,Вес1.16,Вес1.17,Вес1.18)),"")</f>
        <v>5.3191489361702127</v>
      </c>
      <c r="O41" s="10">
        <f>IF(N41="","не применяется",IF(K41=0,"не применяется",N41*M41/100))</f>
        <v>5.3191489361702128E-2</v>
      </c>
      <c r="P41" s="10">
        <f>IF(ISNUMBER(O41),O41,"")</f>
        <v>5.3191489361702128E-2</v>
      </c>
      <c r="Q41" s="56">
        <v>1</v>
      </c>
      <c r="R41" s="56">
        <v>100</v>
      </c>
      <c r="S41" s="56">
        <v>1</v>
      </c>
      <c r="T41" s="10">
        <f>IF(Q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1.4/MIN(Вес1.1,Вес1.3,Вес1.4,Вес1.5,Вес1.6,Вес1.7,Вес1.8,Вес1.9,Вес1.11,Вес1.12,Вес1.13,Вес1.14,Вес1.15,Вес1.16,Вес1.17,Вес1.18)),"")</f>
        <v>4.2553191489361701</v>
      </c>
      <c r="U41" s="10">
        <f>IF(T41="","не применяется",IF(Q41=0,"не применяется",S41*T41/100))</f>
        <v>4.2553191489361701E-2</v>
      </c>
      <c r="V41" s="10">
        <f>IF(ISNUMBER(U41),U41,"")</f>
        <v>4.2553191489361701E-2</v>
      </c>
      <c r="W41" s="56">
        <v>1</v>
      </c>
      <c r="X41" s="56">
        <v>8.2799999999999999E-2</v>
      </c>
      <c r="Y41" s="56">
        <v>1</v>
      </c>
      <c r="Z41" s="10">
        <f>IF(W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1.5/MIN(Вес1.1,Вес1.3,Вес1.4,Вес1.5,Вес1.6,Вес1.7,Вес1.8,Вес1.9,Вес1.11,Вес1.12,Вес1.13,Вес1.14,Вес1.15,Вес1.16,Вес1.17,Вес1.18)),"")</f>
        <v>7.4468085106382977</v>
      </c>
      <c r="AA41" s="10">
        <f>IF(Z41="","не применяется",IF(W41=0,"не применяется",Z41*Y41/100))</f>
        <v>7.4468085106382975E-2</v>
      </c>
      <c r="AB41" s="10">
        <f>IF(ISNUMBER(AA41),AA41,"")</f>
        <v>7.4468085106382975E-2</v>
      </c>
      <c r="AC41" s="56">
        <v>1</v>
      </c>
      <c r="AD41" s="56">
        <v>0</v>
      </c>
      <c r="AE41" s="56">
        <v>1</v>
      </c>
      <c r="AF41" s="10">
        <f>IF(AC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1.6/MIN(Вес1.1,Вес1.3,Вес1.4,Вес1.5,Вес1.6,Вес1.7,Вес1.8,Вес1.9,Вес1.11,Вес1.12,Вес1.13,Вес1.14,Вес1.15,Вес1.16,Вес1.17,Вес1.18)),"")</f>
        <v>7.4468085106382977</v>
      </c>
      <c r="AG41" s="10">
        <f>IF(AF41="","не применяется",IF(AC41=0,"не применяется",AF41*AE41/100))</f>
        <v>7.4468085106382975E-2</v>
      </c>
      <c r="AH41" s="10">
        <f>IF(ISNUMBER(AG41),AG41,"")</f>
        <v>7.4468085106382975E-2</v>
      </c>
      <c r="AI41" s="56">
        <v>1</v>
      </c>
      <c r="AJ41" s="56">
        <v>0</v>
      </c>
      <c r="AK41" s="56">
        <v>1</v>
      </c>
      <c r="AL41" s="10">
        <f>IF(AI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1.7/MIN(Вес1.1,Вес1.3,Вес1.4,Вес1.5,Вес1.6,Вес1.7,Вес1.8,Вес1.9,Вес1.11,Вес1.12,Вес1.13,Вес1.14,Вес1.15,Вес1.16,Вес1.17,Вес1.18)),"")</f>
        <v>7.4468085106382977</v>
      </c>
      <c r="AM41" s="10">
        <f>IF(AL41="","не применяется",IF(AI41=0,"не применяется",AL41*AK41/100))</f>
        <v>7.4468085106382975E-2</v>
      </c>
      <c r="AN41" s="10">
        <f>IF(ISNUMBER(AM41),AM41,"")</f>
        <v>7.4468085106382975E-2</v>
      </c>
      <c r="AO41" s="56">
        <v>1</v>
      </c>
      <c r="AP41" s="56">
        <v>22</v>
      </c>
      <c r="AQ41" s="56">
        <v>0</v>
      </c>
      <c r="AR41" s="10">
        <f>IF(AO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1.8/MIN(Вес1.1,Вес1.3,Вес1.4,Вес1.5,Вес1.6,Вес1.7,Вес1.8,Вес1.9,Вес1.11,Вес1.12,Вес1.13,Вес1.14,Вес1.15,Вес1.16,Вес1.17,Вес1.18)),"")</f>
        <v>7.4468085106382977</v>
      </c>
      <c r="AS41" s="10">
        <f>IF(AR41="","не применяется",IF(AO41=0,"не применяется",AR41*AQ41/100))</f>
        <v>0</v>
      </c>
      <c r="AT41" s="10">
        <f>IF(ISNUMBER(AS41),AS41,"")</f>
        <v>0</v>
      </c>
      <c r="AU41" s="56">
        <v>1</v>
      </c>
      <c r="AV41" s="56">
        <v>35.9114</v>
      </c>
      <c r="AW41" s="56">
        <v>1</v>
      </c>
      <c r="AX41" s="10">
        <f>IF(AU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1.9/MIN(Вес1.1,Вес1.3,Вес1.4,Вес1.5,Вес1.6,Вес1.7,Вес1.8,Вес1.9,Вес1.11,Вес1.12,Вес1.13,Вес1.14,Вес1.15,Вес1.16,Вес1.17,Вес1.18)),"")</f>
        <v>7.4468085106382977</v>
      </c>
      <c r="AY41" s="10">
        <f>IF(AX41="","не применяется",IF(AU41=0,"не применяется",AX41*AW41/100))</f>
        <v>7.4468085106382975E-2</v>
      </c>
      <c r="AZ41" s="10">
        <f>IF(ISNUMBER(AY41),AY41,"")</f>
        <v>7.4468085106382975E-2</v>
      </c>
      <c r="BA41" s="56">
        <v>1</v>
      </c>
      <c r="BB41" s="56">
        <v>130.48679999999999</v>
      </c>
      <c r="BC41" s="56">
        <v>1</v>
      </c>
      <c r="BD41" s="10">
        <f>IF(BA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1.11/MIN(Вес1.1,Вес1.3,Вес1.4,Вес1.5,Вес1.6,Вес1.7,Вес1.8,Вес1.9,Вес1.11,Вес1.12,Вес1.13,Вес1.14,Вес1.15,Вес1.16,Вес1.17,Вес1.18)),"")</f>
        <v>7.4468085106382977</v>
      </c>
      <c r="BE41" s="10">
        <f>IF(BD41="","не применяется",IF(BA41=0,"не применяется",BD41*BC41/100))</f>
        <v>7.4468085106382975E-2</v>
      </c>
      <c r="BF41" s="10">
        <f>IF(ISNUMBER(BE41),BE41,"")</f>
        <v>7.4468085106382975E-2</v>
      </c>
      <c r="BG41" s="56">
        <v>1</v>
      </c>
      <c r="BH41" s="56">
        <v>3.8100000000000002E-2</v>
      </c>
      <c r="BI41" s="56">
        <v>0.77429999999999999</v>
      </c>
      <c r="BJ41" s="10">
        <f>IF(BG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1.12/MIN(Вес1.1,Вес1.3,Вес1.4,Вес1.5,Вес1.6,Вес1.7,Вес1.8,Вес1.9,Вес1.11,Вес1.12,Вес1.13,Вес1.14,Вес1.15,Вес1.16,Вес1.17,Вес1.18)),"")</f>
        <v>6.3829787234042552</v>
      </c>
      <c r="BK41" s="10">
        <f>IF(BJ41="","не применяется",IF(BG41=0,"не применяется",BJ41*BI41/100))</f>
        <v>4.9423404255319145E-2</v>
      </c>
      <c r="BL41" s="10">
        <f>IF(ISNUMBER(BK41),BK41,"")</f>
        <v>4.9423404255319145E-2</v>
      </c>
      <c r="BM41" s="56">
        <v>1</v>
      </c>
      <c r="BN41" s="56">
        <v>98.853999999999999</v>
      </c>
      <c r="BO41" s="56">
        <v>1</v>
      </c>
      <c r="BP41" s="10">
        <f>IF(BM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1.13/MIN(Вес1.1,Вес1.3,Вес1.4,Вес1.5,Вес1.6,Вес1.7,Вес1.8,Вес1.9,Вес1.11,Вес1.12,Вес1.13,Вес1.14,Вес1.15,Вес1.16,Вес1.17,Вес1.18)),"")</f>
        <v>7.4468085106382977</v>
      </c>
      <c r="BQ41" s="10">
        <f>IF(BP41="","не применяется",IF(BM41=0,"не применяется",BP41*BO41/100))</f>
        <v>7.4468085106382975E-2</v>
      </c>
      <c r="BR41" s="10">
        <f>IF(ISNUMBER(BQ41),BQ41,"")</f>
        <v>7.4468085106382975E-2</v>
      </c>
      <c r="BS41" s="56">
        <v>1</v>
      </c>
      <c r="BT41" s="56">
        <v>1.15E-2</v>
      </c>
      <c r="BU41" s="56">
        <v>1</v>
      </c>
      <c r="BV41" s="10">
        <f>IF(BS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1.14/MIN(Вес1.1,Вес1.3,Вес1.4,Вес1.5,Вес1.6,Вес1.7,Вес1.8,Вес1.9,Вес1.11,Вес1.12,Вес1.13,Вес1.14,Вес1.15,Вес1.16,Вес1.17,Вес1.18)),"")</f>
        <v>6.3829787234042552</v>
      </c>
      <c r="BW41" s="10">
        <f>IF(BV41="","не применяется",IF(BS41=0,"не применяется",BV41*BU41/100))</f>
        <v>6.3829787234042548E-2</v>
      </c>
      <c r="BX41" s="10">
        <f>IF(ISNUMBER(BW41),BW41,"")</f>
        <v>6.3829787234042548E-2</v>
      </c>
      <c r="BY41" s="56">
        <v>1</v>
      </c>
      <c r="BZ41" s="56">
        <v>0.27860000000000001</v>
      </c>
      <c r="CA41" s="56">
        <v>0.50160000000000005</v>
      </c>
      <c r="CB41" s="10">
        <f>IF(BY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1.15/MIN(Вес1.1,Вес1.3,Вес1.4,Вес1.5,Вес1.6,Вес1.7,Вес1.8,Вес1.9,Вес1.11,Вес1.12,Вес1.13,Вес1.14,Вес1.15,Вес1.16,Вес1.17,Вес1.18)),"")</f>
        <v>6.3829787234042552</v>
      </c>
      <c r="CC41" s="10">
        <f>IF(CB41="","не применяется",IF(BY41=0,"не применяется",CB41*CA41/100))</f>
        <v>3.2017021276595746E-2</v>
      </c>
      <c r="CD41" s="10">
        <f>IF(ISNUMBER(CC41),CC41,"")</f>
        <v>3.2017021276595746E-2</v>
      </c>
      <c r="CE41" s="56">
        <v>1</v>
      </c>
      <c r="CF41" s="56">
        <v>0</v>
      </c>
      <c r="CG41" s="56">
        <v>1</v>
      </c>
      <c r="CH41" s="10">
        <f>IF(CE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1.16/MIN(Вес1.1,Вес1.3,Вес1.4,Вес1.5,Вес1.6,Вес1.7,Вес1.8,Вес1.9,Вес1.11,Вес1.12,Вес1.13,Вес1.14,Вес1.15,Вес1.16,Вес1.17,Вес1.18)),"")</f>
        <v>7.4468085106382977</v>
      </c>
      <c r="CI41" s="10">
        <f>IF(CH41="","не применяется",IF(CE41=0,"не применяется",CH41*CG41/100))</f>
        <v>7.4468085106382975E-2</v>
      </c>
      <c r="CJ41" s="10">
        <f>IF(ISNUMBER(CI41),CI41,"")</f>
        <v>7.4468085106382975E-2</v>
      </c>
      <c r="CK41" s="56">
        <v>0</v>
      </c>
      <c r="CL41" s="56">
        <v>0</v>
      </c>
      <c r="CM41" s="56">
        <v>0</v>
      </c>
      <c r="CN41" s="10" t="str">
        <f>IF(CK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1.17/MIN(Вес1.1,Вес1.3,Вес1.4,Вес1.5,Вес1.6,Вес1.7,Вес1.8,Вес1.9,Вес1.11,Вес1.12,Вес1.13,Вес1.14,Вес1.15,Вес1.16,Вес1.17,Вес1.18)),"")</f>
        <v/>
      </c>
      <c r="CO41" s="10" t="str">
        <f>IF(CN41="","не применяется",IF(CK41=0,"не применяется",CN41*CM41/100))</f>
        <v>не применяется</v>
      </c>
      <c r="CP41" s="10" t="str">
        <f>IF(ISNUMBER(CO41),CO41,"")</f>
        <v/>
      </c>
      <c r="CQ41" s="56">
        <v>1</v>
      </c>
      <c r="CR41" s="56">
        <v>100</v>
      </c>
      <c r="CS41" s="56">
        <v>0.5</v>
      </c>
      <c r="CT41" s="10">
        <f>IF(CQ41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41*Вес1.18/MIN(Вес1.1,Вес1.3,Вес1.4,Вес1.5,Вес1.6,Вес1.7,Вес1.8,Вес1.9,Вес1.11,Вес1.12,Вес1.13,Вес1.14,Вес1.15,Вес1.16,Вес1.17,Вес1.18)),"")</f>
        <v>6.3829787234042552</v>
      </c>
      <c r="CU41" s="10">
        <f>IF(CT41="","не применяется",IF(CQ41=0,"не применяется",CT41*CS41/100))</f>
        <v>3.1914893617021274E-2</v>
      </c>
      <c r="CV41" s="10">
        <f>IF(ISNUMBER(CU41),CU41,"")</f>
        <v>3.1914893617021274E-2</v>
      </c>
      <c r="CW41" s="10">
        <f>IF(E41=1,Вес1.1/MIN(Вес1.1,Вес1.3,Вес1.4,Вес1.5,Вес1.6,Вес1.7,Вес1.8,Вес1.9,Вес1.11,Вес1.12,Вес1.13,Вес1.14,Вес1.15,Вес1.16,Вес1.17,Вес1.18),"")</f>
        <v>1.25</v>
      </c>
      <c r="CX41" s="10">
        <f>IF(K41=1,Вес1.3/MIN(Вес1.1,Вес1.3,Вес1.4,Вес1.5,Вес1.6,Вес1.7,Вес1.8,Вес1.9,Вес1.11,Вес1.12,Вес1.13,Вес1.14,Вес1.15,Вес1.16,Вес1.17,Вес1.18),"")</f>
        <v>1.25</v>
      </c>
      <c r="CY41" s="10">
        <f>IF(Q41=1,Вес1.4/MIN(Вес1.1,Вес1.3,Вес1.4,Вес1.5,Вес1.6,Вес1.7,Вес1.8,Вес1.9,Вес1.11,Вес1.12,Вес1.13,Вес1.14,Вес1.15,Вес1.16,Вес1.17,Вес1.18),"")</f>
        <v>1</v>
      </c>
      <c r="CZ41" s="10">
        <f>IF(W41=1,Вес1.5/MIN(Вес1.1,Вес1.3,Вес1.4,Вес1.5,Вес1.6,Вес1.7,Вес1.8,Вес1.9,Вес1.11,Вес1.12,Вес1.13,Вес1.14,Вес1.15,Вес1.16,Вес1.17,Вес1.18),"")</f>
        <v>1.75</v>
      </c>
      <c r="DA41" s="10">
        <f>IF(AC41=1,Вес1.6/MIN(Вес1.6,Вес1.3,Вес1.4,Вес1.5,Вес1.6,Вес1.7,Вес1.8,Вес1.9,Вес1.11,Вес1.12,Вес1.13,Вес1.14,Вес1.15,Вес1.16,Вес1.17,Вес1.18),"")</f>
        <v>1.75</v>
      </c>
      <c r="DB41" s="10">
        <f>IF(AI41=1,Вес1.7/MIN(Вес1.1,Вес1.3,Вес1.4,Вес1.5,Вес1.6,Вес1.7,Вес1.8,Вес1.9,Вес1.11,Вес1.12,Вес1.13,Вес1.14,Вес1.15,Вес1.16,Вес1.17,Вес1.18),"")</f>
        <v>1.75</v>
      </c>
      <c r="DC41" s="10">
        <f>IF(AO41=1,Вес1.8/MIN(Вес1.1,Вес1.3,Вес1.4,Вес1.5,Вес1.6,Вес1.7,Вес1.8,Вес1.9,Вес1.11,Вес1.12,Вес1.13,Вес1.14,Вес1.15,Вес1.16,Вес1.17,Вес1.18),"")</f>
        <v>1.75</v>
      </c>
      <c r="DD41" s="10">
        <f>IF(AU41=1,Вес1.9/MIN(Вес1.1,Вес1.3,Вес1.4,Вес1.5,Вес1.6,Вес1.7,Вес1.8,Вес1.9,Вес1.11,Вес1.12,Вес1.13,Вес1.14,Вес1.15,Вес1.16,Вес1.17,Вес1.18),"")</f>
        <v>1.75</v>
      </c>
      <c r="DE41" s="10">
        <f>IF(BA41=1,Вес1.11/MIN(Вес1.1,Вес1.3,Вес1.4,Вес1.5,Вес1.6,Вес1.7,Вес1.8,Вес1.9,Вес1.11,Вес1.12,Вес1.13,Вес1.14,Вес1.15,Вес1.16,Вес1.17,Вес1.18),"")</f>
        <v>1.75</v>
      </c>
      <c r="DF41" s="10">
        <f>IF(BG41=1,Вес1.12/MIN(Вес1.1,Вес1.3,Вес1.4,Вес1.5,Вес1.6,Вес1.7,Вес1.8,Вес1.9,Вес1.11,Вес1.12,Вес1.13,Вес1.14,Вес1.15,Вес1.16,Вес1.17,Вес1.18),"")</f>
        <v>1.5</v>
      </c>
      <c r="DG41" s="10">
        <f>IF(BM41=1,Вес1.13/MIN(Вес1.1,Вес1.3,Вес1.4,Вес1.5,Вес1.6,Вес1.7,Вес1.8,Вес1.9,Вес1.11,Вес1.12,Вес1.13,Вес1.14,Вес1.15,Вес1.16,Вес1.17,Вес1.18),"")</f>
        <v>1.75</v>
      </c>
      <c r="DH41" s="10">
        <f>IF(BS41=1,Вес1.14/MIN(Вес1.1,Вес1.3,Вес1.4,Вес1.5,Вес1.6,Вес1.7,Вес1.8,Вес1.9,Вес1.11,Вес1.12,Вес1.13,Вес1.14,Вес1.15,Вес1.16,Вес1.17,Вес1.18),"")</f>
        <v>1.5</v>
      </c>
      <c r="DI41" s="10">
        <f>IF(BY41=1,Вес1.15/MIN(Вес1.1,Вес1.3,Вес1.4,Вес1.5,Вес1.6,Вес1.7,Вес1.8,Вес1.9,Вес1.11,Вес1.12,Вес1.13,Вес1.14,Вес1.15,Вес1.16,Вес1.17,Вес1.18),"")</f>
        <v>1.5</v>
      </c>
      <c r="DJ41" s="10">
        <f>IF(CE41=1,Вес1.16/MIN(Вес1.1,Вес1.3,Вес1.4,Вес1.5,Вес1.6,Вес1.7,Вес1.8,Вес1.9,Вес1.11,Вес1.12,Вес1.13,Вес1.14,Вес1.15,Вес1.16,Вес1.17,Вес1.18),"")</f>
        <v>1.75</v>
      </c>
      <c r="DK41" s="10" t="str">
        <f>IF(CK41=1,Вес1.17/MIN(Вес1.1,Вес1.3,Вес1.4,Вес1.5,Вес1.6,Вес1.7,Вес1.8,Вес1.9,Вес1.11,Вес1.12,Вес1.13,Вес1.14,Вес1.15,Вес1.16,Вес1.17,Вес1.18),"")</f>
        <v/>
      </c>
      <c r="DL41" s="10">
        <f>IF(CQ41=1,Вес1.18/MIN(Вес1.1,Вес1.3,Вес1.4,Вес1.5,Вес1.6,Вес1.7,Вес1.8,Вес1.9,Вес1.11,Вес1.12,Вес1.13,Вес1.14,Вес1.15,Вес1.16,Вес1.17,Вес1.18),"")</f>
        <v>1.5</v>
      </c>
      <c r="DM41" s="10">
        <f>SUM(CW41:DL41)</f>
        <v>23.5</v>
      </c>
    </row>
    <row r="42" spans="1:117" ht="25.5" x14ac:dyDescent="0.2">
      <c r="A42" s="1" t="s">
        <v>114</v>
      </c>
      <c r="B42" s="9" t="s">
        <v>32</v>
      </c>
      <c r="C42" s="10">
        <f>IF(D42&lt;&gt;1,"",SUM(J42,P42,V42,AB42,AH42,AN42,AT42,AZ42,BF42,BL42,BR42,BX42,CD42,CJ42,CP42,CV42))</f>
        <v>0.87932127659574455</v>
      </c>
      <c r="D42" s="10">
        <f>IF(SUM(E42,K42,Q42,W42,AC42,AI42,AO42,AU42,BA42,BG42,BM42,BS42,BY42,CE42,CK42,CQ42)=0,0,1)</f>
        <v>1</v>
      </c>
      <c r="E42" s="56">
        <v>1</v>
      </c>
      <c r="F42" s="56">
        <v>4.8780000000000001</v>
      </c>
      <c r="G42" s="56">
        <v>0.95120000000000005</v>
      </c>
      <c r="H42" s="10">
        <f>IF(E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1.1/MIN(Вес1.1,Вес1.3,Вес1.4,Вес1.5,Вес1.6,Вес1.7,Вес1.8,Вес1.9,Вес1.11,Вес1.12,Вес1.13,Вес1.14,Вес1.15,Вес1.16,Вес1.17,Вес1.18)),"")</f>
        <v>5.3191489361702127</v>
      </c>
      <c r="I42" s="10">
        <f>IF(H42="","не применяется",IF(E42=0,"не применяется",H42*G42/100))</f>
        <v>5.0595744680851061E-2</v>
      </c>
      <c r="J42" s="10">
        <f>IF(ISNUMBER(I42),I42,"")</f>
        <v>5.0595744680851061E-2</v>
      </c>
      <c r="K42" s="56">
        <v>1</v>
      </c>
      <c r="L42" s="56">
        <v>0</v>
      </c>
      <c r="M42" s="56">
        <v>1</v>
      </c>
      <c r="N42" s="10">
        <f>IF(K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1.3/MIN(Вес1.1,Вес1.3,Вес1.4,Вес1.5,Вес1.6,Вес1.7,Вес1.8,Вес1.9,Вес1.11,Вес1.12,Вес1.13,Вес1.14,Вес1.15,Вес1.16,Вес1.17,Вес1.18)),"")</f>
        <v>5.3191489361702127</v>
      </c>
      <c r="O42" s="10">
        <f>IF(N42="","не применяется",IF(K42=0,"не применяется",N42*M42/100))</f>
        <v>5.3191489361702128E-2</v>
      </c>
      <c r="P42" s="10">
        <f>IF(ISNUMBER(O42),O42,"")</f>
        <v>5.3191489361702128E-2</v>
      </c>
      <c r="Q42" s="56">
        <v>1</v>
      </c>
      <c r="R42" s="56">
        <v>100</v>
      </c>
      <c r="S42" s="56">
        <v>1</v>
      </c>
      <c r="T42" s="10">
        <f>IF(Q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1.4/MIN(Вес1.1,Вес1.3,Вес1.4,Вес1.5,Вес1.6,Вес1.7,Вес1.8,Вес1.9,Вес1.11,Вес1.12,Вес1.13,Вес1.14,Вес1.15,Вес1.16,Вес1.17,Вес1.18)),"")</f>
        <v>4.2553191489361701</v>
      </c>
      <c r="U42" s="10">
        <f>IF(T42="","не применяется",IF(Q42=0,"не применяется",S42*T42/100))</f>
        <v>4.2553191489361701E-2</v>
      </c>
      <c r="V42" s="10">
        <f>IF(ISNUMBER(U42),U42,"")</f>
        <v>4.2553191489361701E-2</v>
      </c>
      <c r="W42" s="56">
        <v>1</v>
      </c>
      <c r="X42" s="56">
        <v>6.2600000000000003E-2</v>
      </c>
      <c r="Y42" s="56">
        <v>1</v>
      </c>
      <c r="Z42" s="10">
        <f>IF(W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1.5/MIN(Вес1.1,Вес1.3,Вес1.4,Вес1.5,Вес1.6,Вес1.7,Вес1.8,Вес1.9,Вес1.11,Вес1.12,Вес1.13,Вес1.14,Вес1.15,Вес1.16,Вес1.17,Вес1.18)),"")</f>
        <v>7.4468085106382977</v>
      </c>
      <c r="AA42" s="10">
        <f>IF(Z42="","не применяется",IF(W42=0,"не применяется",Z42*Y42/100))</f>
        <v>7.4468085106382975E-2</v>
      </c>
      <c r="AB42" s="10">
        <f>IF(ISNUMBER(AA42),AA42,"")</f>
        <v>7.4468085106382975E-2</v>
      </c>
      <c r="AC42" s="56">
        <v>1</v>
      </c>
      <c r="AD42" s="56">
        <v>0</v>
      </c>
      <c r="AE42" s="56">
        <v>1</v>
      </c>
      <c r="AF42" s="10">
        <f>IF(AC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1.6/MIN(Вес1.1,Вес1.3,Вес1.4,Вес1.5,Вес1.6,Вес1.7,Вес1.8,Вес1.9,Вес1.11,Вес1.12,Вес1.13,Вес1.14,Вес1.15,Вес1.16,Вес1.17,Вес1.18)),"")</f>
        <v>7.4468085106382977</v>
      </c>
      <c r="AG42" s="10">
        <f>IF(AF42="","не применяется",IF(AC42=0,"не применяется",AF42*AE42/100))</f>
        <v>7.4468085106382975E-2</v>
      </c>
      <c r="AH42" s="10">
        <f>IF(ISNUMBER(AG42),AG42,"")</f>
        <v>7.4468085106382975E-2</v>
      </c>
      <c r="AI42" s="56">
        <v>1</v>
      </c>
      <c r="AJ42" s="56">
        <v>0</v>
      </c>
      <c r="AK42" s="56">
        <v>1</v>
      </c>
      <c r="AL42" s="10">
        <f>IF(AI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1.7/MIN(Вес1.1,Вес1.3,Вес1.4,Вес1.5,Вес1.6,Вес1.7,Вес1.8,Вес1.9,Вес1.11,Вес1.12,Вес1.13,Вес1.14,Вес1.15,Вес1.16,Вес1.17,Вес1.18)),"")</f>
        <v>7.4468085106382977</v>
      </c>
      <c r="AM42" s="10">
        <f>IF(AL42="","не применяется",IF(AI42=0,"не применяется",AL42*AK42/100))</f>
        <v>7.4468085106382975E-2</v>
      </c>
      <c r="AN42" s="10">
        <f>IF(ISNUMBER(AM42),AM42,"")</f>
        <v>7.4468085106382975E-2</v>
      </c>
      <c r="AO42" s="56">
        <v>1</v>
      </c>
      <c r="AP42" s="56">
        <v>36</v>
      </c>
      <c r="AQ42" s="56">
        <v>0</v>
      </c>
      <c r="AR42" s="10">
        <f>IF(AO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1.8/MIN(Вес1.1,Вес1.3,Вес1.4,Вес1.5,Вес1.6,Вес1.7,Вес1.8,Вес1.9,Вес1.11,Вес1.12,Вес1.13,Вес1.14,Вес1.15,Вес1.16,Вес1.17,Вес1.18)),"")</f>
        <v>7.4468085106382977</v>
      </c>
      <c r="AS42" s="10">
        <f>IF(AR42="","не применяется",IF(AO42=0,"не применяется",AR42*AQ42/100))</f>
        <v>0</v>
      </c>
      <c r="AT42" s="10">
        <f>IF(ISNUMBER(AS42),AS42,"")</f>
        <v>0</v>
      </c>
      <c r="AU42" s="56">
        <v>1</v>
      </c>
      <c r="AV42" s="56">
        <v>39.187399999999997</v>
      </c>
      <c r="AW42" s="56">
        <v>1</v>
      </c>
      <c r="AX42" s="10">
        <f>IF(AU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1.9/MIN(Вес1.1,Вес1.3,Вес1.4,Вес1.5,Вес1.6,Вес1.7,Вес1.8,Вес1.9,Вес1.11,Вес1.12,Вес1.13,Вес1.14,Вес1.15,Вес1.16,Вес1.17,Вес1.18)),"")</f>
        <v>7.4468085106382977</v>
      </c>
      <c r="AY42" s="10">
        <f>IF(AX42="","не применяется",IF(AU42=0,"не применяется",AX42*AW42/100))</f>
        <v>7.4468085106382975E-2</v>
      </c>
      <c r="AZ42" s="10">
        <f>IF(ISNUMBER(AY42),AY42,"")</f>
        <v>7.4468085106382975E-2</v>
      </c>
      <c r="BA42" s="56">
        <v>1</v>
      </c>
      <c r="BB42" s="56">
        <v>124.93129999999999</v>
      </c>
      <c r="BC42" s="56">
        <v>1</v>
      </c>
      <c r="BD42" s="10">
        <f>IF(BA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1.11/MIN(Вес1.1,Вес1.3,Вес1.4,Вес1.5,Вес1.6,Вес1.7,Вес1.8,Вес1.9,Вес1.11,Вес1.12,Вес1.13,Вес1.14,Вес1.15,Вес1.16,Вес1.17,Вес1.18)),"")</f>
        <v>7.4468085106382977</v>
      </c>
      <c r="BE42" s="10">
        <f>IF(BD42="","не применяется",IF(BA42=0,"не применяется",BD42*BC42/100))</f>
        <v>7.4468085106382975E-2</v>
      </c>
      <c r="BF42" s="10">
        <f>IF(ISNUMBER(BE42),BE42,"")</f>
        <v>7.4468085106382975E-2</v>
      </c>
      <c r="BG42" s="56">
        <v>1</v>
      </c>
      <c r="BH42" s="56">
        <v>1.4999999999999999E-2</v>
      </c>
      <c r="BI42" s="56">
        <v>1</v>
      </c>
      <c r="BJ42" s="10">
        <f>IF(BG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1.12/MIN(Вес1.1,Вес1.3,Вес1.4,Вес1.5,Вес1.6,Вес1.7,Вес1.8,Вес1.9,Вес1.11,Вес1.12,Вес1.13,Вес1.14,Вес1.15,Вес1.16,Вес1.17,Вес1.18)),"")</f>
        <v>6.3829787234042552</v>
      </c>
      <c r="BK42" s="10">
        <f>IF(BJ42="","не применяется",IF(BG42=0,"не применяется",BJ42*BI42/100))</f>
        <v>6.3829787234042548E-2</v>
      </c>
      <c r="BL42" s="10">
        <f>IF(ISNUMBER(BK42),BK42,"")</f>
        <v>6.3829787234042548E-2</v>
      </c>
      <c r="BM42" s="56">
        <v>1</v>
      </c>
      <c r="BN42" s="56">
        <v>97.833299999999994</v>
      </c>
      <c r="BO42" s="56">
        <v>1</v>
      </c>
      <c r="BP42" s="10">
        <f>IF(BM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1.13/MIN(Вес1.1,Вес1.3,Вес1.4,Вес1.5,Вес1.6,Вес1.7,Вес1.8,Вес1.9,Вес1.11,Вес1.12,Вес1.13,Вес1.14,Вес1.15,Вес1.16,Вес1.17,Вес1.18)),"")</f>
        <v>7.4468085106382977</v>
      </c>
      <c r="BQ42" s="10">
        <f>IF(BP42="","не применяется",IF(BM42=0,"не применяется",BP42*BO42/100))</f>
        <v>7.4468085106382975E-2</v>
      </c>
      <c r="BR42" s="10">
        <f>IF(ISNUMBER(BQ42),BQ42,"")</f>
        <v>7.4468085106382975E-2</v>
      </c>
      <c r="BS42" s="56">
        <v>1</v>
      </c>
      <c r="BT42" s="56">
        <v>2.1700000000000001E-2</v>
      </c>
      <c r="BU42" s="56">
        <v>1</v>
      </c>
      <c r="BV42" s="10">
        <f>IF(BS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1.14/MIN(Вес1.1,Вес1.3,Вес1.4,Вес1.5,Вес1.6,Вес1.7,Вес1.8,Вес1.9,Вес1.11,Вес1.12,Вес1.13,Вес1.14,Вес1.15,Вес1.16,Вес1.17,Вес1.18)),"")</f>
        <v>6.3829787234042552</v>
      </c>
      <c r="BW42" s="10">
        <f>IF(BV42="","не применяется",IF(BS42=0,"не применяется",BV42*BU42/100))</f>
        <v>6.3829787234042548E-2</v>
      </c>
      <c r="BX42" s="10">
        <f>IF(ISNUMBER(BW42),BW42,"")</f>
        <v>6.3829787234042548E-2</v>
      </c>
      <c r="BY42" s="56">
        <v>1</v>
      </c>
      <c r="BZ42" s="56">
        <v>0.46389999999999998</v>
      </c>
      <c r="CA42" s="56">
        <v>0.31669999999999998</v>
      </c>
      <c r="CB42" s="10">
        <f>IF(BY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1.15/MIN(Вес1.1,Вес1.3,Вес1.4,Вес1.5,Вес1.6,Вес1.7,Вес1.8,Вес1.9,Вес1.11,Вес1.12,Вес1.13,Вес1.14,Вес1.15,Вес1.16,Вес1.17,Вес1.18)),"")</f>
        <v>6.3829787234042552</v>
      </c>
      <c r="CC42" s="10">
        <f>IF(CB42="","не применяется",IF(BY42=0,"не применяется",CB42*CA42/100))</f>
        <v>2.0214893617021275E-2</v>
      </c>
      <c r="CD42" s="10">
        <f>IF(ISNUMBER(CC42),CC42,"")</f>
        <v>2.0214893617021275E-2</v>
      </c>
      <c r="CE42" s="56">
        <v>1</v>
      </c>
      <c r="CF42" s="56">
        <v>0</v>
      </c>
      <c r="CG42" s="56">
        <v>1</v>
      </c>
      <c r="CH42" s="10">
        <f>IF(CE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1.16/MIN(Вес1.1,Вес1.3,Вес1.4,Вес1.5,Вес1.6,Вес1.7,Вес1.8,Вес1.9,Вес1.11,Вес1.12,Вес1.13,Вес1.14,Вес1.15,Вес1.16,Вес1.17,Вес1.18)),"")</f>
        <v>7.4468085106382977</v>
      </c>
      <c r="CI42" s="10">
        <f>IF(CH42="","не применяется",IF(CE42=0,"не применяется",CH42*CG42/100))</f>
        <v>7.4468085106382975E-2</v>
      </c>
      <c r="CJ42" s="10">
        <f>IF(ISNUMBER(CI42),CI42,"")</f>
        <v>7.4468085106382975E-2</v>
      </c>
      <c r="CK42" s="56">
        <v>0</v>
      </c>
      <c r="CL42" s="56">
        <v>0</v>
      </c>
      <c r="CM42" s="56">
        <v>0</v>
      </c>
      <c r="CN42" s="10" t="str">
        <f>IF(CK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1.17/MIN(Вес1.1,Вес1.3,Вес1.4,Вес1.5,Вес1.6,Вес1.7,Вес1.8,Вес1.9,Вес1.11,Вес1.12,Вес1.13,Вес1.14,Вес1.15,Вес1.16,Вес1.17,Вес1.18)),"")</f>
        <v/>
      </c>
      <c r="CO42" s="10" t="str">
        <f>IF(CN42="","не применяется",IF(CK42=0,"не применяется",CN42*CM42/100))</f>
        <v>не применяется</v>
      </c>
      <c r="CP42" s="10" t="str">
        <f>IF(ISNUMBER(CO42),CO42,"")</f>
        <v/>
      </c>
      <c r="CQ42" s="56">
        <v>1</v>
      </c>
      <c r="CR42" s="56">
        <v>0</v>
      </c>
      <c r="CS42" s="56">
        <v>1</v>
      </c>
      <c r="CT42" s="10">
        <f>IF(CQ42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42*Вес1.18/MIN(Вес1.1,Вес1.3,Вес1.4,Вес1.5,Вес1.6,Вес1.7,Вес1.8,Вес1.9,Вес1.11,Вес1.12,Вес1.13,Вес1.14,Вес1.15,Вес1.16,Вес1.17,Вес1.18)),"")</f>
        <v>6.3829787234042552</v>
      </c>
      <c r="CU42" s="10">
        <f>IF(CT42="","не применяется",IF(CQ42=0,"не применяется",CT42*CS42/100))</f>
        <v>6.3829787234042548E-2</v>
      </c>
      <c r="CV42" s="10">
        <f>IF(ISNUMBER(CU42),CU42,"")</f>
        <v>6.3829787234042548E-2</v>
      </c>
      <c r="CW42" s="10">
        <f>IF(E42=1,Вес1.1/MIN(Вес1.1,Вес1.3,Вес1.4,Вес1.5,Вес1.6,Вес1.7,Вес1.8,Вес1.9,Вес1.11,Вес1.12,Вес1.13,Вес1.14,Вес1.15,Вес1.16,Вес1.17,Вес1.18),"")</f>
        <v>1.25</v>
      </c>
      <c r="CX42" s="10">
        <f>IF(K42=1,Вес1.3/MIN(Вес1.1,Вес1.3,Вес1.4,Вес1.5,Вес1.6,Вес1.7,Вес1.8,Вес1.9,Вес1.11,Вес1.12,Вес1.13,Вес1.14,Вес1.15,Вес1.16,Вес1.17,Вес1.18),"")</f>
        <v>1.25</v>
      </c>
      <c r="CY42" s="10">
        <f>IF(Q42=1,Вес1.4/MIN(Вес1.1,Вес1.3,Вес1.4,Вес1.5,Вес1.6,Вес1.7,Вес1.8,Вес1.9,Вес1.11,Вес1.12,Вес1.13,Вес1.14,Вес1.15,Вес1.16,Вес1.17,Вес1.18),"")</f>
        <v>1</v>
      </c>
      <c r="CZ42" s="10">
        <f>IF(W42=1,Вес1.5/MIN(Вес1.1,Вес1.3,Вес1.4,Вес1.5,Вес1.6,Вес1.7,Вес1.8,Вес1.9,Вес1.11,Вес1.12,Вес1.13,Вес1.14,Вес1.15,Вес1.16,Вес1.17,Вес1.18),"")</f>
        <v>1.75</v>
      </c>
      <c r="DA42" s="10">
        <f>IF(AC42=1,Вес1.6/MIN(Вес1.6,Вес1.3,Вес1.4,Вес1.5,Вес1.6,Вес1.7,Вес1.8,Вес1.9,Вес1.11,Вес1.12,Вес1.13,Вес1.14,Вес1.15,Вес1.16,Вес1.17,Вес1.18),"")</f>
        <v>1.75</v>
      </c>
      <c r="DB42" s="10">
        <f>IF(AI42=1,Вес1.7/MIN(Вес1.1,Вес1.3,Вес1.4,Вес1.5,Вес1.6,Вес1.7,Вес1.8,Вес1.9,Вес1.11,Вес1.12,Вес1.13,Вес1.14,Вес1.15,Вес1.16,Вес1.17,Вес1.18),"")</f>
        <v>1.75</v>
      </c>
      <c r="DC42" s="10">
        <f>IF(AO42=1,Вес1.8/MIN(Вес1.1,Вес1.3,Вес1.4,Вес1.5,Вес1.6,Вес1.7,Вес1.8,Вес1.9,Вес1.11,Вес1.12,Вес1.13,Вес1.14,Вес1.15,Вес1.16,Вес1.17,Вес1.18),"")</f>
        <v>1.75</v>
      </c>
      <c r="DD42" s="10">
        <f>IF(AU42=1,Вес1.9/MIN(Вес1.1,Вес1.3,Вес1.4,Вес1.5,Вес1.6,Вес1.7,Вес1.8,Вес1.9,Вес1.11,Вес1.12,Вес1.13,Вес1.14,Вес1.15,Вес1.16,Вес1.17,Вес1.18),"")</f>
        <v>1.75</v>
      </c>
      <c r="DE42" s="10">
        <f>IF(BA42=1,Вес1.11/MIN(Вес1.1,Вес1.3,Вес1.4,Вес1.5,Вес1.6,Вес1.7,Вес1.8,Вес1.9,Вес1.11,Вес1.12,Вес1.13,Вес1.14,Вес1.15,Вес1.16,Вес1.17,Вес1.18),"")</f>
        <v>1.75</v>
      </c>
      <c r="DF42" s="10">
        <f>IF(BG42=1,Вес1.12/MIN(Вес1.1,Вес1.3,Вес1.4,Вес1.5,Вес1.6,Вес1.7,Вес1.8,Вес1.9,Вес1.11,Вес1.12,Вес1.13,Вес1.14,Вес1.15,Вес1.16,Вес1.17,Вес1.18),"")</f>
        <v>1.5</v>
      </c>
      <c r="DG42" s="10">
        <f>IF(BM42=1,Вес1.13/MIN(Вес1.1,Вес1.3,Вес1.4,Вес1.5,Вес1.6,Вес1.7,Вес1.8,Вес1.9,Вес1.11,Вес1.12,Вес1.13,Вес1.14,Вес1.15,Вес1.16,Вес1.17,Вес1.18),"")</f>
        <v>1.75</v>
      </c>
      <c r="DH42" s="10">
        <f>IF(BS42=1,Вес1.14/MIN(Вес1.1,Вес1.3,Вес1.4,Вес1.5,Вес1.6,Вес1.7,Вес1.8,Вес1.9,Вес1.11,Вес1.12,Вес1.13,Вес1.14,Вес1.15,Вес1.16,Вес1.17,Вес1.18),"")</f>
        <v>1.5</v>
      </c>
      <c r="DI42" s="10">
        <f>IF(BY42=1,Вес1.15/MIN(Вес1.1,Вес1.3,Вес1.4,Вес1.5,Вес1.6,Вес1.7,Вес1.8,Вес1.9,Вес1.11,Вес1.12,Вес1.13,Вес1.14,Вес1.15,Вес1.16,Вес1.17,Вес1.18),"")</f>
        <v>1.5</v>
      </c>
      <c r="DJ42" s="10">
        <f>IF(CE42=1,Вес1.16/MIN(Вес1.1,Вес1.3,Вес1.4,Вес1.5,Вес1.6,Вес1.7,Вес1.8,Вес1.9,Вес1.11,Вес1.12,Вес1.13,Вес1.14,Вес1.15,Вес1.16,Вес1.17,Вес1.18),"")</f>
        <v>1.75</v>
      </c>
      <c r="DK42" s="10" t="str">
        <f>IF(CK42=1,Вес1.17/MIN(Вес1.1,Вес1.3,Вес1.4,Вес1.5,Вес1.6,Вес1.7,Вес1.8,Вес1.9,Вес1.11,Вес1.12,Вес1.13,Вес1.14,Вес1.15,Вес1.16,Вес1.17,Вес1.18),"")</f>
        <v/>
      </c>
      <c r="DL42" s="10">
        <f>IF(CQ42=1,Вес1.18/MIN(Вес1.1,Вес1.3,Вес1.4,Вес1.5,Вес1.6,Вес1.7,Вес1.8,Вес1.9,Вес1.11,Вес1.12,Вес1.13,Вес1.14,Вес1.15,Вес1.16,Вес1.17,Вес1.18),"")</f>
        <v>1.5</v>
      </c>
      <c r="DM42" s="10">
        <f>SUM(CW42:DL42)</f>
        <v>23.5</v>
      </c>
    </row>
    <row r="43" spans="1:117" ht="38.25" x14ac:dyDescent="0.2">
      <c r="A43" s="1" t="s">
        <v>115</v>
      </c>
      <c r="B43" s="9" t="s">
        <v>33</v>
      </c>
      <c r="C43" s="10">
        <f>IF(D43&lt;&gt;1,"",SUM(J43,P43,V43,AB43,AH43,AN43,AT43,AZ43,BF43,BL43,BR43,BX43,CD43,CJ43,CP43,CV43))</f>
        <v>0.7135800000000001</v>
      </c>
      <c r="D43" s="10">
        <f>IF(SUM(E43,K43,Q43,W43,AC43,AI43,AO43,AU43,BA43,BG43,BM43,BS43,BY43,CE43,CK43,CQ43)=0,0,1)</f>
        <v>1</v>
      </c>
      <c r="E43" s="56">
        <v>1</v>
      </c>
      <c r="F43" s="56">
        <v>0</v>
      </c>
      <c r="G43" s="56">
        <v>1</v>
      </c>
      <c r="H43" s="10">
        <f>IF(E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1.1/MIN(Вес1.1,Вес1.3,Вес1.4,Вес1.5,Вес1.6,Вес1.7,Вес1.8,Вес1.9,Вес1.11,Вес1.12,Вес1.13,Вес1.14,Вес1.15,Вес1.16,Вес1.17,Вес1.18)),"")</f>
        <v>5</v>
      </c>
      <c r="I43" s="10">
        <f>IF(H43="","не применяется",IF(E43=0,"не применяется",H43*G43/100))</f>
        <v>0.05</v>
      </c>
      <c r="J43" s="10">
        <f>IF(ISNUMBER(I43),I43,"")</f>
        <v>0.05</v>
      </c>
      <c r="K43" s="56">
        <v>1</v>
      </c>
      <c r="L43" s="56">
        <v>0</v>
      </c>
      <c r="M43" s="56">
        <v>1</v>
      </c>
      <c r="N43" s="10">
        <f>IF(K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1.3/MIN(Вес1.1,Вес1.3,Вес1.4,Вес1.5,Вес1.6,Вес1.7,Вес1.8,Вес1.9,Вес1.11,Вес1.12,Вес1.13,Вес1.14,Вес1.15,Вес1.16,Вес1.17,Вес1.18)),"")</f>
        <v>5</v>
      </c>
      <c r="O43" s="10">
        <f>IF(N43="","не применяется",IF(K43=0,"не применяется",N43*M43/100))</f>
        <v>0.05</v>
      </c>
      <c r="P43" s="10">
        <f>IF(ISNUMBER(O43),O43,"")</f>
        <v>0.05</v>
      </c>
      <c r="Q43" s="56">
        <v>1</v>
      </c>
      <c r="R43" s="56">
        <v>100</v>
      </c>
      <c r="S43" s="56">
        <v>1</v>
      </c>
      <c r="T43" s="10">
        <f>IF(Q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1.4/MIN(Вес1.1,Вес1.3,Вес1.4,Вес1.5,Вес1.6,Вес1.7,Вес1.8,Вес1.9,Вес1.11,Вес1.12,Вес1.13,Вес1.14,Вес1.15,Вес1.16,Вес1.17,Вес1.18)),"")</f>
        <v>4</v>
      </c>
      <c r="U43" s="10">
        <f>IF(T43="","не применяется",IF(Q43=0,"не применяется",S43*T43/100))</f>
        <v>0.04</v>
      </c>
      <c r="V43" s="10">
        <f>IF(ISNUMBER(U43),U43,"")</f>
        <v>0.04</v>
      </c>
      <c r="W43" s="56">
        <v>1</v>
      </c>
      <c r="X43" s="56">
        <v>0</v>
      </c>
      <c r="Y43" s="56">
        <v>1</v>
      </c>
      <c r="Z43" s="10">
        <f>IF(W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1.5/MIN(Вес1.1,Вес1.3,Вес1.4,Вес1.5,Вес1.6,Вес1.7,Вес1.8,Вес1.9,Вес1.11,Вес1.12,Вес1.13,Вес1.14,Вес1.15,Вес1.16,Вес1.17,Вес1.18)),"")</f>
        <v>7</v>
      </c>
      <c r="AA43" s="10">
        <f>IF(Z43="","не применяется",IF(W43=0,"не применяется",Z43*Y43/100))</f>
        <v>7.0000000000000007E-2</v>
      </c>
      <c r="AB43" s="10">
        <f>IF(ISNUMBER(AA43),AA43,"")</f>
        <v>7.0000000000000007E-2</v>
      </c>
      <c r="AC43" s="56">
        <v>1</v>
      </c>
      <c r="AD43" s="56">
        <v>0</v>
      </c>
      <c r="AE43" s="56">
        <v>1</v>
      </c>
      <c r="AF43" s="10">
        <f>IF(AC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1.6/MIN(Вес1.1,Вес1.3,Вес1.4,Вес1.5,Вес1.6,Вес1.7,Вес1.8,Вес1.9,Вес1.11,Вес1.12,Вес1.13,Вес1.14,Вес1.15,Вес1.16,Вес1.17,Вес1.18)),"")</f>
        <v>7</v>
      </c>
      <c r="AG43" s="10">
        <f>IF(AF43="","не применяется",IF(AC43=0,"не применяется",AF43*AE43/100))</f>
        <v>7.0000000000000007E-2</v>
      </c>
      <c r="AH43" s="10">
        <f>IF(ISNUMBER(AG43),AG43,"")</f>
        <v>7.0000000000000007E-2</v>
      </c>
      <c r="AI43" s="56">
        <v>1</v>
      </c>
      <c r="AJ43" s="56">
        <v>3.6212</v>
      </c>
      <c r="AK43" s="56">
        <v>0.80759999999999998</v>
      </c>
      <c r="AL43" s="10">
        <f>IF(AI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1.7/MIN(Вес1.1,Вес1.3,Вес1.4,Вес1.5,Вес1.6,Вес1.7,Вес1.8,Вес1.9,Вес1.11,Вес1.12,Вес1.13,Вес1.14,Вес1.15,Вес1.16,Вес1.17,Вес1.18)),"")</f>
        <v>7</v>
      </c>
      <c r="AM43" s="10">
        <f>IF(AL43="","не применяется",IF(AI43=0,"не применяется",AL43*AK43/100))</f>
        <v>5.6531999999999999E-2</v>
      </c>
      <c r="AN43" s="10">
        <f>IF(ISNUMBER(AM43),AM43,"")</f>
        <v>5.6531999999999999E-2</v>
      </c>
      <c r="AO43" s="56">
        <v>1</v>
      </c>
      <c r="AP43" s="56">
        <v>24</v>
      </c>
      <c r="AQ43" s="56">
        <v>0</v>
      </c>
      <c r="AR43" s="10">
        <f>IF(AO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1.8/MIN(Вес1.1,Вес1.3,Вес1.4,Вес1.5,Вес1.6,Вес1.7,Вес1.8,Вес1.9,Вес1.11,Вес1.12,Вес1.13,Вес1.14,Вес1.15,Вес1.16,Вес1.17,Вес1.18)),"")</f>
        <v>7</v>
      </c>
      <c r="AS43" s="10">
        <f>IF(AR43="","не применяется",IF(AO43=0,"не применяется",AR43*AQ43/100))</f>
        <v>0</v>
      </c>
      <c r="AT43" s="10">
        <f>IF(ISNUMBER(AS43),AS43,"")</f>
        <v>0</v>
      </c>
      <c r="AU43" s="56">
        <v>1</v>
      </c>
      <c r="AV43" s="56">
        <v>47.143099999999997</v>
      </c>
      <c r="AW43" s="56">
        <v>0</v>
      </c>
      <c r="AX43" s="10">
        <f>IF(AU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1.9/MIN(Вес1.1,Вес1.3,Вес1.4,Вес1.5,Вес1.6,Вес1.7,Вес1.8,Вес1.9,Вес1.11,Вес1.12,Вес1.13,Вес1.14,Вес1.15,Вес1.16,Вес1.17,Вес1.18)),"")</f>
        <v>7</v>
      </c>
      <c r="AY43" s="10">
        <f>IF(AX43="","не применяется",IF(AU43=0,"не применяется",AX43*AW43/100))</f>
        <v>0</v>
      </c>
      <c r="AZ43" s="10">
        <f>IF(ISNUMBER(AY43),AY43,"")</f>
        <v>0</v>
      </c>
      <c r="BA43" s="56">
        <v>1</v>
      </c>
      <c r="BB43" s="56">
        <v>107.063</v>
      </c>
      <c r="BC43" s="56">
        <v>1</v>
      </c>
      <c r="BD43" s="10">
        <f>IF(BA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1.11/MIN(Вес1.1,Вес1.3,Вес1.4,Вес1.5,Вес1.6,Вес1.7,Вес1.8,Вес1.9,Вес1.11,Вес1.12,Вес1.13,Вес1.14,Вес1.15,Вес1.16,Вес1.17,Вес1.18)),"")</f>
        <v>7</v>
      </c>
      <c r="BE43" s="10">
        <f>IF(BD43="","не применяется",IF(BA43=0,"не применяется",BD43*BC43/100))</f>
        <v>7.0000000000000007E-2</v>
      </c>
      <c r="BF43" s="10">
        <f>IF(ISNUMBER(BE43),BE43,"")</f>
        <v>7.0000000000000007E-2</v>
      </c>
      <c r="BG43" s="56">
        <v>1</v>
      </c>
      <c r="BH43" s="56">
        <v>1.34E-2</v>
      </c>
      <c r="BI43" s="56">
        <v>1</v>
      </c>
      <c r="BJ43" s="10">
        <f>IF(BG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1.12/MIN(Вес1.1,Вес1.3,Вес1.4,Вес1.5,Вес1.6,Вес1.7,Вес1.8,Вес1.9,Вес1.11,Вес1.12,Вес1.13,Вес1.14,Вес1.15,Вес1.16,Вес1.17,Вес1.18)),"")</f>
        <v>6</v>
      </c>
      <c r="BK43" s="10">
        <f>IF(BJ43="","не применяется",IF(BG43=0,"не применяется",BJ43*BI43/100))</f>
        <v>0.06</v>
      </c>
      <c r="BL43" s="10">
        <f>IF(ISNUMBER(BK43),BK43,"")</f>
        <v>0.06</v>
      </c>
      <c r="BM43" s="56">
        <v>1</v>
      </c>
      <c r="BN43" s="56">
        <v>69.768600000000006</v>
      </c>
      <c r="BO43" s="56">
        <v>0</v>
      </c>
      <c r="BP43" s="10">
        <f>IF(BM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1.13/MIN(Вес1.1,Вес1.3,Вес1.4,Вес1.5,Вес1.6,Вес1.7,Вес1.8,Вес1.9,Вес1.11,Вес1.12,Вес1.13,Вес1.14,Вес1.15,Вес1.16,Вес1.17,Вес1.18)),"")</f>
        <v>7</v>
      </c>
      <c r="BQ43" s="10">
        <f>IF(BP43="","не применяется",IF(BM43=0,"не применяется",BP43*BO43/100))</f>
        <v>0</v>
      </c>
      <c r="BR43" s="10">
        <f>IF(ISNUMBER(BQ43),BQ43,"")</f>
        <v>0</v>
      </c>
      <c r="BS43" s="56">
        <v>1</v>
      </c>
      <c r="BT43" s="56">
        <v>0.30230000000000001</v>
      </c>
      <c r="BU43" s="56">
        <v>0</v>
      </c>
      <c r="BV43" s="10">
        <f>IF(BS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1.14/MIN(Вес1.1,Вес1.3,Вес1.4,Вес1.5,Вес1.6,Вес1.7,Вес1.8,Вес1.9,Вес1.11,Вес1.12,Вес1.13,Вес1.14,Вес1.15,Вес1.16,Вес1.17,Вес1.18)),"")</f>
        <v>6</v>
      </c>
      <c r="BW43" s="10">
        <f>IF(BV43="","не применяется",IF(BS43=0,"не применяется",BV43*BU43/100))</f>
        <v>0</v>
      </c>
      <c r="BX43" s="10">
        <f>IF(ISNUMBER(BW43),BW43,"")</f>
        <v>0</v>
      </c>
      <c r="BY43" s="56">
        <v>1</v>
      </c>
      <c r="BZ43" s="56">
        <v>2.0400000000000001E-2</v>
      </c>
      <c r="CA43" s="56">
        <v>0.95079999999999998</v>
      </c>
      <c r="CB43" s="10">
        <f>IF(BY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1.15/MIN(Вес1.1,Вес1.3,Вес1.4,Вес1.5,Вес1.6,Вес1.7,Вес1.8,Вес1.9,Вес1.11,Вес1.12,Вес1.13,Вес1.14,Вес1.15,Вес1.16,Вес1.17,Вес1.18)),"")</f>
        <v>6</v>
      </c>
      <c r="CC43" s="10">
        <f>IF(CB43="","не применяется",IF(BY43=0,"не применяется",CB43*CA43/100))</f>
        <v>5.7047999999999995E-2</v>
      </c>
      <c r="CD43" s="10">
        <f>IF(ISNUMBER(CC43),CC43,"")</f>
        <v>5.7047999999999995E-2</v>
      </c>
      <c r="CE43" s="56">
        <v>1</v>
      </c>
      <c r="CF43" s="56">
        <v>0</v>
      </c>
      <c r="CG43" s="56">
        <v>1</v>
      </c>
      <c r="CH43" s="10">
        <f>IF(CE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1.16/MIN(Вес1.1,Вес1.3,Вес1.4,Вес1.5,Вес1.6,Вес1.7,Вес1.8,Вес1.9,Вес1.11,Вес1.12,Вес1.13,Вес1.14,Вес1.15,Вес1.16,Вес1.17,Вес1.18)),"")</f>
        <v>7</v>
      </c>
      <c r="CI43" s="10">
        <f>IF(CH43="","не применяется",IF(CE43=0,"не применяется",CH43*CG43/100))</f>
        <v>7.0000000000000007E-2</v>
      </c>
      <c r="CJ43" s="10">
        <f>IF(ISNUMBER(CI43),CI43,"")</f>
        <v>7.0000000000000007E-2</v>
      </c>
      <c r="CK43" s="56">
        <v>1</v>
      </c>
      <c r="CL43" s="56">
        <v>0</v>
      </c>
      <c r="CM43" s="56">
        <v>1</v>
      </c>
      <c r="CN43" s="10">
        <f>IF(CK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1.17/MIN(Вес1.1,Вес1.3,Вес1.4,Вес1.5,Вес1.6,Вес1.7,Вес1.8,Вес1.9,Вес1.11,Вес1.12,Вес1.13,Вес1.14,Вес1.15,Вес1.16,Вес1.17,Вес1.18)),"")</f>
        <v>6</v>
      </c>
      <c r="CO43" s="10">
        <f>IF(CN43="","не применяется",IF(CK43=0,"не применяется",CN43*CM43/100))</f>
        <v>0.06</v>
      </c>
      <c r="CP43" s="10">
        <f>IF(ISNUMBER(CO43),CO43,"")</f>
        <v>0.06</v>
      </c>
      <c r="CQ43" s="56">
        <v>1</v>
      </c>
      <c r="CR43" s="56">
        <v>0</v>
      </c>
      <c r="CS43" s="56">
        <v>1</v>
      </c>
      <c r="CT43" s="10">
        <f>IF(CQ43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43*Вес1.18/MIN(Вес1.1,Вес1.3,Вес1.4,Вес1.5,Вес1.6,Вес1.7,Вес1.8,Вес1.9,Вес1.11,Вес1.12,Вес1.13,Вес1.14,Вес1.15,Вес1.16,Вес1.17,Вес1.18)),"")</f>
        <v>6</v>
      </c>
      <c r="CU43" s="10">
        <f>IF(CT43="","не применяется",IF(CQ43=0,"не применяется",CT43*CS43/100))</f>
        <v>0.06</v>
      </c>
      <c r="CV43" s="10">
        <f>IF(ISNUMBER(CU43),CU43,"")</f>
        <v>0.06</v>
      </c>
      <c r="CW43" s="10">
        <f>IF(E43=1,Вес1.1/MIN(Вес1.1,Вес1.3,Вес1.4,Вес1.5,Вес1.6,Вес1.7,Вес1.8,Вес1.9,Вес1.11,Вес1.12,Вес1.13,Вес1.14,Вес1.15,Вес1.16,Вес1.17,Вес1.18),"")</f>
        <v>1.25</v>
      </c>
      <c r="CX43" s="10">
        <f>IF(K43=1,Вес1.3/MIN(Вес1.1,Вес1.3,Вес1.4,Вес1.5,Вес1.6,Вес1.7,Вес1.8,Вес1.9,Вес1.11,Вес1.12,Вес1.13,Вес1.14,Вес1.15,Вес1.16,Вес1.17,Вес1.18),"")</f>
        <v>1.25</v>
      </c>
      <c r="CY43" s="10">
        <f>IF(Q43=1,Вес1.4/MIN(Вес1.1,Вес1.3,Вес1.4,Вес1.5,Вес1.6,Вес1.7,Вес1.8,Вес1.9,Вес1.11,Вес1.12,Вес1.13,Вес1.14,Вес1.15,Вес1.16,Вес1.17,Вес1.18),"")</f>
        <v>1</v>
      </c>
      <c r="CZ43" s="10">
        <f>IF(W43=1,Вес1.5/MIN(Вес1.1,Вес1.3,Вес1.4,Вес1.5,Вес1.6,Вес1.7,Вес1.8,Вес1.9,Вес1.11,Вес1.12,Вес1.13,Вес1.14,Вес1.15,Вес1.16,Вес1.17,Вес1.18),"")</f>
        <v>1.75</v>
      </c>
      <c r="DA43" s="10">
        <f>IF(AC43=1,Вес1.6/MIN(Вес1.6,Вес1.3,Вес1.4,Вес1.5,Вес1.6,Вес1.7,Вес1.8,Вес1.9,Вес1.11,Вес1.12,Вес1.13,Вес1.14,Вес1.15,Вес1.16,Вес1.17,Вес1.18),"")</f>
        <v>1.75</v>
      </c>
      <c r="DB43" s="10">
        <f>IF(AI43=1,Вес1.7/MIN(Вес1.1,Вес1.3,Вес1.4,Вес1.5,Вес1.6,Вес1.7,Вес1.8,Вес1.9,Вес1.11,Вес1.12,Вес1.13,Вес1.14,Вес1.15,Вес1.16,Вес1.17,Вес1.18),"")</f>
        <v>1.75</v>
      </c>
      <c r="DC43" s="10">
        <f>IF(AO43=1,Вес1.8/MIN(Вес1.1,Вес1.3,Вес1.4,Вес1.5,Вес1.6,Вес1.7,Вес1.8,Вес1.9,Вес1.11,Вес1.12,Вес1.13,Вес1.14,Вес1.15,Вес1.16,Вес1.17,Вес1.18),"")</f>
        <v>1.75</v>
      </c>
      <c r="DD43" s="10">
        <f>IF(AU43=1,Вес1.9/MIN(Вес1.1,Вес1.3,Вес1.4,Вес1.5,Вес1.6,Вес1.7,Вес1.8,Вес1.9,Вес1.11,Вес1.12,Вес1.13,Вес1.14,Вес1.15,Вес1.16,Вес1.17,Вес1.18),"")</f>
        <v>1.75</v>
      </c>
      <c r="DE43" s="10">
        <f>IF(BA43=1,Вес1.11/MIN(Вес1.1,Вес1.3,Вес1.4,Вес1.5,Вес1.6,Вес1.7,Вес1.8,Вес1.9,Вес1.11,Вес1.12,Вес1.13,Вес1.14,Вес1.15,Вес1.16,Вес1.17,Вес1.18),"")</f>
        <v>1.75</v>
      </c>
      <c r="DF43" s="10">
        <f>IF(BG43=1,Вес1.12/MIN(Вес1.1,Вес1.3,Вес1.4,Вес1.5,Вес1.6,Вес1.7,Вес1.8,Вес1.9,Вес1.11,Вес1.12,Вес1.13,Вес1.14,Вес1.15,Вес1.16,Вес1.17,Вес1.18),"")</f>
        <v>1.5</v>
      </c>
      <c r="DG43" s="10">
        <f>IF(BM43=1,Вес1.13/MIN(Вес1.1,Вес1.3,Вес1.4,Вес1.5,Вес1.6,Вес1.7,Вес1.8,Вес1.9,Вес1.11,Вес1.12,Вес1.13,Вес1.14,Вес1.15,Вес1.16,Вес1.17,Вес1.18),"")</f>
        <v>1.75</v>
      </c>
      <c r="DH43" s="10">
        <f>IF(BS43=1,Вес1.14/MIN(Вес1.1,Вес1.3,Вес1.4,Вес1.5,Вес1.6,Вес1.7,Вес1.8,Вес1.9,Вес1.11,Вес1.12,Вес1.13,Вес1.14,Вес1.15,Вес1.16,Вес1.17,Вес1.18),"")</f>
        <v>1.5</v>
      </c>
      <c r="DI43" s="10">
        <f>IF(BY43=1,Вес1.15/MIN(Вес1.1,Вес1.3,Вес1.4,Вес1.5,Вес1.6,Вес1.7,Вес1.8,Вес1.9,Вес1.11,Вес1.12,Вес1.13,Вес1.14,Вес1.15,Вес1.16,Вес1.17,Вес1.18),"")</f>
        <v>1.5</v>
      </c>
      <c r="DJ43" s="10">
        <f>IF(CE43=1,Вес1.16/MIN(Вес1.1,Вес1.3,Вес1.4,Вес1.5,Вес1.6,Вес1.7,Вес1.8,Вес1.9,Вес1.11,Вес1.12,Вес1.13,Вес1.14,Вес1.15,Вес1.16,Вес1.17,Вес1.18),"")</f>
        <v>1.75</v>
      </c>
      <c r="DK43" s="10">
        <f>IF(CK43=1,Вес1.17/MIN(Вес1.1,Вес1.3,Вес1.4,Вес1.5,Вес1.6,Вес1.7,Вес1.8,Вес1.9,Вес1.11,Вес1.12,Вес1.13,Вес1.14,Вес1.15,Вес1.16,Вес1.17,Вес1.18),"")</f>
        <v>1.5</v>
      </c>
      <c r="DL43" s="10">
        <f>IF(CQ43=1,Вес1.18/MIN(Вес1.1,Вес1.3,Вес1.4,Вес1.5,Вес1.6,Вес1.7,Вес1.8,Вес1.9,Вес1.11,Вес1.12,Вес1.13,Вес1.14,Вес1.15,Вес1.16,Вес1.17,Вес1.18),"")</f>
        <v>1.5</v>
      </c>
      <c r="DM43" s="10">
        <f>SUM(CW43:DL43)</f>
        <v>25</v>
      </c>
    </row>
    <row r="44" spans="1:117" ht="25.5" x14ac:dyDescent="0.2">
      <c r="A44" s="1" t="s">
        <v>116</v>
      </c>
      <c r="B44" s="9" t="s">
        <v>34</v>
      </c>
      <c r="C44" s="10">
        <f>IF(D44&lt;&gt;1,"",SUM(J44,P44,V44,AB44,AH44,AN44,AT44,AZ44,BF44,BL44,BR44,BX44,CD44,CJ44,CP44,CV44))</f>
        <v>0.91822200000000009</v>
      </c>
      <c r="D44" s="10">
        <f>IF(SUM(E44,K44,Q44,W44,AC44,AI44,AO44,AU44,BA44,BG44,BM44,BS44,BY44,CE44,CK44,CQ44)=0,0,1)</f>
        <v>1</v>
      </c>
      <c r="E44" s="56">
        <v>1</v>
      </c>
      <c r="F44" s="56">
        <v>9.7222000000000008</v>
      </c>
      <c r="G44" s="56">
        <v>0.90280000000000005</v>
      </c>
      <c r="H44" s="10">
        <f>IF(E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1.1/MIN(Вес1.1,Вес1.3,Вес1.4,Вес1.5,Вес1.6,Вес1.7,Вес1.8,Вес1.9,Вес1.11,Вес1.12,Вес1.13,Вес1.14,Вес1.15,Вес1.16,Вес1.17,Вес1.18)),"")</f>
        <v>5</v>
      </c>
      <c r="I44" s="10">
        <f>IF(H44="","не применяется",IF(E44=0,"не применяется",H44*G44/100))</f>
        <v>4.514E-2</v>
      </c>
      <c r="J44" s="10">
        <f>IF(ISNUMBER(I44),I44,"")</f>
        <v>4.514E-2</v>
      </c>
      <c r="K44" s="56">
        <v>1</v>
      </c>
      <c r="L44" s="56">
        <v>0</v>
      </c>
      <c r="M44" s="56">
        <v>1</v>
      </c>
      <c r="N44" s="10">
        <f>IF(K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1.3/MIN(Вес1.1,Вес1.3,Вес1.4,Вес1.5,Вес1.6,Вес1.7,Вес1.8,Вес1.9,Вес1.11,Вес1.12,Вес1.13,Вес1.14,Вес1.15,Вес1.16,Вес1.17,Вес1.18)),"")</f>
        <v>5</v>
      </c>
      <c r="O44" s="10">
        <f>IF(N44="","не применяется",IF(K44=0,"не применяется",N44*M44/100))</f>
        <v>0.05</v>
      </c>
      <c r="P44" s="10">
        <f>IF(ISNUMBER(O44),O44,"")</f>
        <v>0.05</v>
      </c>
      <c r="Q44" s="56">
        <v>1</v>
      </c>
      <c r="R44" s="56">
        <v>100</v>
      </c>
      <c r="S44" s="56">
        <v>1</v>
      </c>
      <c r="T44" s="10">
        <f>IF(Q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1.4/MIN(Вес1.1,Вес1.3,Вес1.4,Вес1.5,Вес1.6,Вес1.7,Вес1.8,Вес1.9,Вес1.11,Вес1.12,Вес1.13,Вес1.14,Вес1.15,Вес1.16,Вес1.17,Вес1.18)),"")</f>
        <v>4</v>
      </c>
      <c r="U44" s="10">
        <f>IF(T44="","не применяется",IF(Q44=0,"не применяется",S44*T44/100))</f>
        <v>0.04</v>
      </c>
      <c r="V44" s="10">
        <f>IF(ISNUMBER(U44),U44,"")</f>
        <v>0.04</v>
      </c>
      <c r="W44" s="56">
        <v>1</v>
      </c>
      <c r="X44" s="56">
        <v>2.0000000000000001E-4</v>
      </c>
      <c r="Y44" s="56">
        <v>1</v>
      </c>
      <c r="Z44" s="10">
        <f>IF(W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1.5/MIN(Вес1.1,Вес1.3,Вес1.4,Вес1.5,Вес1.6,Вес1.7,Вес1.8,Вес1.9,Вес1.11,Вес1.12,Вес1.13,Вес1.14,Вес1.15,Вес1.16,Вес1.17,Вес1.18)),"")</f>
        <v>7</v>
      </c>
      <c r="AA44" s="10">
        <f>IF(Z44="","не применяется",IF(W44=0,"не применяется",Z44*Y44/100))</f>
        <v>7.0000000000000007E-2</v>
      </c>
      <c r="AB44" s="10">
        <f>IF(ISNUMBER(AA44),AA44,"")</f>
        <v>7.0000000000000007E-2</v>
      </c>
      <c r="AC44" s="56">
        <v>1</v>
      </c>
      <c r="AD44" s="56">
        <v>0</v>
      </c>
      <c r="AE44" s="56">
        <v>1</v>
      </c>
      <c r="AF44" s="10">
        <f>IF(AC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1.6/MIN(Вес1.1,Вес1.3,Вес1.4,Вес1.5,Вес1.6,Вес1.7,Вес1.8,Вес1.9,Вес1.11,Вес1.12,Вес1.13,Вес1.14,Вес1.15,Вес1.16,Вес1.17,Вес1.18)),"")</f>
        <v>7</v>
      </c>
      <c r="AG44" s="10">
        <f>IF(AF44="","не применяется",IF(AC44=0,"не применяется",AF44*AE44/100))</f>
        <v>7.0000000000000007E-2</v>
      </c>
      <c r="AH44" s="10">
        <f>IF(ISNUMBER(AG44),AG44,"")</f>
        <v>7.0000000000000007E-2</v>
      </c>
      <c r="AI44" s="56">
        <v>1</v>
      </c>
      <c r="AJ44" s="56">
        <v>0</v>
      </c>
      <c r="AK44" s="56">
        <v>1</v>
      </c>
      <c r="AL44" s="10">
        <f>IF(AI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1.7/MIN(Вес1.1,Вес1.3,Вес1.4,Вес1.5,Вес1.6,Вес1.7,Вес1.8,Вес1.9,Вес1.11,Вес1.12,Вес1.13,Вес1.14,Вес1.15,Вес1.16,Вес1.17,Вес1.18)),"")</f>
        <v>7</v>
      </c>
      <c r="AM44" s="10">
        <f>IF(AL44="","не применяется",IF(AI44=0,"не применяется",AL44*AK44/100))</f>
        <v>7.0000000000000007E-2</v>
      </c>
      <c r="AN44" s="10">
        <f>IF(ISNUMBER(AM44),AM44,"")</f>
        <v>7.0000000000000007E-2</v>
      </c>
      <c r="AO44" s="56">
        <v>1</v>
      </c>
      <c r="AP44" s="56">
        <v>26</v>
      </c>
      <c r="AQ44" s="56">
        <v>0</v>
      </c>
      <c r="AR44" s="10">
        <f>IF(AO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1.8/MIN(Вес1.1,Вес1.3,Вес1.4,Вес1.5,Вес1.6,Вес1.7,Вес1.8,Вес1.9,Вес1.11,Вес1.12,Вес1.13,Вес1.14,Вес1.15,Вес1.16,Вес1.17,Вес1.18)),"")</f>
        <v>7</v>
      </c>
      <c r="AS44" s="10">
        <f>IF(AR44="","не применяется",IF(AO44=0,"не применяется",AR44*AQ44/100))</f>
        <v>0</v>
      </c>
      <c r="AT44" s="10">
        <f>IF(ISNUMBER(AS44),AS44,"")</f>
        <v>0</v>
      </c>
      <c r="AU44" s="56">
        <v>1</v>
      </c>
      <c r="AV44" s="56">
        <v>25.409300000000002</v>
      </c>
      <c r="AW44" s="56">
        <v>1</v>
      </c>
      <c r="AX44" s="10">
        <f>IF(AU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1.9/MIN(Вес1.1,Вес1.3,Вес1.4,Вес1.5,Вес1.6,Вес1.7,Вес1.8,Вес1.9,Вес1.11,Вес1.12,Вес1.13,Вес1.14,Вес1.15,Вес1.16,Вес1.17,Вес1.18)),"")</f>
        <v>7</v>
      </c>
      <c r="AY44" s="10">
        <f>IF(AX44="","не применяется",IF(AU44=0,"не применяется",AX44*AW44/100))</f>
        <v>7.0000000000000007E-2</v>
      </c>
      <c r="AZ44" s="10">
        <f>IF(ISNUMBER(AY44),AY44,"")</f>
        <v>7.0000000000000007E-2</v>
      </c>
      <c r="BA44" s="56">
        <v>1</v>
      </c>
      <c r="BB44" s="56">
        <v>116.26130000000001</v>
      </c>
      <c r="BC44" s="56">
        <v>1</v>
      </c>
      <c r="BD44" s="10">
        <f>IF(BA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1.11/MIN(Вес1.1,Вес1.3,Вес1.4,Вес1.5,Вес1.6,Вес1.7,Вес1.8,Вес1.9,Вес1.11,Вес1.12,Вес1.13,Вес1.14,Вес1.15,Вес1.16,Вес1.17,Вес1.18)),"")</f>
        <v>7</v>
      </c>
      <c r="BE44" s="10">
        <f>IF(BD44="","не применяется",IF(BA44=0,"не применяется",BD44*BC44/100))</f>
        <v>7.0000000000000007E-2</v>
      </c>
      <c r="BF44" s="10">
        <f>IF(ISNUMBER(BE44),BE44,"")</f>
        <v>7.0000000000000007E-2</v>
      </c>
      <c r="BG44" s="56">
        <v>1</v>
      </c>
      <c r="BH44" s="56">
        <v>2.0500000000000001E-2</v>
      </c>
      <c r="BI44" s="56">
        <v>0.99419999999999997</v>
      </c>
      <c r="BJ44" s="10">
        <f>IF(BG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1.12/MIN(Вес1.1,Вес1.3,Вес1.4,Вес1.5,Вес1.6,Вес1.7,Вес1.8,Вес1.9,Вес1.11,Вес1.12,Вес1.13,Вес1.14,Вес1.15,Вес1.16,Вес1.17,Вес1.18)),"")</f>
        <v>6</v>
      </c>
      <c r="BK44" s="10">
        <f>IF(BJ44="","не применяется",IF(BG44=0,"не применяется",BJ44*BI44/100))</f>
        <v>5.9651999999999997E-2</v>
      </c>
      <c r="BL44" s="10">
        <f>IF(ISNUMBER(BK44),BK44,"")</f>
        <v>5.9651999999999997E-2</v>
      </c>
      <c r="BM44" s="56">
        <v>1</v>
      </c>
      <c r="BN44" s="56">
        <v>100</v>
      </c>
      <c r="BO44" s="56">
        <v>1</v>
      </c>
      <c r="BP44" s="10">
        <f>IF(BM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1.13/MIN(Вес1.1,Вес1.3,Вес1.4,Вес1.5,Вес1.6,Вес1.7,Вес1.8,Вес1.9,Вес1.11,Вес1.12,Вес1.13,Вес1.14,Вес1.15,Вес1.16,Вес1.17,Вес1.18)),"")</f>
        <v>7</v>
      </c>
      <c r="BQ44" s="10">
        <f>IF(BP44="","не применяется",IF(BM44=0,"не применяется",BP44*BO44/100))</f>
        <v>7.0000000000000007E-2</v>
      </c>
      <c r="BR44" s="10">
        <f>IF(ISNUMBER(BQ44),BQ44,"")</f>
        <v>7.0000000000000007E-2</v>
      </c>
      <c r="BS44" s="56">
        <v>1</v>
      </c>
      <c r="BT44" s="56">
        <v>0</v>
      </c>
      <c r="BU44" s="56">
        <v>1</v>
      </c>
      <c r="BV44" s="10">
        <f>IF(BS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1.14/MIN(Вес1.1,Вес1.3,Вес1.4,Вес1.5,Вес1.6,Вес1.7,Вес1.8,Вес1.9,Вес1.11,Вес1.12,Вес1.13,Вес1.14,Вес1.15,Вес1.16,Вес1.17,Вес1.18)),"")</f>
        <v>6</v>
      </c>
      <c r="BW44" s="10">
        <f>IF(BV44="","не применяется",IF(BS44=0,"не применяется",BV44*BU44/100))</f>
        <v>0.06</v>
      </c>
      <c r="BX44" s="10">
        <f>IF(ISNUMBER(BW44),BW44,"")</f>
        <v>0.06</v>
      </c>
      <c r="BY44" s="56">
        <v>1</v>
      </c>
      <c r="BZ44" s="56">
        <v>4.6899999999999997E-2</v>
      </c>
      <c r="CA44" s="56">
        <v>0.89049999999999996</v>
      </c>
      <c r="CB44" s="10">
        <f>IF(BY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1.15/MIN(Вес1.1,Вес1.3,Вес1.4,Вес1.5,Вес1.6,Вес1.7,Вес1.8,Вес1.9,Вес1.11,Вес1.12,Вес1.13,Вес1.14,Вес1.15,Вес1.16,Вес1.17,Вес1.18)),"")</f>
        <v>6</v>
      </c>
      <c r="CC44" s="10">
        <f>IF(CB44="","не применяется",IF(BY44=0,"не применяется",CB44*CA44/100))</f>
        <v>5.3429999999999998E-2</v>
      </c>
      <c r="CD44" s="10">
        <f>IF(ISNUMBER(CC44),CC44,"")</f>
        <v>5.3429999999999998E-2</v>
      </c>
      <c r="CE44" s="56">
        <v>1</v>
      </c>
      <c r="CF44" s="56">
        <v>0</v>
      </c>
      <c r="CG44" s="56">
        <v>1</v>
      </c>
      <c r="CH44" s="10">
        <f>IF(CE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1.16/MIN(Вес1.1,Вес1.3,Вес1.4,Вес1.5,Вес1.6,Вес1.7,Вес1.8,Вес1.9,Вес1.11,Вес1.12,Вес1.13,Вес1.14,Вес1.15,Вес1.16,Вес1.17,Вес1.18)),"")</f>
        <v>7</v>
      </c>
      <c r="CI44" s="10">
        <f>IF(CH44="","не применяется",IF(CE44=0,"не применяется",CH44*CG44/100))</f>
        <v>7.0000000000000007E-2</v>
      </c>
      <c r="CJ44" s="10">
        <f>IF(ISNUMBER(CI44),CI44,"")</f>
        <v>7.0000000000000007E-2</v>
      </c>
      <c r="CK44" s="56">
        <v>1</v>
      </c>
      <c r="CL44" s="56">
        <v>0</v>
      </c>
      <c r="CM44" s="56">
        <v>1</v>
      </c>
      <c r="CN44" s="10">
        <f>IF(CK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1.17/MIN(Вес1.1,Вес1.3,Вес1.4,Вес1.5,Вес1.6,Вес1.7,Вес1.8,Вес1.9,Вес1.11,Вес1.12,Вес1.13,Вес1.14,Вес1.15,Вес1.16,Вес1.17,Вес1.18)),"")</f>
        <v>6</v>
      </c>
      <c r="CO44" s="10">
        <f>IF(CN44="","не применяется",IF(CK44=0,"не применяется",CN44*CM44/100))</f>
        <v>0.06</v>
      </c>
      <c r="CP44" s="10">
        <f>IF(ISNUMBER(CO44),CO44,"")</f>
        <v>0.06</v>
      </c>
      <c r="CQ44" s="56">
        <v>1</v>
      </c>
      <c r="CR44" s="56">
        <v>0</v>
      </c>
      <c r="CS44" s="56">
        <v>1</v>
      </c>
      <c r="CT44" s="10">
        <f>IF(CQ44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44*Вес1.18/MIN(Вес1.1,Вес1.3,Вес1.4,Вес1.5,Вес1.6,Вес1.7,Вес1.8,Вес1.9,Вес1.11,Вес1.12,Вес1.13,Вес1.14,Вес1.15,Вес1.16,Вес1.17,Вес1.18)),"")</f>
        <v>6</v>
      </c>
      <c r="CU44" s="10">
        <f>IF(CT44="","не применяется",IF(CQ44=0,"не применяется",CT44*CS44/100))</f>
        <v>0.06</v>
      </c>
      <c r="CV44" s="10">
        <f>IF(ISNUMBER(CU44),CU44,"")</f>
        <v>0.06</v>
      </c>
      <c r="CW44" s="10">
        <f>IF(E44=1,Вес1.1/MIN(Вес1.1,Вес1.3,Вес1.4,Вес1.5,Вес1.6,Вес1.7,Вес1.8,Вес1.9,Вес1.11,Вес1.12,Вес1.13,Вес1.14,Вес1.15,Вес1.16,Вес1.17,Вес1.18),"")</f>
        <v>1.25</v>
      </c>
      <c r="CX44" s="10">
        <f>IF(K44=1,Вес1.3/MIN(Вес1.1,Вес1.3,Вес1.4,Вес1.5,Вес1.6,Вес1.7,Вес1.8,Вес1.9,Вес1.11,Вес1.12,Вес1.13,Вес1.14,Вес1.15,Вес1.16,Вес1.17,Вес1.18),"")</f>
        <v>1.25</v>
      </c>
      <c r="CY44" s="10">
        <f>IF(Q44=1,Вес1.4/MIN(Вес1.1,Вес1.3,Вес1.4,Вес1.5,Вес1.6,Вес1.7,Вес1.8,Вес1.9,Вес1.11,Вес1.12,Вес1.13,Вес1.14,Вес1.15,Вес1.16,Вес1.17,Вес1.18),"")</f>
        <v>1</v>
      </c>
      <c r="CZ44" s="10">
        <f>IF(W44=1,Вес1.5/MIN(Вес1.1,Вес1.3,Вес1.4,Вес1.5,Вес1.6,Вес1.7,Вес1.8,Вес1.9,Вес1.11,Вес1.12,Вес1.13,Вес1.14,Вес1.15,Вес1.16,Вес1.17,Вес1.18),"")</f>
        <v>1.75</v>
      </c>
      <c r="DA44" s="10">
        <f>IF(AC44=1,Вес1.6/MIN(Вес1.6,Вес1.3,Вес1.4,Вес1.5,Вес1.6,Вес1.7,Вес1.8,Вес1.9,Вес1.11,Вес1.12,Вес1.13,Вес1.14,Вес1.15,Вес1.16,Вес1.17,Вес1.18),"")</f>
        <v>1.75</v>
      </c>
      <c r="DB44" s="10">
        <f>IF(AI44=1,Вес1.7/MIN(Вес1.1,Вес1.3,Вес1.4,Вес1.5,Вес1.6,Вес1.7,Вес1.8,Вес1.9,Вес1.11,Вес1.12,Вес1.13,Вес1.14,Вес1.15,Вес1.16,Вес1.17,Вес1.18),"")</f>
        <v>1.75</v>
      </c>
      <c r="DC44" s="10">
        <f>IF(AO44=1,Вес1.8/MIN(Вес1.1,Вес1.3,Вес1.4,Вес1.5,Вес1.6,Вес1.7,Вес1.8,Вес1.9,Вес1.11,Вес1.12,Вес1.13,Вес1.14,Вес1.15,Вес1.16,Вес1.17,Вес1.18),"")</f>
        <v>1.75</v>
      </c>
      <c r="DD44" s="10">
        <f>IF(AU44=1,Вес1.9/MIN(Вес1.1,Вес1.3,Вес1.4,Вес1.5,Вес1.6,Вес1.7,Вес1.8,Вес1.9,Вес1.11,Вес1.12,Вес1.13,Вес1.14,Вес1.15,Вес1.16,Вес1.17,Вес1.18),"")</f>
        <v>1.75</v>
      </c>
      <c r="DE44" s="10">
        <f>IF(BA44=1,Вес1.11/MIN(Вес1.1,Вес1.3,Вес1.4,Вес1.5,Вес1.6,Вес1.7,Вес1.8,Вес1.9,Вес1.11,Вес1.12,Вес1.13,Вес1.14,Вес1.15,Вес1.16,Вес1.17,Вес1.18),"")</f>
        <v>1.75</v>
      </c>
      <c r="DF44" s="10">
        <f>IF(BG44=1,Вес1.12/MIN(Вес1.1,Вес1.3,Вес1.4,Вес1.5,Вес1.6,Вес1.7,Вес1.8,Вес1.9,Вес1.11,Вес1.12,Вес1.13,Вес1.14,Вес1.15,Вес1.16,Вес1.17,Вес1.18),"")</f>
        <v>1.5</v>
      </c>
      <c r="DG44" s="10">
        <f>IF(BM44=1,Вес1.13/MIN(Вес1.1,Вес1.3,Вес1.4,Вес1.5,Вес1.6,Вес1.7,Вес1.8,Вес1.9,Вес1.11,Вес1.12,Вес1.13,Вес1.14,Вес1.15,Вес1.16,Вес1.17,Вес1.18),"")</f>
        <v>1.75</v>
      </c>
      <c r="DH44" s="10">
        <f>IF(BS44=1,Вес1.14/MIN(Вес1.1,Вес1.3,Вес1.4,Вес1.5,Вес1.6,Вес1.7,Вес1.8,Вес1.9,Вес1.11,Вес1.12,Вес1.13,Вес1.14,Вес1.15,Вес1.16,Вес1.17,Вес1.18),"")</f>
        <v>1.5</v>
      </c>
      <c r="DI44" s="10">
        <f>IF(BY44=1,Вес1.15/MIN(Вес1.1,Вес1.3,Вес1.4,Вес1.5,Вес1.6,Вес1.7,Вес1.8,Вес1.9,Вес1.11,Вес1.12,Вес1.13,Вес1.14,Вес1.15,Вес1.16,Вес1.17,Вес1.18),"")</f>
        <v>1.5</v>
      </c>
      <c r="DJ44" s="10">
        <f>IF(CE44=1,Вес1.16/MIN(Вес1.1,Вес1.3,Вес1.4,Вес1.5,Вес1.6,Вес1.7,Вес1.8,Вес1.9,Вес1.11,Вес1.12,Вес1.13,Вес1.14,Вес1.15,Вес1.16,Вес1.17,Вес1.18),"")</f>
        <v>1.75</v>
      </c>
      <c r="DK44" s="10">
        <f>IF(CK44=1,Вес1.17/MIN(Вес1.1,Вес1.3,Вес1.4,Вес1.5,Вес1.6,Вес1.7,Вес1.8,Вес1.9,Вес1.11,Вес1.12,Вес1.13,Вес1.14,Вес1.15,Вес1.16,Вес1.17,Вес1.18),"")</f>
        <v>1.5</v>
      </c>
      <c r="DL44" s="10">
        <f>IF(CQ44=1,Вес1.18/MIN(Вес1.1,Вес1.3,Вес1.4,Вес1.5,Вес1.6,Вес1.7,Вес1.8,Вес1.9,Вес1.11,Вес1.12,Вес1.13,Вес1.14,Вес1.15,Вес1.16,Вес1.17,Вес1.18),"")</f>
        <v>1.5</v>
      </c>
      <c r="DM44" s="10">
        <f>SUM(CW44:DL44)</f>
        <v>25</v>
      </c>
    </row>
    <row r="45" spans="1:117" ht="38.25" x14ac:dyDescent="0.2">
      <c r="A45" s="1" t="s">
        <v>117</v>
      </c>
      <c r="B45" s="9" t="s">
        <v>89</v>
      </c>
      <c r="C45" s="10">
        <f>IF(D45&lt;&gt;1,"",SUM(J45,P45,V45,AB45,AH45,AN45,AT45,AZ45,BF45,BL45,BR45,BX45,CD45,CJ45,CP45,CV45))</f>
        <v>0.85814000000000035</v>
      </c>
      <c r="D45" s="10">
        <f>IF(SUM(E45,K45,Q45,W45,AC45,AI45,AO45,AU45,BA45,BG45,BM45,BS45,BY45,CE45,CK45,CQ45)=0,0,1)</f>
        <v>1</v>
      </c>
      <c r="E45" s="56">
        <v>1</v>
      </c>
      <c r="F45" s="56">
        <v>4.2857000000000003</v>
      </c>
      <c r="G45" s="56">
        <v>0.95709999999999995</v>
      </c>
      <c r="H45" s="10">
        <f>IF(E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1.1/MIN(Вес1.1,Вес1.3,Вес1.4,Вес1.5,Вес1.6,Вес1.7,Вес1.8,Вес1.9,Вес1.11,Вес1.12,Вес1.13,Вес1.14,Вес1.15,Вес1.16,Вес1.17,Вес1.18)),"")</f>
        <v>5</v>
      </c>
      <c r="I45" s="10">
        <f>IF(H45="","не применяется",IF(E45=0,"не применяется",H45*G45/100))</f>
        <v>4.7855000000000002E-2</v>
      </c>
      <c r="J45" s="10">
        <f>IF(ISNUMBER(I45),I45,"")</f>
        <v>4.7855000000000002E-2</v>
      </c>
      <c r="K45" s="56">
        <v>1</v>
      </c>
      <c r="L45" s="56">
        <v>0</v>
      </c>
      <c r="M45" s="56">
        <v>1</v>
      </c>
      <c r="N45" s="10">
        <f>IF(K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1.3/MIN(Вес1.1,Вес1.3,Вес1.4,Вес1.5,Вес1.6,Вес1.7,Вес1.8,Вес1.9,Вес1.11,Вес1.12,Вес1.13,Вес1.14,Вес1.15,Вес1.16,Вес1.17,Вес1.18)),"")</f>
        <v>5</v>
      </c>
      <c r="O45" s="10">
        <f>IF(N45="","не применяется",IF(K45=0,"не применяется",N45*M45/100))</f>
        <v>0.05</v>
      </c>
      <c r="P45" s="10">
        <f>IF(ISNUMBER(O45),O45,"")</f>
        <v>0.05</v>
      </c>
      <c r="Q45" s="56">
        <v>1</v>
      </c>
      <c r="R45" s="56">
        <v>100</v>
      </c>
      <c r="S45" s="56">
        <v>1</v>
      </c>
      <c r="T45" s="10">
        <f>IF(Q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1.4/MIN(Вес1.1,Вес1.3,Вес1.4,Вес1.5,Вес1.6,Вес1.7,Вес1.8,Вес1.9,Вес1.11,Вес1.12,Вес1.13,Вес1.14,Вес1.15,Вес1.16,Вес1.17,Вес1.18)),"")</f>
        <v>4</v>
      </c>
      <c r="U45" s="10">
        <f>IF(T45="","не применяется",IF(Q45=0,"не применяется",S45*T45/100))</f>
        <v>0.04</v>
      </c>
      <c r="V45" s="10">
        <f>IF(ISNUMBER(U45),U45,"")</f>
        <v>0.04</v>
      </c>
      <c r="W45" s="56">
        <v>1</v>
      </c>
      <c r="X45" s="56">
        <v>2.5000000000000001E-3</v>
      </c>
      <c r="Y45" s="56">
        <v>1</v>
      </c>
      <c r="Z45" s="10">
        <f>IF(W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1.5/MIN(Вес1.1,Вес1.3,Вес1.4,Вес1.5,Вес1.6,Вес1.7,Вес1.8,Вес1.9,Вес1.11,Вес1.12,Вес1.13,Вес1.14,Вес1.15,Вес1.16,Вес1.17,Вес1.18)),"")</f>
        <v>7</v>
      </c>
      <c r="AA45" s="10">
        <f>IF(Z45="","не применяется",IF(W45=0,"не применяется",Z45*Y45/100))</f>
        <v>7.0000000000000007E-2</v>
      </c>
      <c r="AB45" s="10">
        <f>IF(ISNUMBER(AA45),AA45,"")</f>
        <v>7.0000000000000007E-2</v>
      </c>
      <c r="AC45" s="56">
        <v>1</v>
      </c>
      <c r="AD45" s="56">
        <v>0</v>
      </c>
      <c r="AE45" s="56">
        <v>1</v>
      </c>
      <c r="AF45" s="10">
        <f>IF(AC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1.6/MIN(Вес1.1,Вес1.3,Вес1.4,Вес1.5,Вес1.6,Вес1.7,Вес1.8,Вес1.9,Вес1.11,Вес1.12,Вес1.13,Вес1.14,Вес1.15,Вес1.16,Вес1.17,Вес1.18)),"")</f>
        <v>7</v>
      </c>
      <c r="AG45" s="10">
        <f>IF(AF45="","не применяется",IF(AC45=0,"не применяется",AF45*AE45/100))</f>
        <v>7.0000000000000007E-2</v>
      </c>
      <c r="AH45" s="10">
        <f>IF(ISNUMBER(AG45),AG45,"")</f>
        <v>7.0000000000000007E-2</v>
      </c>
      <c r="AI45" s="56">
        <v>1</v>
      </c>
      <c r="AJ45" s="56">
        <v>2.2100000000000002E-2</v>
      </c>
      <c r="AK45" s="56">
        <v>0.99870000000000003</v>
      </c>
      <c r="AL45" s="10">
        <f>IF(AI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1.7/MIN(Вес1.1,Вес1.3,Вес1.4,Вес1.5,Вес1.6,Вес1.7,Вес1.8,Вес1.9,Вес1.11,Вес1.12,Вес1.13,Вес1.14,Вес1.15,Вес1.16,Вес1.17,Вес1.18)),"")</f>
        <v>7</v>
      </c>
      <c r="AM45" s="10">
        <f>IF(AL45="","не применяется",IF(AI45=0,"не применяется",AL45*AK45/100))</f>
        <v>6.9908999999999999E-2</v>
      </c>
      <c r="AN45" s="10">
        <f>IF(ISNUMBER(AM45),AM45,"")</f>
        <v>6.9908999999999999E-2</v>
      </c>
      <c r="AO45" s="56">
        <v>1</v>
      </c>
      <c r="AP45" s="56">
        <v>82</v>
      </c>
      <c r="AQ45" s="56">
        <v>0</v>
      </c>
      <c r="AR45" s="10">
        <f>IF(AO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1.8/MIN(Вес1.1,Вес1.3,Вес1.4,Вес1.5,Вес1.6,Вес1.7,Вес1.8,Вес1.9,Вес1.11,Вес1.12,Вес1.13,Вес1.14,Вес1.15,Вес1.16,Вес1.17,Вес1.18)),"")</f>
        <v>7</v>
      </c>
      <c r="AS45" s="10">
        <f>IF(AR45="","не применяется",IF(AO45=0,"не применяется",AR45*AQ45/100))</f>
        <v>0</v>
      </c>
      <c r="AT45" s="10">
        <f>IF(ISNUMBER(AS45),AS45,"")</f>
        <v>0</v>
      </c>
      <c r="AU45" s="56">
        <v>1</v>
      </c>
      <c r="AV45" s="56">
        <v>17.965599999999998</v>
      </c>
      <c r="AW45" s="56">
        <v>1</v>
      </c>
      <c r="AX45" s="10">
        <f>IF(AU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1.9/MIN(Вес1.1,Вес1.3,Вес1.4,Вес1.5,Вес1.6,Вес1.7,Вес1.8,Вес1.9,Вес1.11,Вес1.12,Вес1.13,Вес1.14,Вес1.15,Вес1.16,Вес1.17,Вес1.18)),"")</f>
        <v>7</v>
      </c>
      <c r="AY45" s="10">
        <f>IF(AX45="","не применяется",IF(AU45=0,"не применяется",AX45*AW45/100))</f>
        <v>7.0000000000000007E-2</v>
      </c>
      <c r="AZ45" s="10">
        <f>IF(ISNUMBER(AY45),AY45,"")</f>
        <v>7.0000000000000007E-2</v>
      </c>
      <c r="BA45" s="56">
        <v>1</v>
      </c>
      <c r="BB45" s="56">
        <v>230.07910000000001</v>
      </c>
      <c r="BC45" s="56">
        <v>1</v>
      </c>
      <c r="BD45" s="10">
        <f>IF(BA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1.11/MIN(Вес1.1,Вес1.3,Вес1.4,Вес1.5,Вес1.6,Вес1.7,Вес1.8,Вес1.9,Вес1.11,Вес1.12,Вес1.13,Вес1.14,Вес1.15,Вес1.16,Вес1.17,Вес1.18)),"")</f>
        <v>7</v>
      </c>
      <c r="BE45" s="10">
        <f>IF(BD45="","не применяется",IF(BA45=0,"не применяется",BD45*BC45/100))</f>
        <v>7.0000000000000007E-2</v>
      </c>
      <c r="BF45" s="10">
        <f>IF(ISNUMBER(BE45),BE45,"")</f>
        <v>7.0000000000000007E-2</v>
      </c>
      <c r="BG45" s="56">
        <v>1</v>
      </c>
      <c r="BH45" s="56">
        <v>2.1999999999999999E-2</v>
      </c>
      <c r="BI45" s="56">
        <v>0.97499999999999998</v>
      </c>
      <c r="BJ45" s="10">
        <f>IF(BG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1.12/MIN(Вес1.1,Вес1.3,Вес1.4,Вес1.5,Вес1.6,Вес1.7,Вес1.8,Вес1.9,Вес1.11,Вес1.12,Вес1.13,Вес1.14,Вес1.15,Вес1.16,Вес1.17,Вес1.18)),"")</f>
        <v>6</v>
      </c>
      <c r="BK45" s="10">
        <f>IF(BJ45="","не применяется",IF(BG45=0,"не применяется",BJ45*BI45/100))</f>
        <v>5.8499999999999996E-2</v>
      </c>
      <c r="BL45" s="10">
        <f>IF(ISNUMBER(BK45),BK45,"")</f>
        <v>5.8499999999999996E-2</v>
      </c>
      <c r="BM45" s="56">
        <v>1</v>
      </c>
      <c r="BN45" s="56">
        <v>99.762600000000006</v>
      </c>
      <c r="BO45" s="56">
        <v>1</v>
      </c>
      <c r="BP45" s="10">
        <f>IF(BM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1.13/MIN(Вес1.1,Вес1.3,Вес1.4,Вес1.5,Вес1.6,Вес1.7,Вес1.8,Вес1.9,Вес1.11,Вес1.12,Вес1.13,Вес1.14,Вес1.15,Вес1.16,Вес1.17,Вес1.18)),"")</f>
        <v>7</v>
      </c>
      <c r="BQ45" s="10">
        <f>IF(BP45="","не применяется",IF(BM45=0,"не применяется",BP45*BO45/100))</f>
        <v>7.0000000000000007E-2</v>
      </c>
      <c r="BR45" s="10">
        <f>IF(ISNUMBER(BQ45),BQ45,"")</f>
        <v>7.0000000000000007E-2</v>
      </c>
      <c r="BS45" s="56">
        <v>1</v>
      </c>
      <c r="BT45" s="56">
        <v>2.3999999999999998E-3</v>
      </c>
      <c r="BU45" s="56">
        <v>1</v>
      </c>
      <c r="BV45" s="10">
        <f>IF(BS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1.14/MIN(Вес1.1,Вес1.3,Вес1.4,Вес1.5,Вес1.6,Вес1.7,Вес1.8,Вес1.9,Вес1.11,Вес1.12,Вес1.13,Вес1.14,Вес1.15,Вес1.16,Вес1.17,Вес1.18)),"")</f>
        <v>6</v>
      </c>
      <c r="BW45" s="10">
        <f>IF(BV45="","не применяется",IF(BS45=0,"не применяется",BV45*BU45/100))</f>
        <v>0.06</v>
      </c>
      <c r="BX45" s="10">
        <f>IF(ISNUMBER(BW45),BW45,"")</f>
        <v>0.06</v>
      </c>
      <c r="BY45" s="56">
        <v>1</v>
      </c>
      <c r="BZ45" s="56">
        <v>5.8799999999999998E-2</v>
      </c>
      <c r="CA45" s="56">
        <v>0.86460000000000004</v>
      </c>
      <c r="CB45" s="10">
        <f>IF(BY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1.15/MIN(Вес1.1,Вес1.3,Вес1.4,Вес1.5,Вес1.6,Вес1.7,Вес1.8,Вес1.9,Вес1.11,Вес1.12,Вес1.13,Вес1.14,Вес1.15,Вес1.16,Вес1.17,Вес1.18)),"")</f>
        <v>6</v>
      </c>
      <c r="CC45" s="10">
        <f>IF(CB45="","не применяется",IF(BY45=0,"не применяется",CB45*CA45/100))</f>
        <v>5.1875999999999999E-2</v>
      </c>
      <c r="CD45" s="10">
        <f>IF(ISNUMBER(CC45),CC45,"")</f>
        <v>5.1875999999999999E-2</v>
      </c>
      <c r="CE45" s="56">
        <v>1</v>
      </c>
      <c r="CF45" s="56">
        <v>0</v>
      </c>
      <c r="CG45" s="56">
        <v>1</v>
      </c>
      <c r="CH45" s="10">
        <f>IF(CE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1.16/MIN(Вес1.1,Вес1.3,Вес1.4,Вес1.5,Вес1.6,Вес1.7,Вес1.8,Вес1.9,Вес1.11,Вес1.12,Вес1.13,Вес1.14,Вес1.15,Вес1.16,Вес1.17,Вес1.18)),"")</f>
        <v>7</v>
      </c>
      <c r="CI45" s="10">
        <f>IF(CH45="","не применяется",IF(CE45=0,"не применяется",CH45*CG45/100))</f>
        <v>7.0000000000000007E-2</v>
      </c>
      <c r="CJ45" s="10">
        <f>IF(ISNUMBER(CI45),CI45,"")</f>
        <v>7.0000000000000007E-2</v>
      </c>
      <c r="CK45" s="56">
        <v>1</v>
      </c>
      <c r="CL45" s="56">
        <v>0</v>
      </c>
      <c r="CM45" s="56">
        <v>1</v>
      </c>
      <c r="CN45" s="10">
        <f>IF(CK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1.17/MIN(Вес1.1,Вес1.3,Вес1.4,Вес1.5,Вес1.6,Вес1.7,Вес1.8,Вес1.9,Вес1.11,Вес1.12,Вес1.13,Вес1.14,Вес1.15,Вес1.16,Вес1.17,Вес1.18)),"")</f>
        <v>6</v>
      </c>
      <c r="CO45" s="10">
        <f>IF(CN45="","не применяется",IF(CK45=0,"не применяется",CN45*CM45/100))</f>
        <v>0.06</v>
      </c>
      <c r="CP45" s="10">
        <f>IF(ISNUMBER(CO45),CO45,"")</f>
        <v>0.06</v>
      </c>
      <c r="CQ45" s="56">
        <v>1</v>
      </c>
      <c r="CR45" s="56">
        <v>102.4096</v>
      </c>
      <c r="CS45" s="56">
        <v>0</v>
      </c>
      <c r="CT45" s="10">
        <f>IF(CQ45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45*Вес1.18/MIN(Вес1.1,Вес1.3,Вес1.4,Вес1.5,Вес1.6,Вес1.7,Вес1.8,Вес1.9,Вес1.11,Вес1.12,Вес1.13,Вес1.14,Вес1.15,Вес1.16,Вес1.17,Вес1.18)),"")</f>
        <v>6</v>
      </c>
      <c r="CU45" s="10">
        <f>IF(CT45="","не применяется",IF(CQ45=0,"не применяется",CT45*CS45/100))</f>
        <v>0</v>
      </c>
      <c r="CV45" s="10">
        <f>IF(ISNUMBER(CU45),CU45,"")</f>
        <v>0</v>
      </c>
      <c r="CW45" s="10">
        <f>IF(E45=1,Вес1.1/MIN(Вес1.1,Вес1.3,Вес1.4,Вес1.5,Вес1.6,Вес1.7,Вес1.8,Вес1.9,Вес1.11,Вес1.12,Вес1.13,Вес1.14,Вес1.15,Вес1.16,Вес1.17,Вес1.18),"")</f>
        <v>1.25</v>
      </c>
      <c r="CX45" s="10">
        <f>IF(K45=1,Вес1.3/MIN(Вес1.1,Вес1.3,Вес1.4,Вес1.5,Вес1.6,Вес1.7,Вес1.8,Вес1.9,Вес1.11,Вес1.12,Вес1.13,Вес1.14,Вес1.15,Вес1.16,Вес1.17,Вес1.18),"")</f>
        <v>1.25</v>
      </c>
      <c r="CY45" s="10">
        <f>IF(Q45=1,Вес1.4/MIN(Вес1.1,Вес1.3,Вес1.4,Вес1.5,Вес1.6,Вес1.7,Вес1.8,Вес1.9,Вес1.11,Вес1.12,Вес1.13,Вес1.14,Вес1.15,Вес1.16,Вес1.17,Вес1.18),"")</f>
        <v>1</v>
      </c>
      <c r="CZ45" s="10">
        <f>IF(W45=1,Вес1.5/MIN(Вес1.1,Вес1.3,Вес1.4,Вес1.5,Вес1.6,Вес1.7,Вес1.8,Вес1.9,Вес1.11,Вес1.12,Вес1.13,Вес1.14,Вес1.15,Вес1.16,Вес1.17,Вес1.18),"")</f>
        <v>1.75</v>
      </c>
      <c r="DA45" s="10">
        <f>IF(AC45=1,Вес1.6/MIN(Вес1.6,Вес1.3,Вес1.4,Вес1.5,Вес1.6,Вес1.7,Вес1.8,Вес1.9,Вес1.11,Вес1.12,Вес1.13,Вес1.14,Вес1.15,Вес1.16,Вес1.17,Вес1.18),"")</f>
        <v>1.75</v>
      </c>
      <c r="DB45" s="10">
        <f>IF(AI45=1,Вес1.7/MIN(Вес1.1,Вес1.3,Вес1.4,Вес1.5,Вес1.6,Вес1.7,Вес1.8,Вес1.9,Вес1.11,Вес1.12,Вес1.13,Вес1.14,Вес1.15,Вес1.16,Вес1.17,Вес1.18),"")</f>
        <v>1.75</v>
      </c>
      <c r="DC45" s="10">
        <f>IF(AO45=1,Вес1.8/MIN(Вес1.1,Вес1.3,Вес1.4,Вес1.5,Вес1.6,Вес1.7,Вес1.8,Вес1.9,Вес1.11,Вес1.12,Вес1.13,Вес1.14,Вес1.15,Вес1.16,Вес1.17,Вес1.18),"")</f>
        <v>1.75</v>
      </c>
      <c r="DD45" s="10">
        <f>IF(AU45=1,Вес1.9/MIN(Вес1.1,Вес1.3,Вес1.4,Вес1.5,Вес1.6,Вес1.7,Вес1.8,Вес1.9,Вес1.11,Вес1.12,Вес1.13,Вес1.14,Вес1.15,Вес1.16,Вес1.17,Вес1.18),"")</f>
        <v>1.75</v>
      </c>
      <c r="DE45" s="10">
        <f>IF(BA45=1,Вес1.11/MIN(Вес1.1,Вес1.3,Вес1.4,Вес1.5,Вес1.6,Вес1.7,Вес1.8,Вес1.9,Вес1.11,Вес1.12,Вес1.13,Вес1.14,Вес1.15,Вес1.16,Вес1.17,Вес1.18),"")</f>
        <v>1.75</v>
      </c>
      <c r="DF45" s="10">
        <f>IF(BG45=1,Вес1.12/MIN(Вес1.1,Вес1.3,Вес1.4,Вес1.5,Вес1.6,Вес1.7,Вес1.8,Вес1.9,Вес1.11,Вес1.12,Вес1.13,Вес1.14,Вес1.15,Вес1.16,Вес1.17,Вес1.18),"")</f>
        <v>1.5</v>
      </c>
      <c r="DG45" s="10">
        <f>IF(BM45=1,Вес1.13/MIN(Вес1.1,Вес1.3,Вес1.4,Вес1.5,Вес1.6,Вес1.7,Вес1.8,Вес1.9,Вес1.11,Вес1.12,Вес1.13,Вес1.14,Вес1.15,Вес1.16,Вес1.17,Вес1.18),"")</f>
        <v>1.75</v>
      </c>
      <c r="DH45" s="10">
        <f>IF(BS45=1,Вес1.14/MIN(Вес1.1,Вес1.3,Вес1.4,Вес1.5,Вес1.6,Вес1.7,Вес1.8,Вес1.9,Вес1.11,Вес1.12,Вес1.13,Вес1.14,Вес1.15,Вес1.16,Вес1.17,Вес1.18),"")</f>
        <v>1.5</v>
      </c>
      <c r="DI45" s="10">
        <f>IF(BY45=1,Вес1.15/MIN(Вес1.1,Вес1.3,Вес1.4,Вес1.5,Вес1.6,Вес1.7,Вес1.8,Вес1.9,Вес1.11,Вес1.12,Вес1.13,Вес1.14,Вес1.15,Вес1.16,Вес1.17,Вес1.18),"")</f>
        <v>1.5</v>
      </c>
      <c r="DJ45" s="10">
        <f>IF(CE45=1,Вес1.16/MIN(Вес1.1,Вес1.3,Вес1.4,Вес1.5,Вес1.6,Вес1.7,Вес1.8,Вес1.9,Вес1.11,Вес1.12,Вес1.13,Вес1.14,Вес1.15,Вес1.16,Вес1.17,Вес1.18),"")</f>
        <v>1.75</v>
      </c>
      <c r="DK45" s="10">
        <f>IF(CK45=1,Вес1.17/MIN(Вес1.1,Вес1.3,Вес1.4,Вес1.5,Вес1.6,Вес1.7,Вес1.8,Вес1.9,Вес1.11,Вес1.12,Вес1.13,Вес1.14,Вес1.15,Вес1.16,Вес1.17,Вес1.18),"")</f>
        <v>1.5</v>
      </c>
      <c r="DL45" s="10">
        <f>IF(CQ45=1,Вес1.18/MIN(Вес1.1,Вес1.3,Вес1.4,Вес1.5,Вес1.6,Вес1.7,Вес1.8,Вес1.9,Вес1.11,Вес1.12,Вес1.13,Вес1.14,Вес1.15,Вес1.16,Вес1.17,Вес1.18),"")</f>
        <v>1.5</v>
      </c>
      <c r="DM45" s="10">
        <f>SUM(CW45:DL45)</f>
        <v>25</v>
      </c>
    </row>
    <row r="46" spans="1:117" ht="38.25" x14ac:dyDescent="0.2">
      <c r="A46" s="1" t="s">
        <v>118</v>
      </c>
      <c r="B46" s="9" t="s">
        <v>35</v>
      </c>
      <c r="C46" s="10">
        <f>IF(D46&lt;&gt;1,"",SUM(J46,P46,V46,AB46,AH46,AN46,AT46,AZ46,BF46,BL46,BR46,BX46,CD46,CJ46,CP46,CV46))</f>
        <v>0.84886489361702111</v>
      </c>
      <c r="D46" s="10">
        <f>IF(SUM(E46,K46,Q46,W46,AC46,AI46,AO46,AU46,BA46,BG46,BM46,BS46,BY46,CE46,CK46,CQ46)=0,0,1)</f>
        <v>1</v>
      </c>
      <c r="E46" s="56">
        <v>1</v>
      </c>
      <c r="F46" s="56">
        <v>3.0303</v>
      </c>
      <c r="G46" s="56">
        <v>0.96970000000000001</v>
      </c>
      <c r="H46" s="10">
        <f>IF(E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1.1/MIN(Вес1.1,Вес1.3,Вес1.4,Вес1.5,Вес1.6,Вес1.7,Вес1.8,Вес1.9,Вес1.11,Вес1.12,Вес1.13,Вес1.14,Вес1.15,Вес1.16,Вес1.17,Вес1.18)),"")</f>
        <v>5.3191489361702127</v>
      </c>
      <c r="I46" s="10">
        <f>IF(H46="","не применяется",IF(E46=0,"не применяется",H46*G46/100))</f>
        <v>5.1579787234042558E-2</v>
      </c>
      <c r="J46" s="10">
        <f>IF(ISNUMBER(I46),I46,"")</f>
        <v>5.1579787234042558E-2</v>
      </c>
      <c r="K46" s="56">
        <v>1</v>
      </c>
      <c r="L46" s="56">
        <v>0</v>
      </c>
      <c r="M46" s="56">
        <v>1</v>
      </c>
      <c r="N46" s="10">
        <f>IF(K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1.3/MIN(Вес1.1,Вес1.3,Вес1.4,Вес1.5,Вес1.6,Вес1.7,Вес1.8,Вес1.9,Вес1.11,Вес1.12,Вес1.13,Вес1.14,Вес1.15,Вес1.16,Вес1.17,Вес1.18)),"")</f>
        <v>5.3191489361702127</v>
      </c>
      <c r="O46" s="10">
        <f>IF(N46="","не применяется",IF(K46=0,"не применяется",N46*M46/100))</f>
        <v>5.3191489361702128E-2</v>
      </c>
      <c r="P46" s="10">
        <f>IF(ISNUMBER(O46),O46,"")</f>
        <v>5.3191489361702128E-2</v>
      </c>
      <c r="Q46" s="56">
        <v>1</v>
      </c>
      <c r="R46" s="56">
        <v>100</v>
      </c>
      <c r="S46" s="56">
        <v>1</v>
      </c>
      <c r="T46" s="10">
        <f>IF(Q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1.4/MIN(Вес1.1,Вес1.3,Вес1.4,Вес1.5,Вес1.6,Вес1.7,Вес1.8,Вес1.9,Вес1.11,Вес1.12,Вес1.13,Вес1.14,Вес1.15,Вес1.16,Вес1.17,Вес1.18)),"")</f>
        <v>4.2553191489361701</v>
      </c>
      <c r="U46" s="10">
        <f>IF(T46="","не применяется",IF(Q46=0,"не применяется",S46*T46/100))</f>
        <v>4.2553191489361701E-2</v>
      </c>
      <c r="V46" s="10">
        <f>IF(ISNUMBER(U46),U46,"")</f>
        <v>4.2553191489361701E-2</v>
      </c>
      <c r="W46" s="56">
        <v>1</v>
      </c>
      <c r="X46" s="56">
        <v>3.5700000000000003E-2</v>
      </c>
      <c r="Y46" s="56">
        <v>1</v>
      </c>
      <c r="Z46" s="10">
        <f>IF(W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1.5/MIN(Вес1.1,Вес1.3,Вес1.4,Вес1.5,Вес1.6,Вес1.7,Вес1.8,Вес1.9,Вес1.11,Вес1.12,Вес1.13,Вес1.14,Вес1.15,Вес1.16,Вес1.17,Вес1.18)),"")</f>
        <v>7.4468085106382977</v>
      </c>
      <c r="AA46" s="10">
        <f>IF(Z46="","не применяется",IF(W46=0,"не применяется",Z46*Y46/100))</f>
        <v>7.4468085106382975E-2</v>
      </c>
      <c r="AB46" s="10">
        <f>IF(ISNUMBER(AA46),AA46,"")</f>
        <v>7.4468085106382975E-2</v>
      </c>
      <c r="AC46" s="56">
        <v>1</v>
      </c>
      <c r="AD46" s="56">
        <v>0</v>
      </c>
      <c r="AE46" s="56">
        <v>1</v>
      </c>
      <c r="AF46" s="10">
        <f>IF(AC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1.6/MIN(Вес1.1,Вес1.3,Вес1.4,Вес1.5,Вес1.6,Вес1.7,Вес1.8,Вес1.9,Вес1.11,Вес1.12,Вес1.13,Вес1.14,Вес1.15,Вес1.16,Вес1.17,Вес1.18)),"")</f>
        <v>7.4468085106382977</v>
      </c>
      <c r="AG46" s="10">
        <f>IF(AF46="","не применяется",IF(AC46=0,"не применяется",AF46*AE46/100))</f>
        <v>7.4468085106382975E-2</v>
      </c>
      <c r="AH46" s="10">
        <f>IF(ISNUMBER(AG46),AG46,"")</f>
        <v>7.4468085106382975E-2</v>
      </c>
      <c r="AI46" s="56">
        <v>1</v>
      </c>
      <c r="AJ46" s="56">
        <v>0</v>
      </c>
      <c r="AK46" s="56">
        <v>1</v>
      </c>
      <c r="AL46" s="10">
        <f>IF(AI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1.7/MIN(Вес1.1,Вес1.3,Вес1.4,Вес1.5,Вес1.6,Вес1.7,Вес1.8,Вес1.9,Вес1.11,Вес1.12,Вес1.13,Вес1.14,Вес1.15,Вес1.16,Вес1.17,Вес1.18)),"")</f>
        <v>7.4468085106382977</v>
      </c>
      <c r="AM46" s="10">
        <f>IF(AL46="","не применяется",IF(AI46=0,"не применяется",AL46*AK46/100))</f>
        <v>7.4468085106382975E-2</v>
      </c>
      <c r="AN46" s="10">
        <f>IF(ISNUMBER(AM46),AM46,"")</f>
        <v>7.4468085106382975E-2</v>
      </c>
      <c r="AO46" s="56">
        <v>1</v>
      </c>
      <c r="AP46" s="56">
        <v>44</v>
      </c>
      <c r="AQ46" s="56">
        <v>0</v>
      </c>
      <c r="AR46" s="10">
        <f>IF(AO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1.8/MIN(Вес1.1,Вес1.3,Вес1.4,Вес1.5,Вес1.6,Вес1.7,Вес1.8,Вес1.9,Вес1.11,Вес1.12,Вес1.13,Вес1.14,Вес1.15,Вес1.16,Вес1.17,Вес1.18)),"")</f>
        <v>7.4468085106382977</v>
      </c>
      <c r="AS46" s="10">
        <f>IF(AR46="","не применяется",IF(AO46=0,"не применяется",AR46*AQ46/100))</f>
        <v>0</v>
      </c>
      <c r="AT46" s="10">
        <f>IF(ISNUMBER(AS46),AS46,"")</f>
        <v>0</v>
      </c>
      <c r="AU46" s="56">
        <v>1</v>
      </c>
      <c r="AV46" s="56">
        <v>30.442900000000002</v>
      </c>
      <c r="AW46" s="56">
        <v>1</v>
      </c>
      <c r="AX46" s="10">
        <f>IF(AU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1.9/MIN(Вес1.1,Вес1.3,Вес1.4,Вес1.5,Вес1.6,Вес1.7,Вес1.8,Вес1.9,Вес1.11,Вес1.12,Вес1.13,Вес1.14,Вес1.15,Вес1.16,Вес1.17,Вес1.18)),"")</f>
        <v>7.4468085106382977</v>
      </c>
      <c r="AY46" s="10">
        <f>IF(AX46="","не применяется",IF(AU46=0,"не применяется",AX46*AW46/100))</f>
        <v>7.4468085106382975E-2</v>
      </c>
      <c r="AZ46" s="10">
        <f>IF(ISNUMBER(AY46),AY46,"")</f>
        <v>7.4468085106382975E-2</v>
      </c>
      <c r="BA46" s="56">
        <v>1</v>
      </c>
      <c r="BB46" s="56">
        <v>110.032</v>
      </c>
      <c r="BC46" s="56">
        <v>1</v>
      </c>
      <c r="BD46" s="10">
        <f>IF(BA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1.11/MIN(Вес1.1,Вес1.3,Вес1.4,Вес1.5,Вес1.6,Вес1.7,Вес1.8,Вес1.9,Вес1.11,Вес1.12,Вес1.13,Вес1.14,Вес1.15,Вес1.16,Вес1.17,Вес1.18)),"")</f>
        <v>7.4468085106382977</v>
      </c>
      <c r="BE46" s="10">
        <f>IF(BD46="","не применяется",IF(BA46=0,"не применяется",BD46*BC46/100))</f>
        <v>7.4468085106382975E-2</v>
      </c>
      <c r="BF46" s="10">
        <f>IF(ISNUMBER(BE46),BE46,"")</f>
        <v>7.4468085106382975E-2</v>
      </c>
      <c r="BG46" s="56">
        <v>1</v>
      </c>
      <c r="BH46" s="56">
        <v>1.26E-2</v>
      </c>
      <c r="BI46" s="56">
        <v>1</v>
      </c>
      <c r="BJ46" s="10">
        <f>IF(BG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1.12/MIN(Вес1.1,Вес1.3,Вес1.4,Вес1.5,Вес1.6,Вес1.7,Вес1.8,Вес1.9,Вес1.11,Вес1.12,Вес1.13,Вес1.14,Вес1.15,Вес1.16,Вес1.17,Вес1.18)),"")</f>
        <v>6.3829787234042552</v>
      </c>
      <c r="BK46" s="10">
        <f>IF(BJ46="","не применяется",IF(BG46=0,"не применяется",BJ46*BI46/100))</f>
        <v>6.3829787234042548E-2</v>
      </c>
      <c r="BL46" s="10">
        <f>IF(ISNUMBER(BK46),BK46,"")</f>
        <v>6.3829787234042548E-2</v>
      </c>
      <c r="BM46" s="56">
        <v>1</v>
      </c>
      <c r="BN46" s="56">
        <v>96.619500000000002</v>
      </c>
      <c r="BO46" s="56">
        <v>0</v>
      </c>
      <c r="BP46" s="10">
        <f>IF(BM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1.13/MIN(Вес1.1,Вес1.3,Вес1.4,Вес1.5,Вес1.6,Вес1.7,Вес1.8,Вес1.9,Вес1.11,Вес1.12,Вес1.13,Вес1.14,Вес1.15,Вес1.16,Вес1.17,Вес1.18)),"")</f>
        <v>7.4468085106382977</v>
      </c>
      <c r="BQ46" s="10">
        <f>IF(BP46="","не применяется",IF(BM46=0,"не применяется",BP46*BO46/100))</f>
        <v>0</v>
      </c>
      <c r="BR46" s="10">
        <f>IF(ISNUMBER(BQ46),BQ46,"")</f>
        <v>0</v>
      </c>
      <c r="BS46" s="56">
        <v>1</v>
      </c>
      <c r="BT46" s="56">
        <v>3.3799999999999997E-2</v>
      </c>
      <c r="BU46" s="56">
        <v>1</v>
      </c>
      <c r="BV46" s="10">
        <f>IF(BS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1.14/MIN(Вес1.1,Вес1.3,Вес1.4,Вес1.5,Вес1.6,Вес1.7,Вес1.8,Вес1.9,Вес1.11,Вес1.12,Вес1.13,Вес1.14,Вес1.15,Вес1.16,Вес1.17,Вес1.18)),"")</f>
        <v>6.3829787234042552</v>
      </c>
      <c r="BW46" s="10">
        <f>IF(BV46="","не применяется",IF(BS46=0,"не применяется",BV46*BU46/100))</f>
        <v>6.3829787234042548E-2</v>
      </c>
      <c r="BX46" s="10">
        <f>IF(ISNUMBER(BW46),BW46,"")</f>
        <v>6.3829787234042548E-2</v>
      </c>
      <c r="BY46" s="56">
        <v>1</v>
      </c>
      <c r="BZ46" s="56">
        <v>3.7000000000000002E-3</v>
      </c>
      <c r="CA46" s="56">
        <v>0.99080000000000001</v>
      </c>
      <c r="CB46" s="10">
        <f>IF(BY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1.15/MIN(Вес1.1,Вес1.3,Вес1.4,Вес1.5,Вес1.6,Вес1.7,Вес1.8,Вес1.9,Вес1.11,Вес1.12,Вес1.13,Вес1.14,Вес1.15,Вес1.16,Вес1.17,Вес1.18)),"")</f>
        <v>6.3829787234042552</v>
      </c>
      <c r="CC46" s="10">
        <f>IF(CB46="","не применяется",IF(BY46=0,"не применяется",CB46*CA46/100))</f>
        <v>6.3242553191489359E-2</v>
      </c>
      <c r="CD46" s="10">
        <f>IF(ISNUMBER(CC46),CC46,"")</f>
        <v>6.3242553191489359E-2</v>
      </c>
      <c r="CE46" s="56">
        <v>1</v>
      </c>
      <c r="CF46" s="56">
        <v>0</v>
      </c>
      <c r="CG46" s="56">
        <v>1</v>
      </c>
      <c r="CH46" s="10">
        <f>IF(CE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1.16/MIN(Вес1.1,Вес1.3,Вес1.4,Вес1.5,Вес1.6,Вес1.7,Вес1.8,Вес1.9,Вес1.11,Вес1.12,Вес1.13,Вес1.14,Вес1.15,Вес1.16,Вес1.17,Вес1.18)),"")</f>
        <v>7.4468085106382977</v>
      </c>
      <c r="CI46" s="10">
        <f>IF(CH46="","не применяется",IF(CE46=0,"не применяется",CH46*CG46/100))</f>
        <v>7.4468085106382975E-2</v>
      </c>
      <c r="CJ46" s="10">
        <f>IF(ISNUMBER(CI46),CI46,"")</f>
        <v>7.4468085106382975E-2</v>
      </c>
      <c r="CK46" s="56">
        <v>0</v>
      </c>
      <c r="CL46" s="56">
        <v>0</v>
      </c>
      <c r="CM46" s="56">
        <v>0</v>
      </c>
      <c r="CN46" s="10" t="str">
        <f>IF(CK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1.17/MIN(Вес1.1,Вес1.3,Вес1.4,Вес1.5,Вес1.6,Вес1.7,Вес1.8,Вес1.9,Вес1.11,Вес1.12,Вес1.13,Вес1.14,Вес1.15,Вес1.16,Вес1.17,Вес1.18)),"")</f>
        <v/>
      </c>
      <c r="CO46" s="10" t="str">
        <f>IF(CN46="","не применяется",IF(CK46=0,"не применяется",CN46*CM46/100))</f>
        <v>не применяется</v>
      </c>
      <c r="CP46" s="10" t="str">
        <f>IF(ISNUMBER(CO46),CO46,"")</f>
        <v/>
      </c>
      <c r="CQ46" s="56">
        <v>1</v>
      </c>
      <c r="CR46" s="56">
        <v>0</v>
      </c>
      <c r="CS46" s="56">
        <v>1</v>
      </c>
      <c r="CT46" s="10">
        <f>IF(CQ46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46*Вес1.18/MIN(Вес1.1,Вес1.3,Вес1.4,Вес1.5,Вес1.6,Вес1.7,Вес1.8,Вес1.9,Вес1.11,Вес1.12,Вес1.13,Вес1.14,Вес1.15,Вес1.16,Вес1.17,Вес1.18)),"")</f>
        <v>6.3829787234042552</v>
      </c>
      <c r="CU46" s="10">
        <f>IF(CT46="","не применяется",IF(CQ46=0,"не применяется",CT46*CS46/100))</f>
        <v>6.3829787234042548E-2</v>
      </c>
      <c r="CV46" s="10">
        <f>IF(ISNUMBER(CU46),CU46,"")</f>
        <v>6.3829787234042548E-2</v>
      </c>
      <c r="CW46" s="10">
        <f>IF(E46=1,Вес1.1/MIN(Вес1.1,Вес1.3,Вес1.4,Вес1.5,Вес1.6,Вес1.7,Вес1.8,Вес1.9,Вес1.11,Вес1.12,Вес1.13,Вес1.14,Вес1.15,Вес1.16,Вес1.17,Вес1.18),"")</f>
        <v>1.25</v>
      </c>
      <c r="CX46" s="10">
        <f>IF(K46=1,Вес1.3/MIN(Вес1.1,Вес1.3,Вес1.4,Вес1.5,Вес1.6,Вес1.7,Вес1.8,Вес1.9,Вес1.11,Вес1.12,Вес1.13,Вес1.14,Вес1.15,Вес1.16,Вес1.17,Вес1.18),"")</f>
        <v>1.25</v>
      </c>
      <c r="CY46" s="10">
        <f>IF(Q46=1,Вес1.4/MIN(Вес1.1,Вес1.3,Вес1.4,Вес1.5,Вес1.6,Вес1.7,Вес1.8,Вес1.9,Вес1.11,Вес1.12,Вес1.13,Вес1.14,Вес1.15,Вес1.16,Вес1.17,Вес1.18),"")</f>
        <v>1</v>
      </c>
      <c r="CZ46" s="10">
        <f>IF(W46=1,Вес1.5/MIN(Вес1.1,Вес1.3,Вес1.4,Вес1.5,Вес1.6,Вес1.7,Вес1.8,Вес1.9,Вес1.11,Вес1.12,Вес1.13,Вес1.14,Вес1.15,Вес1.16,Вес1.17,Вес1.18),"")</f>
        <v>1.75</v>
      </c>
      <c r="DA46" s="10">
        <f>IF(AC46=1,Вес1.6/MIN(Вес1.6,Вес1.3,Вес1.4,Вес1.5,Вес1.6,Вес1.7,Вес1.8,Вес1.9,Вес1.11,Вес1.12,Вес1.13,Вес1.14,Вес1.15,Вес1.16,Вес1.17,Вес1.18),"")</f>
        <v>1.75</v>
      </c>
      <c r="DB46" s="10">
        <f>IF(AI46=1,Вес1.7/MIN(Вес1.1,Вес1.3,Вес1.4,Вес1.5,Вес1.6,Вес1.7,Вес1.8,Вес1.9,Вес1.11,Вес1.12,Вес1.13,Вес1.14,Вес1.15,Вес1.16,Вес1.17,Вес1.18),"")</f>
        <v>1.75</v>
      </c>
      <c r="DC46" s="10">
        <f>IF(AO46=1,Вес1.8/MIN(Вес1.1,Вес1.3,Вес1.4,Вес1.5,Вес1.6,Вес1.7,Вес1.8,Вес1.9,Вес1.11,Вес1.12,Вес1.13,Вес1.14,Вес1.15,Вес1.16,Вес1.17,Вес1.18),"")</f>
        <v>1.75</v>
      </c>
      <c r="DD46" s="10">
        <f>IF(AU46=1,Вес1.9/MIN(Вес1.1,Вес1.3,Вес1.4,Вес1.5,Вес1.6,Вес1.7,Вес1.8,Вес1.9,Вес1.11,Вес1.12,Вес1.13,Вес1.14,Вес1.15,Вес1.16,Вес1.17,Вес1.18),"")</f>
        <v>1.75</v>
      </c>
      <c r="DE46" s="10">
        <f>IF(BA46=1,Вес1.11/MIN(Вес1.1,Вес1.3,Вес1.4,Вес1.5,Вес1.6,Вес1.7,Вес1.8,Вес1.9,Вес1.11,Вес1.12,Вес1.13,Вес1.14,Вес1.15,Вес1.16,Вес1.17,Вес1.18),"")</f>
        <v>1.75</v>
      </c>
      <c r="DF46" s="10">
        <f>IF(BG46=1,Вес1.12/MIN(Вес1.1,Вес1.3,Вес1.4,Вес1.5,Вес1.6,Вес1.7,Вес1.8,Вес1.9,Вес1.11,Вес1.12,Вес1.13,Вес1.14,Вес1.15,Вес1.16,Вес1.17,Вес1.18),"")</f>
        <v>1.5</v>
      </c>
      <c r="DG46" s="10">
        <f>IF(BM46=1,Вес1.13/MIN(Вес1.1,Вес1.3,Вес1.4,Вес1.5,Вес1.6,Вес1.7,Вес1.8,Вес1.9,Вес1.11,Вес1.12,Вес1.13,Вес1.14,Вес1.15,Вес1.16,Вес1.17,Вес1.18),"")</f>
        <v>1.75</v>
      </c>
      <c r="DH46" s="10">
        <f>IF(BS46=1,Вес1.14/MIN(Вес1.1,Вес1.3,Вес1.4,Вес1.5,Вес1.6,Вес1.7,Вес1.8,Вес1.9,Вес1.11,Вес1.12,Вес1.13,Вес1.14,Вес1.15,Вес1.16,Вес1.17,Вес1.18),"")</f>
        <v>1.5</v>
      </c>
      <c r="DI46" s="10">
        <f>IF(BY46=1,Вес1.15/MIN(Вес1.1,Вес1.3,Вес1.4,Вес1.5,Вес1.6,Вес1.7,Вес1.8,Вес1.9,Вес1.11,Вес1.12,Вес1.13,Вес1.14,Вес1.15,Вес1.16,Вес1.17,Вес1.18),"")</f>
        <v>1.5</v>
      </c>
      <c r="DJ46" s="10">
        <f>IF(CE46=1,Вес1.16/MIN(Вес1.1,Вес1.3,Вес1.4,Вес1.5,Вес1.6,Вес1.7,Вес1.8,Вес1.9,Вес1.11,Вес1.12,Вес1.13,Вес1.14,Вес1.15,Вес1.16,Вес1.17,Вес1.18),"")</f>
        <v>1.75</v>
      </c>
      <c r="DK46" s="10" t="str">
        <f>IF(CK46=1,Вес1.17/MIN(Вес1.1,Вес1.3,Вес1.4,Вес1.5,Вес1.6,Вес1.7,Вес1.8,Вес1.9,Вес1.11,Вес1.12,Вес1.13,Вес1.14,Вес1.15,Вес1.16,Вес1.17,Вес1.18),"")</f>
        <v/>
      </c>
      <c r="DL46" s="10">
        <f>IF(CQ46=1,Вес1.18/MIN(Вес1.1,Вес1.3,Вес1.4,Вес1.5,Вес1.6,Вес1.7,Вес1.8,Вес1.9,Вес1.11,Вес1.12,Вес1.13,Вес1.14,Вес1.15,Вес1.16,Вес1.17,Вес1.18),"")</f>
        <v>1.5</v>
      </c>
      <c r="DM46" s="10">
        <f>SUM(CW46:DL46)</f>
        <v>23.5</v>
      </c>
    </row>
    <row r="47" spans="1:117" ht="25.5" x14ac:dyDescent="0.2">
      <c r="A47" s="1" t="s">
        <v>119</v>
      </c>
      <c r="B47" s="9" t="s">
        <v>36</v>
      </c>
      <c r="C47" s="10">
        <f>IF(D47&lt;&gt;1,"",SUM(J47,P47,V47,AB47,AH47,AN47,AT47,AZ47,BF47,BL47,BR47,BX47,CD47,CJ47,CP47,CV47))</f>
        <v>0.91122469135802475</v>
      </c>
      <c r="D47" s="10">
        <f>IF(SUM(E47,K47,Q47,W47,AC47,AI47,AO47,AU47,BA47,BG47,BM47,BS47,BY47,CE47,CK47,CQ47)=0,0,1)</f>
        <v>1</v>
      </c>
      <c r="E47" s="56">
        <v>1</v>
      </c>
      <c r="F47" s="56">
        <v>0</v>
      </c>
      <c r="G47" s="56">
        <v>1</v>
      </c>
      <c r="H47" s="10">
        <f>IF(E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1.1/MIN(Вес1.1,Вес1.3,Вес1.4,Вес1.5,Вес1.6,Вес1.7,Вес1.8,Вес1.9,Вес1.11,Вес1.12,Вес1.13,Вес1.14,Вес1.15,Вес1.16,Вес1.17,Вес1.18)),"")</f>
        <v>6.1728395061728394</v>
      </c>
      <c r="I47" s="10">
        <f>IF(H47="","не применяется",IF(E47=0,"не применяется",H47*G47/100))</f>
        <v>6.1728395061728392E-2</v>
      </c>
      <c r="J47" s="10">
        <f>IF(ISNUMBER(I47),I47,"")</f>
        <v>6.1728395061728392E-2</v>
      </c>
      <c r="K47" s="56">
        <v>1</v>
      </c>
      <c r="L47" s="56">
        <v>0</v>
      </c>
      <c r="M47" s="56">
        <v>1</v>
      </c>
      <c r="N47" s="10">
        <f>IF(K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1.3/MIN(Вес1.1,Вес1.3,Вес1.4,Вес1.5,Вес1.6,Вес1.7,Вес1.8,Вес1.9,Вес1.11,Вес1.12,Вес1.13,Вес1.14,Вес1.15,Вес1.16,Вес1.17,Вес1.18)),"")</f>
        <v>6.1728395061728394</v>
      </c>
      <c r="O47" s="10">
        <f>IF(N47="","не применяется",IF(K47=0,"не применяется",N47*M47/100))</f>
        <v>6.1728395061728392E-2</v>
      </c>
      <c r="P47" s="10">
        <f>IF(ISNUMBER(O47),O47,"")</f>
        <v>6.1728395061728392E-2</v>
      </c>
      <c r="Q47" s="56">
        <v>1</v>
      </c>
      <c r="R47" s="56">
        <v>100</v>
      </c>
      <c r="S47" s="56">
        <v>1</v>
      </c>
      <c r="T47" s="10">
        <f>IF(Q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1.4/MIN(Вес1.1,Вес1.3,Вес1.4,Вес1.5,Вес1.6,Вес1.7,Вес1.8,Вес1.9,Вес1.11,Вес1.12,Вес1.13,Вес1.14,Вес1.15,Вес1.16,Вес1.17,Вес1.18)),"")</f>
        <v>4.9382716049382713</v>
      </c>
      <c r="U47" s="10">
        <f>IF(T47="","не применяется",IF(Q47=0,"не применяется",S47*T47/100))</f>
        <v>4.9382716049382713E-2</v>
      </c>
      <c r="V47" s="10">
        <f>IF(ISNUMBER(U47),U47,"")</f>
        <v>4.9382716049382713E-2</v>
      </c>
      <c r="W47" s="56">
        <v>1</v>
      </c>
      <c r="X47" s="56">
        <v>3.4799999999999998E-2</v>
      </c>
      <c r="Y47" s="56">
        <v>1</v>
      </c>
      <c r="Z47" s="10">
        <f>IF(W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1.5/MIN(Вес1.1,Вес1.3,Вес1.4,Вес1.5,Вес1.6,Вес1.7,Вес1.8,Вес1.9,Вес1.11,Вес1.12,Вес1.13,Вес1.14,Вес1.15,Вес1.16,Вес1.17,Вес1.18)),"")</f>
        <v>8.6419753086419746</v>
      </c>
      <c r="AA47" s="10">
        <f>IF(Z47="","не применяется",IF(W47=0,"не применяется",Z47*Y47/100))</f>
        <v>8.6419753086419748E-2</v>
      </c>
      <c r="AB47" s="10">
        <f>IF(ISNUMBER(AA47),AA47,"")</f>
        <v>8.6419753086419748E-2</v>
      </c>
      <c r="AC47" s="56">
        <v>1</v>
      </c>
      <c r="AD47" s="56">
        <v>0</v>
      </c>
      <c r="AE47" s="56">
        <v>1</v>
      </c>
      <c r="AF47" s="10">
        <f>IF(AC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1.6/MIN(Вес1.1,Вес1.3,Вес1.4,Вес1.5,Вес1.6,Вес1.7,Вес1.8,Вес1.9,Вес1.11,Вес1.12,Вес1.13,Вес1.14,Вес1.15,Вес1.16,Вес1.17,Вес1.18)),"")</f>
        <v>8.6419753086419746</v>
      </c>
      <c r="AG47" s="10">
        <f>IF(AF47="","не применяется",IF(AC47=0,"не применяется",AF47*AE47/100))</f>
        <v>8.6419753086419748E-2</v>
      </c>
      <c r="AH47" s="10">
        <f>IF(ISNUMBER(AG47),AG47,"")</f>
        <v>8.6419753086419748E-2</v>
      </c>
      <c r="AI47" s="56">
        <v>1</v>
      </c>
      <c r="AJ47" s="56">
        <v>0</v>
      </c>
      <c r="AK47" s="56">
        <v>1</v>
      </c>
      <c r="AL47" s="10">
        <f>IF(AI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1.7/MIN(Вес1.1,Вес1.3,Вес1.4,Вес1.5,Вес1.6,Вес1.7,Вес1.8,Вес1.9,Вес1.11,Вес1.12,Вес1.13,Вес1.14,Вес1.15,Вес1.16,Вес1.17,Вес1.18)),"")</f>
        <v>8.6419753086419746</v>
      </c>
      <c r="AM47" s="10">
        <f>IF(AL47="","не применяется",IF(AI47=0,"не применяется",AL47*AK47/100))</f>
        <v>8.6419753086419748E-2</v>
      </c>
      <c r="AN47" s="10">
        <f>IF(ISNUMBER(AM47),AM47,"")</f>
        <v>8.6419753086419748E-2</v>
      </c>
      <c r="AO47" s="56">
        <v>1</v>
      </c>
      <c r="AP47" s="56">
        <v>25</v>
      </c>
      <c r="AQ47" s="56">
        <v>0</v>
      </c>
      <c r="AR47" s="10">
        <f>IF(AO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1.8/MIN(Вес1.1,Вес1.3,Вес1.4,Вес1.5,Вес1.6,Вес1.7,Вес1.8,Вес1.9,Вес1.11,Вес1.12,Вес1.13,Вес1.14,Вес1.15,Вес1.16,Вес1.17,Вес1.18)),"")</f>
        <v>8.6419753086419746</v>
      </c>
      <c r="AS47" s="10">
        <f>IF(AR47="","не применяется",IF(AO47=0,"не применяется",AR47*AQ47/100))</f>
        <v>0</v>
      </c>
      <c r="AT47" s="10">
        <f>IF(ISNUMBER(AS47),AS47,"")</f>
        <v>0</v>
      </c>
      <c r="AU47" s="56">
        <v>1</v>
      </c>
      <c r="AV47" s="56">
        <v>36.081400000000002</v>
      </c>
      <c r="AW47" s="56">
        <v>1</v>
      </c>
      <c r="AX47" s="10">
        <f>IF(AU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1.9/MIN(Вес1.1,Вес1.3,Вес1.4,Вес1.5,Вес1.6,Вес1.7,Вес1.8,Вес1.9,Вес1.11,Вес1.12,Вес1.13,Вес1.14,Вес1.15,Вес1.16,Вес1.17,Вес1.18)),"")</f>
        <v>8.6419753086419746</v>
      </c>
      <c r="AY47" s="10">
        <f>IF(AX47="","не применяется",IF(AU47=0,"не применяется",AX47*AW47/100))</f>
        <v>8.6419753086419748E-2</v>
      </c>
      <c r="AZ47" s="10">
        <f>IF(ISNUMBER(AY47),AY47,"")</f>
        <v>8.6419753086419748E-2</v>
      </c>
      <c r="BA47" s="56">
        <v>1</v>
      </c>
      <c r="BB47" s="56">
        <v>122.9922</v>
      </c>
      <c r="BC47" s="56">
        <v>1</v>
      </c>
      <c r="BD47" s="10">
        <f>IF(BA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1.11/MIN(Вес1.1,Вес1.3,Вес1.4,Вес1.5,Вес1.6,Вес1.7,Вес1.8,Вес1.9,Вес1.11,Вес1.12,Вес1.13,Вес1.14,Вес1.15,Вес1.16,Вес1.17,Вес1.18)),"")</f>
        <v>8.6419753086419746</v>
      </c>
      <c r="BE47" s="10">
        <f>IF(BD47="","не применяется",IF(BA47=0,"не применяется",BD47*BC47/100))</f>
        <v>8.6419753086419748E-2</v>
      </c>
      <c r="BF47" s="10">
        <f>IF(ISNUMBER(BE47),BE47,"")</f>
        <v>8.6419753086419748E-2</v>
      </c>
      <c r="BG47" s="56">
        <v>1</v>
      </c>
      <c r="BH47" s="56">
        <v>1.4E-3</v>
      </c>
      <c r="BI47" s="56">
        <v>1</v>
      </c>
      <c r="BJ47" s="10">
        <f>IF(BG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1.12/MIN(Вес1.1,Вес1.3,Вес1.4,Вес1.5,Вес1.6,Вес1.7,Вес1.8,Вес1.9,Вес1.11,Вес1.12,Вес1.13,Вес1.14,Вес1.15,Вес1.16,Вес1.17,Вес1.18)),"")</f>
        <v>7.4074074074074066</v>
      </c>
      <c r="BK47" s="10">
        <f>IF(BJ47="","не применяется",IF(BG47=0,"не применяется",BJ47*BI47/100))</f>
        <v>7.407407407407407E-2</v>
      </c>
      <c r="BL47" s="10">
        <f>IF(ISNUMBER(BK47),BK47,"")</f>
        <v>7.407407407407407E-2</v>
      </c>
      <c r="BM47" s="56">
        <v>0</v>
      </c>
      <c r="BN47" s="56">
        <v>0</v>
      </c>
      <c r="BO47" s="56">
        <v>0</v>
      </c>
      <c r="BP47" s="10" t="str">
        <f>IF(BM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1.13/MIN(Вес1.1,Вес1.3,Вес1.4,Вес1.5,Вес1.6,Вес1.7,Вес1.8,Вес1.9,Вес1.11,Вес1.12,Вес1.13,Вес1.14,Вес1.15,Вес1.16,Вес1.17,Вес1.18)),"")</f>
        <v/>
      </c>
      <c r="BQ47" s="10" t="str">
        <f>IF(BP47="","не применяется",IF(BM47=0,"не применяется",BP47*BO47/100))</f>
        <v>не применяется</v>
      </c>
      <c r="BR47" s="10" t="str">
        <f>IF(ISNUMBER(BQ47),BQ47,"")</f>
        <v/>
      </c>
      <c r="BS47" s="56">
        <v>0</v>
      </c>
      <c r="BT47" s="56">
        <v>0</v>
      </c>
      <c r="BU47" s="56">
        <v>0</v>
      </c>
      <c r="BV47" s="10" t="str">
        <f>IF(BS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1.14/MIN(Вес1.1,Вес1.3,Вес1.4,Вес1.5,Вес1.6,Вес1.7,Вес1.8,Вес1.9,Вес1.11,Вес1.12,Вес1.13,Вес1.14,Вес1.15,Вес1.16,Вес1.17,Вес1.18)),"")</f>
        <v/>
      </c>
      <c r="BW47" s="10" t="str">
        <f>IF(BV47="","не применяется",IF(BS47=0,"не применяется",BV47*BU47/100))</f>
        <v>не применяется</v>
      </c>
      <c r="BX47" s="10" t="str">
        <f>IF(ISNUMBER(BW47),BW47,"")</f>
        <v/>
      </c>
      <c r="BY47" s="56">
        <v>1</v>
      </c>
      <c r="BZ47" s="56">
        <v>1.3100000000000001E-2</v>
      </c>
      <c r="CA47" s="56">
        <v>0.96819999999999995</v>
      </c>
      <c r="CB47" s="10">
        <f>IF(BY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1.15/MIN(Вес1.1,Вес1.3,Вес1.4,Вес1.5,Вес1.6,Вес1.7,Вес1.8,Вес1.9,Вес1.11,Вес1.12,Вес1.13,Вес1.14,Вес1.15,Вес1.16,Вес1.17,Вес1.18)),"")</f>
        <v>7.4074074074074066</v>
      </c>
      <c r="CC47" s="10">
        <f>IF(CB47="","не применяется",IF(BY47=0,"не применяется",CB47*CA47/100))</f>
        <v>7.1718518518518501E-2</v>
      </c>
      <c r="CD47" s="10">
        <f>IF(ISNUMBER(CC47),CC47,"")</f>
        <v>7.1718518518518501E-2</v>
      </c>
      <c r="CE47" s="56">
        <v>1</v>
      </c>
      <c r="CF47" s="56">
        <v>0</v>
      </c>
      <c r="CG47" s="56">
        <v>1</v>
      </c>
      <c r="CH47" s="10">
        <f>IF(CE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1.16/MIN(Вес1.1,Вес1.3,Вес1.4,Вес1.5,Вес1.6,Вес1.7,Вес1.8,Вес1.9,Вес1.11,Вес1.12,Вес1.13,Вес1.14,Вес1.15,Вес1.16,Вес1.17,Вес1.18)),"")</f>
        <v>8.6419753086419746</v>
      </c>
      <c r="CI47" s="10">
        <f>IF(CH47="","не применяется",IF(CE47=0,"не применяется",CH47*CG47/100))</f>
        <v>8.6419753086419748E-2</v>
      </c>
      <c r="CJ47" s="10">
        <f>IF(ISNUMBER(CI47),CI47,"")</f>
        <v>8.6419753086419748E-2</v>
      </c>
      <c r="CK47" s="56">
        <v>0</v>
      </c>
      <c r="CL47" s="56">
        <v>0</v>
      </c>
      <c r="CM47" s="56">
        <v>0</v>
      </c>
      <c r="CN47" s="10" t="str">
        <f>IF(CK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1.17/MIN(Вес1.1,Вес1.3,Вес1.4,Вес1.5,Вес1.6,Вес1.7,Вес1.8,Вес1.9,Вес1.11,Вес1.12,Вес1.13,Вес1.14,Вес1.15,Вес1.16,Вес1.17,Вес1.18)),"")</f>
        <v/>
      </c>
      <c r="CO47" s="10" t="str">
        <f>IF(CN47="","не применяется",IF(CK47=0,"не применяется",CN47*CM47/100))</f>
        <v>не применяется</v>
      </c>
      <c r="CP47" s="10" t="str">
        <f>IF(ISNUMBER(CO47),CO47,"")</f>
        <v/>
      </c>
      <c r="CQ47" s="56">
        <v>1</v>
      </c>
      <c r="CR47" s="56">
        <v>0</v>
      </c>
      <c r="CS47" s="56">
        <v>1</v>
      </c>
      <c r="CT47" s="10">
        <f>IF(CQ47=1,(MIN(Вес1.1,Вес1.3,Вес1.4,Вес1.5,Вес1.6,Вес1.7,Вес1.8,Вес1.9,Вес1.11,Вес1.12,Вес1.13,Вес1.14,Вес1.15,Вес1.16,Вес1.17,Вес1.18))*((100/MIN(Вес1.1,Вес1.3,Вес1.4,Вес1.5,Вес1.6,Вес1.7,Вес1.8,Вес1.9,Вес1.11,Вес1.12,Вес1.13,Вес1.14,Вес1.15,Вес1.16,Вес1.17,Вес1.18))/DM47*Вес1.18/MIN(Вес1.1,Вес1.3,Вес1.4,Вес1.5,Вес1.6,Вес1.7,Вес1.8,Вес1.9,Вес1.11,Вес1.12,Вес1.13,Вес1.14,Вес1.15,Вес1.16,Вес1.17,Вес1.18)),"")</f>
        <v>7.4074074074074066</v>
      </c>
      <c r="CU47" s="10">
        <f>IF(CT47="","не применяется",IF(CQ47=0,"не применяется",CT47*CS47/100))</f>
        <v>7.407407407407407E-2</v>
      </c>
      <c r="CV47" s="10">
        <f>IF(ISNUMBER(CU47),CU47,"")</f>
        <v>7.407407407407407E-2</v>
      </c>
      <c r="CW47" s="10">
        <f>IF(E47=1,Вес1.1/MIN(Вес1.1,Вес1.3,Вес1.4,Вес1.5,Вес1.6,Вес1.7,Вес1.8,Вес1.9,Вес1.11,Вес1.12,Вес1.13,Вес1.14,Вес1.15,Вес1.16,Вес1.17,Вес1.18),"")</f>
        <v>1.25</v>
      </c>
      <c r="CX47" s="10">
        <f>IF(K47=1,Вес1.3/MIN(Вес1.1,Вес1.3,Вес1.4,Вес1.5,Вес1.6,Вес1.7,Вес1.8,Вес1.9,Вес1.11,Вес1.12,Вес1.13,Вес1.14,Вес1.15,Вес1.16,Вес1.17,Вес1.18),"")</f>
        <v>1.25</v>
      </c>
      <c r="CY47" s="10">
        <f>IF(Q47=1,Вес1.4/MIN(Вес1.1,Вес1.3,Вес1.4,Вес1.5,Вес1.6,Вес1.7,Вес1.8,Вес1.9,Вес1.11,Вес1.12,Вес1.13,Вес1.14,Вес1.15,Вес1.16,Вес1.17,Вес1.18),"")</f>
        <v>1</v>
      </c>
      <c r="CZ47" s="10">
        <f>IF(W47=1,Вес1.5/MIN(Вес1.1,Вес1.3,Вес1.4,Вес1.5,Вес1.6,Вес1.7,Вес1.8,Вес1.9,Вес1.11,Вес1.12,Вес1.13,Вес1.14,Вес1.15,Вес1.16,Вес1.17,Вес1.18),"")</f>
        <v>1.75</v>
      </c>
      <c r="DA47" s="10">
        <f>IF(AC47=1,Вес1.6/MIN(Вес1.6,Вес1.3,Вес1.4,Вес1.5,Вес1.6,Вес1.7,Вес1.8,Вес1.9,Вес1.11,Вес1.12,Вес1.13,Вес1.14,Вес1.15,Вес1.16,Вес1.17,Вес1.18),"")</f>
        <v>1.75</v>
      </c>
      <c r="DB47" s="10">
        <f>IF(AI47=1,Вес1.7/MIN(Вес1.1,Вес1.3,Вес1.4,Вес1.5,Вес1.6,Вес1.7,Вес1.8,Вес1.9,Вес1.11,Вес1.12,Вес1.13,Вес1.14,Вес1.15,Вес1.16,Вес1.17,Вес1.18),"")</f>
        <v>1.75</v>
      </c>
      <c r="DC47" s="10">
        <f>IF(AO47=1,Вес1.8/MIN(Вес1.1,Вес1.3,Вес1.4,Вес1.5,Вес1.6,Вес1.7,Вес1.8,Вес1.9,Вес1.11,Вес1.12,Вес1.13,Вес1.14,Вес1.15,Вес1.16,Вес1.17,Вес1.18),"")</f>
        <v>1.75</v>
      </c>
      <c r="DD47" s="10">
        <f>IF(AU47=1,Вес1.9/MIN(Вес1.1,Вес1.3,Вес1.4,Вес1.5,Вес1.6,Вес1.7,Вес1.8,Вес1.9,Вес1.11,Вес1.12,Вес1.13,Вес1.14,Вес1.15,Вес1.16,Вес1.17,Вес1.18),"")</f>
        <v>1.75</v>
      </c>
      <c r="DE47" s="10">
        <f>IF(BA47=1,Вес1.11/MIN(Вес1.1,Вес1.3,Вес1.4,Вес1.5,Вес1.6,Вес1.7,Вес1.8,Вес1.9,Вес1.11,Вес1.12,Вес1.13,Вес1.14,Вес1.15,Вес1.16,Вес1.17,Вес1.18),"")</f>
        <v>1.75</v>
      </c>
      <c r="DF47" s="10">
        <f>IF(BG47=1,Вес1.12/MIN(Вес1.1,Вес1.3,Вес1.4,Вес1.5,Вес1.6,Вес1.7,Вес1.8,Вес1.9,Вес1.11,Вес1.12,Вес1.13,Вес1.14,Вес1.15,Вес1.16,Вес1.17,Вес1.18),"")</f>
        <v>1.5</v>
      </c>
      <c r="DG47" s="10" t="str">
        <f>IF(BM47=1,Вес1.13/MIN(Вес1.1,Вес1.3,Вес1.4,Вес1.5,Вес1.6,Вес1.7,Вес1.8,Вес1.9,Вес1.11,Вес1.12,Вес1.13,Вес1.14,Вес1.15,Вес1.16,Вес1.17,Вес1.18),"")</f>
        <v/>
      </c>
      <c r="DH47" s="10" t="str">
        <f>IF(BS47=1,Вес1.14/MIN(Вес1.1,Вес1.3,Вес1.4,Вес1.5,Вес1.6,Вес1.7,Вес1.8,Вес1.9,Вес1.11,Вес1.12,Вес1.13,Вес1.14,Вес1.15,Вес1.16,Вес1.17,Вес1.18),"")</f>
        <v/>
      </c>
      <c r="DI47" s="10">
        <f>IF(BY47=1,Вес1.15/MIN(Вес1.1,Вес1.3,Вес1.4,Вес1.5,Вес1.6,Вес1.7,Вес1.8,Вес1.9,Вес1.11,Вес1.12,Вес1.13,Вес1.14,Вес1.15,Вес1.16,Вес1.17,Вес1.18),"")</f>
        <v>1.5</v>
      </c>
      <c r="DJ47" s="10">
        <f>IF(CE47=1,Вес1.16/MIN(Вес1.1,Вес1.3,Вес1.4,Вес1.5,Вес1.6,Вес1.7,Вес1.8,Вес1.9,Вес1.11,Вес1.12,Вес1.13,Вес1.14,Вес1.15,Вес1.16,Вес1.17,Вес1.18),"")</f>
        <v>1.75</v>
      </c>
      <c r="DK47" s="10" t="str">
        <f>IF(CK47=1,Вес1.17/MIN(Вес1.1,Вес1.3,Вес1.4,Вес1.5,Вес1.6,Вес1.7,Вес1.8,Вес1.9,Вес1.11,Вес1.12,Вес1.13,Вес1.14,Вес1.15,Вес1.16,Вес1.17,Вес1.18),"")</f>
        <v/>
      </c>
      <c r="DL47" s="10">
        <f>IF(CQ47=1,Вес1.18/MIN(Вес1.1,Вес1.3,Вес1.4,Вес1.5,Вес1.6,Вес1.7,Вес1.8,Вес1.9,Вес1.11,Вес1.12,Вес1.13,Вес1.14,Вес1.15,Вес1.16,Вес1.17,Вес1.18),"")</f>
        <v>1.5</v>
      </c>
      <c r="DM47" s="10">
        <f>SUM(CW47:DL47)</f>
        <v>20.25</v>
      </c>
    </row>
    <row r="48" spans="1:117" ht="13.5" customHeight="1" x14ac:dyDescent="0.2">
      <c r="BB48" s="8"/>
    </row>
    <row r="66" spans="54:54" ht="30" customHeight="1" x14ac:dyDescent="0.2">
      <c r="BB66"/>
    </row>
  </sheetData>
  <sheetProtection algorithmName="SHA-512" hashValue="+n1KkD1rV9YmCxilRGlYPhwGhum9gyrkMGZfJSdTO0S7gI39bhsKygRzlUh6s/rJec2LD9pALqTxzKh2R/BtGA==" saltValue="UrqR+RGWbcf+9uCKCyZV2w==" spinCount="100000" sheet="1" objects="1" scenarios="1" formatCells="0" formatColumns="0" formatRows="0" deleteColumns="0" deleteRows="0"/>
  <protectedRanges>
    <protectedRange sqref="C27:C47" name="krista_tr_51240_0_0"/>
    <protectedRange sqref="D27:D47" name="krista_tr_40531_0_0"/>
    <protectedRange sqref="H27:H47" name="krista_tf_40535_0_0"/>
    <protectedRange sqref="I27:I47" name="krista_tf_40536_0_0"/>
    <protectedRange sqref="J27:J47" name="krista_tr_40537_0_0"/>
    <protectedRange sqref="N27:N47" name="krista_tf_40547_0_0"/>
    <protectedRange sqref="O27:O47" name="krista_tf_40548_0_0"/>
    <protectedRange sqref="P27:P47" name="krista_tr_40549_0_0"/>
    <protectedRange sqref="T27:T47" name="krista_tf_40553_0_0"/>
    <protectedRange sqref="U27:U47" name="krista_tf_40554_0_0"/>
    <protectedRange sqref="V27:V47" name="krista_tr_40555_0_0"/>
    <protectedRange sqref="Z27:Z47" name="krista_tf_40559_0_0"/>
    <protectedRange sqref="AA27:AA47" name="krista_tf_40560_0_0"/>
    <protectedRange sqref="AB27:AB47" name="krista_tr_40561_0_0"/>
    <protectedRange sqref="AF27:AF47" name="krista_tf_40565_0_0"/>
    <protectedRange sqref="AG27:AG47" name="krista_tf_40566_0_0"/>
    <protectedRange sqref="AH27:AH47" name="krista_tr_40567_0_0"/>
    <protectedRange sqref="AL27:AL47" name="krista_tf_40571_0_0"/>
    <protectedRange sqref="AM27:AM47" name="krista_tf_40572_0_0"/>
    <protectedRange sqref="AN27:AN47" name="krista_tr_40573_0_0"/>
    <protectedRange sqref="AR27:AR47" name="krista_tf_61979_0_0"/>
    <protectedRange sqref="AS27:AS47" name="krista_tf_61980_0_0"/>
    <protectedRange sqref="AT27:AT47" name="krista_tr_61981_0_0"/>
    <protectedRange sqref="AX27:AX47" name="krista_tf_62156_0_0"/>
    <protectedRange sqref="AY27:AY47" name="krista_tf_62157_0_0"/>
    <protectedRange sqref="AZ27:AZ47" name="krista_tr_62158_0_0"/>
    <protectedRange sqref="BD27:BD47" name="krista_tf_62163_0_0"/>
    <protectedRange sqref="BE27:BE47" name="krista_tf_62164_0_0"/>
    <protectedRange sqref="BF27:BF47" name="krista_tr_62165_0_0"/>
    <protectedRange sqref="BJ27:BJ47" name="krista_tf_62248_0_0"/>
    <protectedRange sqref="BK27:BK47" name="krista_tf_62249_0_0"/>
    <protectedRange sqref="BL27:BL47" name="krista_tr_62250_0_0"/>
    <protectedRange sqref="BP27:BP47" name="krista_tf_62507_0_0"/>
    <protectedRange sqref="BQ27:BQ47" name="krista_tf_62508_0_0"/>
    <protectedRange sqref="BR27:BR47" name="krista_tr_62509_0_0"/>
    <protectedRange sqref="BV27:BV47" name="krista_tf_62513_0_0"/>
    <protectedRange sqref="BW27:BW47" name="krista_tf_62514_0_0"/>
    <protectedRange sqref="BX27:BX47" name="krista_tr_62515_0_0"/>
    <protectedRange sqref="CB27:CB47" name="krista_tf_62519_0_0"/>
    <protectedRange sqref="CC27:CC47" name="krista_tf_62520_0_0"/>
    <protectedRange sqref="CD27:CD47" name="krista_tr_62521_0_0"/>
    <protectedRange sqref="CH27:CH47" name="krista_tf_62730_0_0"/>
    <protectedRange sqref="CI27:CI47" name="krista_tf_62731_0_0"/>
    <protectedRange sqref="CJ27:CJ47" name="krista_tr_62732_0_0"/>
    <protectedRange sqref="CN27:CN47" name="krista_tf_62736_0_0"/>
    <protectedRange sqref="CO27:CO47" name="krista_tf_62737_0_0"/>
    <protectedRange sqref="CP27:CP47" name="krista_tr_62738_0_0"/>
    <protectedRange sqref="CT27:CT47" name="krista_tf_62742_0_0"/>
    <protectedRange sqref="CU27:CU47" name="krista_tf_62743_0_0"/>
    <protectedRange sqref="CV27:CV47" name="krista_tr_62744_0_0"/>
    <protectedRange sqref="CW27:CW47" name="krista_tf_62243_0_0"/>
    <protectedRange sqref="CX27:CX47" name="krista_tf_62746_0_0"/>
    <protectedRange sqref="CY27:CY47" name="krista_tf_62747_0_0"/>
    <protectedRange sqref="CZ27:CZ47" name="krista_tf_62748_0_0"/>
    <protectedRange sqref="DA27:DA47" name="krista_tf_62749_0_0"/>
    <protectedRange sqref="DB27:DB47" name="krista_tf_62750_0_0"/>
    <protectedRange sqref="DC27:DC47" name="krista_tf_62751_0_0"/>
    <protectedRange sqref="DD27:DD47" name="krista_tf_62752_0_0"/>
    <protectedRange sqref="DE27:DE47" name="krista_tf_62753_0_0"/>
    <protectedRange sqref="DF27:DF47" name="krista_tf_62754_0_0"/>
    <protectedRange sqref="DG27:DG47" name="krista_tf_62755_0_0"/>
    <protectedRange sqref="DH27:DH47" name="krista_tf_62756_0_0"/>
    <protectedRange sqref="DI27:DI47" name="krista_tf_62757_0_0"/>
    <protectedRange sqref="DJ27:DJ47" name="krista_tf_62758_0_0"/>
    <protectedRange sqref="DK27:DK47" name="krista_tf_62759_0_0"/>
    <protectedRange sqref="DL27:DL47" name="krista_tf_62244_0_0"/>
    <protectedRange sqref="DM27:DM47" name="krista_tf_40588_0_0"/>
  </protectedRanges>
  <mergeCells count="38">
    <mergeCell ref="CW25:DM25"/>
    <mergeCell ref="BS25:BX25"/>
    <mergeCell ref="BY25:CD25"/>
    <mergeCell ref="CE25:CJ25"/>
    <mergeCell ref="CK25:CP25"/>
    <mergeCell ref="CQ25:CV25"/>
    <mergeCell ref="B13:M13"/>
    <mergeCell ref="AU25:AZ25"/>
    <mergeCell ref="K25:P25"/>
    <mergeCell ref="A1:E1"/>
    <mergeCell ref="A25:A26"/>
    <mergeCell ref="B25:B26"/>
    <mergeCell ref="C25:C26"/>
    <mergeCell ref="D25:D26"/>
    <mergeCell ref="E25:J25"/>
    <mergeCell ref="B8:M8"/>
    <mergeCell ref="B9:M9"/>
    <mergeCell ref="B10:M10"/>
    <mergeCell ref="B11:M11"/>
    <mergeCell ref="B12:M12"/>
    <mergeCell ref="B14:M14"/>
    <mergeCell ref="B15:M15"/>
    <mergeCell ref="B16:M16"/>
    <mergeCell ref="B17:M17"/>
    <mergeCell ref="B22:M22"/>
    <mergeCell ref="B18:M18"/>
    <mergeCell ref="B20:M20"/>
    <mergeCell ref="B19:M19"/>
    <mergeCell ref="B21:M21"/>
    <mergeCell ref="AO25:AT25"/>
    <mergeCell ref="BM25:BR25"/>
    <mergeCell ref="B23:M23"/>
    <mergeCell ref="BA25:BF25"/>
    <mergeCell ref="BG25:BL25"/>
    <mergeCell ref="AC25:AH25"/>
    <mergeCell ref="AI25:AN25"/>
    <mergeCell ref="Q25:V25"/>
    <mergeCell ref="W25:AB25"/>
  </mergeCells>
  <conditionalFormatting sqref="A23 A8:A12">
    <cfRule type="expression" dxfId="16" priority="12" stopIfTrue="1">
      <formula>"(сумм(A8:F12)&lt;&gt;100"</formula>
    </cfRule>
  </conditionalFormatting>
  <conditionalFormatting sqref="A13">
    <cfRule type="expression" dxfId="15" priority="11" stopIfTrue="1">
      <formula>"(сумм(A8:F12)&lt;&gt;100"</formula>
    </cfRule>
  </conditionalFormatting>
  <conditionalFormatting sqref="A14">
    <cfRule type="expression" dxfId="14" priority="10" stopIfTrue="1">
      <formula>"(сумм(A8:F12)&lt;&gt;100"</formula>
    </cfRule>
  </conditionalFormatting>
  <conditionalFormatting sqref="A15">
    <cfRule type="expression" dxfId="13" priority="9" stopIfTrue="1">
      <formula>"(сумм(A8:F12)&lt;&gt;100"</formula>
    </cfRule>
  </conditionalFormatting>
  <conditionalFormatting sqref="A16">
    <cfRule type="expression" dxfId="12" priority="8" stopIfTrue="1">
      <formula>"(сумм(A8:F12)&lt;&gt;100"</formula>
    </cfRule>
  </conditionalFormatting>
  <conditionalFormatting sqref="A17">
    <cfRule type="expression" dxfId="11" priority="6" stopIfTrue="1">
      <formula>"(сумм(A8:F12)&lt;&gt;100"</formula>
    </cfRule>
  </conditionalFormatting>
  <conditionalFormatting sqref="A22">
    <cfRule type="expression" dxfId="10" priority="5" stopIfTrue="1">
      <formula>"(сумм(A8:F12)&lt;&gt;100"</formula>
    </cfRule>
  </conditionalFormatting>
  <conditionalFormatting sqref="A18">
    <cfRule type="expression" dxfId="9" priority="4" stopIfTrue="1">
      <formula>"(сумм(A8:F12)&lt;&gt;100"</formula>
    </cfRule>
  </conditionalFormatting>
  <conditionalFormatting sqref="A20">
    <cfRule type="expression" dxfId="8" priority="3" stopIfTrue="1">
      <formula>"(сумм(A8:F12)&lt;&gt;100"</formula>
    </cfRule>
  </conditionalFormatting>
  <conditionalFormatting sqref="A19">
    <cfRule type="expression" dxfId="7" priority="2" stopIfTrue="1">
      <formula>"(сумм(A8:F12)&lt;&gt;100"</formula>
    </cfRule>
  </conditionalFormatting>
  <conditionalFormatting sqref="A21">
    <cfRule type="expression" dxfId="6" priority="1" stopIfTrue="1">
      <formula>"(сумм(A8:F12)&lt;&gt;100"</formula>
    </cfRule>
  </conditionalFormatting>
  <pageMargins left="0.25" right="0.25" top="0.75" bottom="0.75" header="0.3" footer="0.3"/>
  <pageSetup paperSize="8" scale="47" fitToWidth="0" orientation="landscape" r:id="rId1"/>
  <headerFooter alignWithMargins="0"/>
  <colBreaks count="1" manualBreakCount="1">
    <brk id="27" max="46" man="1"/>
  </colBreaks>
  <customProperties>
    <customPr name="40591" r:id="rId2"/>
    <customPr name="40593" r:id="rId3"/>
    <customPr name="40595" r:id="rId4"/>
    <customPr name="40596" r:id="rId5"/>
    <customPr name="40598" r:id="rId6"/>
    <customPr name="40599" r:id="rId7"/>
    <customPr name="62761" r:id="rId8"/>
    <customPr name="62762" r:id="rId9"/>
    <customPr name="62763" r:id="rId10"/>
    <customPr name="62764" r:id="rId11"/>
    <customPr name="62765" r:id="rId12"/>
    <customPr name="62766" r:id="rId13"/>
    <customPr name="62767" r:id="rId14"/>
    <customPr name="62768" r:id="rId15"/>
    <customPr name="62769" r:id="rId16"/>
    <customPr name="62770" r:id="rId17"/>
    <customPr name="62771" r:id="rId18"/>
    <customPr name="krista_fm_columnsmarkup" r:id="rId19"/>
    <customPr name="krista_fm_consts" r:id="rId20"/>
    <customPr name="krista_fm_Events" r:id="rId21"/>
    <customPr name="krista_fm_metadataXML" r:id="rId22"/>
    <customPr name="krista_fm_rowsaxis" r:id="rId23"/>
    <customPr name="krista_fm_rowsmarkup" r:id="rId24"/>
    <customPr name="krista_SheetHistory" r:id="rId25"/>
    <customPr name="p14" r:id="rId26"/>
    <customPr name="p18" r:id="rId27"/>
    <customPr name="p20" r:id="rId28"/>
  </customProperties>
  <legacy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FFC000"/>
    <pageSetUpPr fitToPage="1"/>
  </sheetPr>
  <dimension ref="A1:AN68"/>
  <sheetViews>
    <sheetView zoomScale="80" zoomScaleNormal="80" zoomScaleSheetLayoutView="85" workbookViewId="0">
      <selection activeCell="A14" sqref="A14:A15"/>
    </sheetView>
  </sheetViews>
  <sheetFormatPr defaultRowHeight="12.75" x14ac:dyDescent="0.2"/>
  <cols>
    <col min="1" max="1" width="6.28515625" customWidth="1"/>
    <col min="2" max="2" width="42.140625" customWidth="1"/>
    <col min="3" max="3" width="12.7109375" customWidth="1"/>
    <col min="4" max="4" width="16.42578125" customWidth="1"/>
    <col min="5" max="5" width="14.5703125" customWidth="1"/>
    <col min="6" max="6" width="12.7109375" customWidth="1"/>
    <col min="7" max="7" width="11.5703125" customWidth="1"/>
    <col min="8" max="9" width="13" customWidth="1"/>
    <col min="10" max="10" width="11.85546875" customWidth="1"/>
    <col min="11" max="11" width="15" customWidth="1"/>
    <col min="12" max="12" width="12.5703125" customWidth="1"/>
    <col min="13" max="13" width="11.7109375" customWidth="1"/>
    <col min="14" max="14" width="12.7109375" customWidth="1"/>
    <col min="15" max="15" width="14.5703125" customWidth="1"/>
    <col min="16" max="16" width="13.28515625" customWidth="1"/>
    <col min="17" max="17" width="13.85546875" customWidth="1"/>
    <col min="18" max="18" width="11.42578125" customWidth="1"/>
    <col min="19" max="19" width="13" customWidth="1"/>
    <col min="20" max="20" width="13.140625" customWidth="1"/>
    <col min="21" max="21" width="13.42578125" customWidth="1"/>
    <col min="22" max="22" width="14.140625" customWidth="1"/>
    <col min="23" max="23" width="14" customWidth="1"/>
    <col min="24" max="24" width="12.140625" style="7" customWidth="1"/>
    <col min="25" max="25" width="11.85546875" style="7" customWidth="1"/>
    <col min="26" max="26" width="14.85546875" style="7" customWidth="1"/>
    <col min="27" max="27" width="14.42578125" customWidth="1"/>
    <col min="28" max="28" width="15.7109375" customWidth="1"/>
    <col min="29" max="29" width="15.140625" customWidth="1"/>
    <col min="30" max="30" width="14" customWidth="1"/>
    <col min="31" max="31" width="14.28515625" customWidth="1"/>
    <col min="32" max="32" width="13.5703125" customWidth="1"/>
    <col min="33" max="33" width="13.42578125" customWidth="1"/>
    <col min="34" max="34" width="14.140625" customWidth="1"/>
    <col min="35" max="35" width="12.140625" customWidth="1"/>
    <col min="36" max="36" width="12.42578125" customWidth="1"/>
    <col min="37" max="37" width="12" customWidth="1"/>
    <col min="38" max="38" width="12.28515625" customWidth="1"/>
    <col min="39" max="39" width="11.5703125" customWidth="1"/>
    <col min="40" max="40" width="13.7109375" customWidth="1"/>
    <col min="41" max="43" width="31.28515625" customWidth="1"/>
    <col min="44" max="44" width="27.42578125" customWidth="1"/>
    <col min="45" max="47" width="34.28515625" customWidth="1"/>
    <col min="48" max="51" width="27.42578125" customWidth="1"/>
    <col min="52" max="52" width="39.42578125" customWidth="1"/>
    <col min="53" max="53" width="41.28515625" customWidth="1"/>
    <col min="54" max="65" width="27.42578125" customWidth="1"/>
    <col min="68" max="68" width="10.28515625" bestFit="1" customWidth="1"/>
    <col min="71" max="71" width="10.28515625" bestFit="1" customWidth="1"/>
    <col min="74" max="74" width="10.28515625" bestFit="1" customWidth="1"/>
    <col min="77" max="77" width="10.28515625" bestFit="1" customWidth="1"/>
    <col min="80" max="80" width="10.28515625" bestFit="1" customWidth="1"/>
    <col min="83" max="83" width="10.28515625" bestFit="1" customWidth="1"/>
    <col min="86" max="86" width="10.28515625" bestFit="1" customWidth="1"/>
    <col min="89" max="89" width="10.28515625" bestFit="1" customWidth="1"/>
    <col min="92" max="92" width="10.28515625" bestFit="1" customWidth="1"/>
    <col min="95" max="95" width="10.28515625" bestFit="1" customWidth="1"/>
    <col min="98" max="98" width="10.28515625" bestFit="1" customWidth="1"/>
    <col min="101" max="101" width="10.28515625" bestFit="1" customWidth="1"/>
    <col min="104" max="104" width="10.28515625" bestFit="1" customWidth="1"/>
    <col min="107" max="107" width="10.28515625" bestFit="1" customWidth="1"/>
    <col min="110" max="110" width="10.28515625" bestFit="1" customWidth="1"/>
    <col min="113" max="113" width="10.28515625" bestFit="1" customWidth="1"/>
    <col min="116" max="116" width="10.28515625" bestFit="1" customWidth="1"/>
    <col min="119" max="119" width="10.28515625" bestFit="1" customWidth="1"/>
    <col min="122" max="122" width="10.28515625" bestFit="1" customWidth="1"/>
    <col min="125" max="125" width="10.28515625" bestFit="1" customWidth="1"/>
    <col min="128" max="128" width="10.28515625" bestFit="1" customWidth="1"/>
    <col min="131" max="131" width="10.28515625" bestFit="1" customWidth="1"/>
    <col min="134" max="134" width="10.28515625" bestFit="1" customWidth="1"/>
    <col min="137" max="137" width="10.28515625" bestFit="1" customWidth="1"/>
    <col min="140" max="140" width="10.28515625" bestFit="1" customWidth="1"/>
    <col min="143" max="143" width="10.28515625" bestFit="1" customWidth="1"/>
    <col min="146" max="146" width="10.28515625" bestFit="1" customWidth="1"/>
    <col min="149" max="149" width="10.28515625" bestFit="1" customWidth="1"/>
    <col min="152" max="152" width="10.28515625" bestFit="1" customWidth="1"/>
    <col min="155" max="155" width="10.28515625" bestFit="1" customWidth="1"/>
    <col min="158" max="158" width="10.28515625" bestFit="1" customWidth="1"/>
    <col min="161" max="161" width="10.28515625" bestFit="1" customWidth="1"/>
    <col min="164" max="164" width="10.28515625" bestFit="1" customWidth="1"/>
    <col min="167" max="167" width="10.28515625" bestFit="1" customWidth="1"/>
    <col min="170" max="170" width="10.28515625" bestFit="1" customWidth="1"/>
    <col min="173" max="173" width="10.28515625" bestFit="1" customWidth="1"/>
    <col min="176" max="176" width="10.28515625" bestFit="1" customWidth="1"/>
    <col min="179" max="179" width="10.28515625" bestFit="1" customWidth="1"/>
    <col min="182" max="182" width="10.28515625" bestFit="1" customWidth="1"/>
    <col min="185" max="185" width="10.28515625" bestFit="1" customWidth="1"/>
    <col min="188" max="188" width="10.28515625" bestFit="1" customWidth="1"/>
    <col min="191" max="191" width="10.28515625" bestFit="1" customWidth="1"/>
    <col min="194" max="194" width="10.28515625" bestFit="1" customWidth="1"/>
    <col min="197" max="197" width="10.28515625" bestFit="1" customWidth="1"/>
    <col min="200" max="200" width="10.28515625" bestFit="1" customWidth="1"/>
    <col min="203" max="203" width="10.28515625" bestFit="1" customWidth="1"/>
    <col min="206" max="206" width="10.28515625" bestFit="1" customWidth="1"/>
  </cols>
  <sheetData>
    <row r="1" spans="1:40" ht="32.25" customHeight="1" x14ac:dyDescent="0.2">
      <c r="A1" s="78" t="s">
        <v>70</v>
      </c>
      <c r="B1" s="79"/>
      <c r="C1" s="79"/>
      <c r="D1" s="79"/>
      <c r="E1" s="79"/>
      <c r="W1" s="8"/>
      <c r="X1" s="8"/>
      <c r="Y1" s="8"/>
      <c r="Z1" s="8"/>
    </row>
    <row r="2" spans="1:40" x14ac:dyDescent="0.2">
      <c r="W2" s="8"/>
      <c r="X2" s="8"/>
      <c r="Y2" s="8"/>
      <c r="Z2" s="8"/>
    </row>
    <row r="3" spans="1:40" x14ac:dyDescent="0.2">
      <c r="A3" s="2" t="s">
        <v>14</v>
      </c>
      <c r="B3" s="2"/>
      <c r="C3" s="2"/>
      <c r="D3" s="2"/>
      <c r="E3" s="2"/>
      <c r="F3" s="2"/>
      <c r="G3" s="2"/>
      <c r="H3" s="2"/>
      <c r="W3" s="8"/>
      <c r="X3" s="8"/>
      <c r="Y3" s="8"/>
      <c r="Z3" s="8"/>
    </row>
    <row r="4" spans="1:40" x14ac:dyDescent="0.2">
      <c r="A4" s="2" t="s">
        <v>15</v>
      </c>
      <c r="B4" s="2"/>
      <c r="C4" s="2"/>
      <c r="D4" s="2"/>
      <c r="E4" s="2"/>
      <c r="F4" s="2"/>
      <c r="G4" s="2"/>
      <c r="H4" s="2"/>
      <c r="W4" s="8"/>
      <c r="X4" s="8"/>
      <c r="Y4" s="8"/>
      <c r="Z4" s="8"/>
    </row>
    <row r="5" spans="1:40" x14ac:dyDescent="0.2">
      <c r="A5" s="2" t="s">
        <v>1</v>
      </c>
      <c r="B5" s="2"/>
      <c r="C5" s="2"/>
      <c r="D5" s="2"/>
      <c r="E5" s="2"/>
      <c r="F5" s="2"/>
      <c r="G5" s="2"/>
      <c r="H5" s="2"/>
      <c r="W5" s="8"/>
      <c r="X5" s="8"/>
      <c r="Y5" s="8"/>
      <c r="Z5" s="8"/>
    </row>
    <row r="6" spans="1:40" x14ac:dyDescent="0.2">
      <c r="A6" s="2" t="s">
        <v>7</v>
      </c>
      <c r="B6" s="2"/>
      <c r="C6" s="2"/>
      <c r="D6" s="2"/>
      <c r="E6" s="2"/>
      <c r="F6" s="2"/>
      <c r="G6" s="2"/>
      <c r="H6" s="2"/>
      <c r="W6" s="8"/>
      <c r="X6" s="8"/>
      <c r="Y6" s="8"/>
      <c r="Z6" s="8"/>
    </row>
    <row r="7" spans="1:40" ht="21" customHeight="1" thickBot="1" x14ac:dyDescent="0.25">
      <c r="A7" s="53" t="s">
        <v>2</v>
      </c>
      <c r="B7" s="4"/>
      <c r="C7" s="4"/>
      <c r="D7" s="4"/>
      <c r="E7" s="4"/>
      <c r="F7" s="4"/>
      <c r="G7" s="4"/>
      <c r="H7" s="4"/>
      <c r="W7" s="8"/>
      <c r="X7" s="8"/>
      <c r="Y7" s="8"/>
      <c r="Z7" s="8"/>
    </row>
    <row r="8" spans="1:40" ht="25.5" customHeight="1" thickBot="1" x14ac:dyDescent="0.25">
      <c r="A8" s="5">
        <v>30</v>
      </c>
      <c r="B8" s="70" t="s">
        <v>69</v>
      </c>
      <c r="C8" s="71"/>
      <c r="D8" s="71"/>
      <c r="E8" s="71"/>
      <c r="F8" s="71"/>
      <c r="G8" s="71"/>
      <c r="H8" s="71"/>
      <c r="W8" s="8"/>
      <c r="X8" s="8"/>
      <c r="Y8" s="8"/>
      <c r="Z8" s="8"/>
    </row>
    <row r="9" spans="1:40" ht="30" customHeight="1" thickBot="1" x14ac:dyDescent="0.25">
      <c r="A9" s="5">
        <v>20</v>
      </c>
      <c r="B9" s="70" t="s">
        <v>95</v>
      </c>
      <c r="C9" s="71"/>
      <c r="D9" s="71"/>
      <c r="E9" s="71"/>
      <c r="F9" s="72"/>
      <c r="G9" s="72"/>
      <c r="H9" s="72"/>
      <c r="W9" s="8"/>
      <c r="X9" s="8"/>
      <c r="Y9" s="8"/>
      <c r="Z9" s="8"/>
    </row>
    <row r="10" spans="1:40" ht="28.5" customHeight="1" thickBot="1" x14ac:dyDescent="0.25">
      <c r="A10" s="5">
        <v>30</v>
      </c>
      <c r="B10" s="70" t="s">
        <v>71</v>
      </c>
      <c r="C10" s="72"/>
      <c r="D10" s="72"/>
      <c r="E10" s="72"/>
      <c r="F10" s="72"/>
      <c r="G10" s="72"/>
      <c r="H10" s="72"/>
      <c r="W10" s="8"/>
      <c r="X10" s="8"/>
      <c r="Y10" s="8"/>
      <c r="Z10" s="8"/>
    </row>
    <row r="11" spans="1:40" ht="27.75" customHeight="1" thickBot="1" x14ac:dyDescent="0.25">
      <c r="A11" s="5">
        <v>10</v>
      </c>
      <c r="B11" s="70" t="s">
        <v>72</v>
      </c>
      <c r="C11" s="72"/>
      <c r="D11" s="72"/>
      <c r="E11" s="72"/>
      <c r="F11" s="72"/>
      <c r="G11" s="72"/>
      <c r="H11" s="72"/>
      <c r="W11" s="8"/>
      <c r="X11" s="8"/>
      <c r="Y11" s="8"/>
      <c r="Z11" s="8"/>
    </row>
    <row r="12" spans="1:40" ht="29.25" customHeight="1" thickBot="1" x14ac:dyDescent="0.25">
      <c r="A12" s="5">
        <v>10</v>
      </c>
      <c r="B12" s="70" t="s">
        <v>73</v>
      </c>
      <c r="C12" s="71"/>
      <c r="D12" s="71"/>
      <c r="E12" s="71"/>
      <c r="F12" s="72"/>
      <c r="G12" s="72"/>
      <c r="H12" s="72"/>
      <c r="W12" s="8"/>
      <c r="X12" s="8"/>
      <c r="Y12" s="8"/>
      <c r="Z12" s="8"/>
    </row>
    <row r="13" spans="1:40" ht="25.5" customHeight="1" thickBot="1" x14ac:dyDescent="0.25">
      <c r="A13" s="19"/>
      <c r="B13" s="20"/>
      <c r="C13" s="21"/>
      <c r="D13" s="21"/>
      <c r="E13" s="21"/>
      <c r="F13" s="18"/>
      <c r="G13" s="18"/>
      <c r="H13" s="18"/>
      <c r="W13" s="8"/>
      <c r="X13" s="8"/>
      <c r="Y13" s="8"/>
      <c r="Z13" s="8"/>
    </row>
    <row r="14" spans="1:40" ht="67.5" customHeight="1" x14ac:dyDescent="0.2">
      <c r="A14" s="95" t="s">
        <v>9</v>
      </c>
      <c r="B14" s="95" t="s">
        <v>8</v>
      </c>
      <c r="C14" s="95" t="s">
        <v>19</v>
      </c>
      <c r="D14" s="95" t="s">
        <v>91</v>
      </c>
      <c r="E14" s="94" t="s">
        <v>69</v>
      </c>
      <c r="F14" s="90"/>
      <c r="G14" s="90"/>
      <c r="H14" s="90"/>
      <c r="I14" s="90"/>
      <c r="J14" s="93"/>
      <c r="K14" s="89" t="s">
        <v>95</v>
      </c>
      <c r="L14" s="97"/>
      <c r="M14" s="97"/>
      <c r="N14" s="97"/>
      <c r="O14" s="97"/>
      <c r="P14" s="98"/>
      <c r="Q14" s="89" t="s">
        <v>71</v>
      </c>
      <c r="R14" s="90"/>
      <c r="S14" s="90"/>
      <c r="T14" s="90"/>
      <c r="U14" s="90"/>
      <c r="V14" s="93"/>
      <c r="W14" s="89" t="s">
        <v>72</v>
      </c>
      <c r="X14" s="90"/>
      <c r="Y14" s="90"/>
      <c r="Z14" s="90"/>
      <c r="AA14" s="90"/>
      <c r="AB14" s="93"/>
      <c r="AC14" s="89" t="s">
        <v>73</v>
      </c>
      <c r="AD14" s="90"/>
      <c r="AE14" s="90"/>
      <c r="AF14" s="90"/>
      <c r="AG14" s="90"/>
      <c r="AH14" s="90"/>
      <c r="AI14" s="91" t="s">
        <v>5</v>
      </c>
      <c r="AJ14" s="92"/>
      <c r="AK14" s="92"/>
      <c r="AL14" s="92"/>
      <c r="AM14" s="92"/>
      <c r="AN14" s="92"/>
    </row>
    <row r="15" spans="1:40" ht="58.5" customHeight="1" thickBot="1" x14ac:dyDescent="0.25">
      <c r="A15" s="96"/>
      <c r="B15" s="96"/>
      <c r="C15" s="96"/>
      <c r="D15" s="96"/>
      <c r="E15" s="32" t="s">
        <v>38</v>
      </c>
      <c r="F15" s="26" t="s">
        <v>46</v>
      </c>
      <c r="G15" s="26" t="s">
        <v>17</v>
      </c>
      <c r="H15" s="26" t="s">
        <v>37</v>
      </c>
      <c r="I15" s="26" t="s">
        <v>48</v>
      </c>
      <c r="J15" s="33" t="s">
        <v>39</v>
      </c>
      <c r="K15" s="32" t="s">
        <v>38</v>
      </c>
      <c r="L15" s="26" t="s">
        <v>46</v>
      </c>
      <c r="M15" s="26" t="s">
        <v>17</v>
      </c>
      <c r="N15" s="26" t="s">
        <v>37</v>
      </c>
      <c r="O15" s="26" t="s">
        <v>48</v>
      </c>
      <c r="P15" s="33" t="s">
        <v>39</v>
      </c>
      <c r="Q15" s="32" t="s">
        <v>38</v>
      </c>
      <c r="R15" s="26" t="s">
        <v>46</v>
      </c>
      <c r="S15" s="26" t="s">
        <v>17</v>
      </c>
      <c r="T15" s="26" t="s">
        <v>37</v>
      </c>
      <c r="U15" s="26" t="s">
        <v>48</v>
      </c>
      <c r="V15" s="33" t="s">
        <v>39</v>
      </c>
      <c r="W15" s="32" t="s">
        <v>38</v>
      </c>
      <c r="X15" s="26" t="s">
        <v>46</v>
      </c>
      <c r="Y15" s="26" t="s">
        <v>17</v>
      </c>
      <c r="Z15" s="26" t="s">
        <v>37</v>
      </c>
      <c r="AA15" s="26" t="s">
        <v>48</v>
      </c>
      <c r="AB15" s="33" t="s">
        <v>39</v>
      </c>
      <c r="AC15" s="32" t="s">
        <v>38</v>
      </c>
      <c r="AD15" s="26" t="s">
        <v>46</v>
      </c>
      <c r="AE15" s="26" t="s">
        <v>17</v>
      </c>
      <c r="AF15" s="26" t="s">
        <v>37</v>
      </c>
      <c r="AG15" s="26" t="s">
        <v>48</v>
      </c>
      <c r="AH15" s="30" t="s">
        <v>39</v>
      </c>
      <c r="AI15" s="40">
        <v>1</v>
      </c>
      <c r="AJ15" s="40">
        <v>2</v>
      </c>
      <c r="AK15" s="40">
        <v>3</v>
      </c>
      <c r="AL15" s="40">
        <v>4</v>
      </c>
      <c r="AM15" s="40">
        <v>5</v>
      </c>
      <c r="AN15" s="40" t="s">
        <v>45</v>
      </c>
    </row>
    <row r="16" spans="1:40" ht="25.5" x14ac:dyDescent="0.2">
      <c r="A16" s="1" t="s">
        <v>100</v>
      </c>
      <c r="B16" s="9" t="s">
        <v>20</v>
      </c>
      <c r="C16" s="10">
        <f>IF(D16&lt;&gt;1,"",SUM(J16,P16,V16,AB16,AH16))</f>
        <v>0.8125</v>
      </c>
      <c r="D16" s="10">
        <f>IF(SUM(E16,K16,Q16,W16,AC16)=0,0,1)</f>
        <v>1</v>
      </c>
      <c r="E16" s="56">
        <v>1</v>
      </c>
      <c r="F16" s="56">
        <v>107.89449999999999</v>
      </c>
      <c r="G16" s="56">
        <v>0.5</v>
      </c>
      <c r="H16" s="10">
        <f>IF(E16=1,(MIN(Вес2.1,Вес2.2,Вес2.3,Вес2.4,Вес2.5))*((100/MIN(Вес2.1,Вес2.2,Вес2.3,Вес2.4,Вес2.5))/AN16*Вес2.1/MIN(Вес2.1,Вес2.2,Вес2.3,Вес2.4,Вес2.5)),"")</f>
        <v>37.5</v>
      </c>
      <c r="I16" s="10">
        <f>IF(H16="","не применяется",IF(E16=0,"не применяется",H16*G16/100))</f>
        <v>0.1875</v>
      </c>
      <c r="J16" s="10">
        <f>IF(ISNUMBER(I16),I16,"")</f>
        <v>0.1875</v>
      </c>
      <c r="K16" s="56">
        <v>0</v>
      </c>
      <c r="L16" s="56">
        <v>0</v>
      </c>
      <c r="M16" s="56">
        <v>0</v>
      </c>
      <c r="N16" s="10" t="str">
        <f>IF(K16=1,(MIN(Вес2.1,Вес2.2,Вес2.3,Вес2.4,Вес2.5))*((100/MIN(Вес2.1,Вес2.2,Вес2.3,Вес2.4,Вес2.5))/AN16*Вес2.2/MIN(Вес2.1,Вес2.2,Вес2.3,Вес2.4,Вес2.5)),"")</f>
        <v/>
      </c>
      <c r="O16" s="10" t="str">
        <f>IF(N16="","не применяется",IF(K16=0,"не применяется",N16*M16/100))</f>
        <v>не применяется</v>
      </c>
      <c r="P16" s="10" t="str">
        <f>IF(ISNUMBER(O16),O16,"")</f>
        <v/>
      </c>
      <c r="Q16" s="56">
        <v>1</v>
      </c>
      <c r="R16" s="56">
        <v>1</v>
      </c>
      <c r="S16" s="56">
        <v>1</v>
      </c>
      <c r="T16" s="10">
        <f>IF(Q16=1,(MIN(Вес2.1,Вес2.2,Вес2.3,Вес2.4,Вес2.5))*((100/MIN(Вес2.1,Вес2.2,Вес2.3,Вес2.4,Вес2.5))/AN16*Вес2.3/MIN(Вес2.1,Вес2.2,Вес2.3,Вес2.4,Вес2.5)),"")</f>
        <v>37.5</v>
      </c>
      <c r="U16" s="10">
        <f>IF(T16="","не применяется",IF(Q16=0,"не применяется",T16*S16/100))</f>
        <v>0.375</v>
      </c>
      <c r="V16" s="10">
        <f>IF(ISNUMBER(U16),U16,"")</f>
        <v>0.375</v>
      </c>
      <c r="W16" s="56">
        <v>1</v>
      </c>
      <c r="X16" s="56">
        <v>0</v>
      </c>
      <c r="Y16" s="56">
        <v>1</v>
      </c>
      <c r="Z16" s="10">
        <f>IF(E16=1,(MIN(Вес2.1,Вес2.2,Вес2.3,Вес2.4,Вес2.5))*((100/MIN(Вес2.1,Вес2.2,Вес2.3,Вес2.4,Вес2.5))/AN16*Вес2.4/MIN(Вес2.1,Вес2.2,Вес2.3,Вес2.4,Вес2.5)),"")</f>
        <v>12.5</v>
      </c>
      <c r="AA16" s="10">
        <f>IF(Z16="","не применяется",IF(W16=0,"не применяется",Z16*Y16/100))</f>
        <v>0.125</v>
      </c>
      <c r="AB16" s="10">
        <f>IF(ISNUMBER(AA16),AA16,"")</f>
        <v>0.125</v>
      </c>
      <c r="AC16" s="56">
        <v>1</v>
      </c>
      <c r="AD16" s="56">
        <v>-1</v>
      </c>
      <c r="AE16" s="56">
        <v>1</v>
      </c>
      <c r="AF16" s="10">
        <f>IF(E16=1,(MIN(Вес2.1,Вес2.2,Вес2.3,Вес2.4,Вес2.5))*((100/MIN(Вес2.1,Вес2.2,Вес2.3,Вес2.4,Вес2.5))/AN16*Вес2.5/MIN(Вес2.1,Вес2.2,Вес2.3,Вес2.4,Вес2.5)),"")</f>
        <v>12.5</v>
      </c>
      <c r="AG16" s="10">
        <f>IF(AF16="","не применяется",IF(AC16=0,"не применяется",AF16*AE16/100))</f>
        <v>0.125</v>
      </c>
      <c r="AH16" s="10">
        <f>IF(ISNUMBER(AG16),AG16,"")</f>
        <v>0.125</v>
      </c>
      <c r="AI16" s="10">
        <f>IF(E16=1,Вес2.1/MIN(Вес2.1,Вес2.2,Вес2.3,Вес2.4,Вес2.5),"")</f>
        <v>3</v>
      </c>
      <c r="AJ16" s="10" t="str">
        <f>IF(K16=1,Вес2.2/MIN(Вес2.1,Вес2.2,Вес2.3,Вес2.4,Вес2.5),"")</f>
        <v/>
      </c>
      <c r="AK16" s="10">
        <f>IF(Q16=1,Вес2.3/MIN(Вес2.1,Вес2.2,Вес2.3,Вес2.4,Вес2.5),"")</f>
        <v>3</v>
      </c>
      <c r="AL16" s="10">
        <f>IF(W16=1,Вес2.4/MIN(Вес2.1,Вес2.2,Вес2.3,Вес2.4,Вес2.5),"")</f>
        <v>1</v>
      </c>
      <c r="AM16" s="10">
        <f>IF(AC16=1,Вес2.5/MIN(Вес2.1,Вес2.2,Вес2.3,Вес2.4,Вес2.5),"")</f>
        <v>1</v>
      </c>
      <c r="AN16" s="10">
        <f>SUM(AI16:AM16)</f>
        <v>8</v>
      </c>
    </row>
    <row r="17" spans="1:40" ht="25.5" x14ac:dyDescent="0.2">
      <c r="A17" s="1" t="s">
        <v>101</v>
      </c>
      <c r="B17" s="9" t="s">
        <v>52</v>
      </c>
      <c r="C17" s="10">
        <f>IF(D17&lt;&gt;1,"",SUM(J17,P17,V17,AB17,AH17))</f>
        <v>0.74999999999999989</v>
      </c>
      <c r="D17" s="10">
        <f>IF(SUM(E17,K17,Q17,W17,AC17)=0,0,1)</f>
        <v>1</v>
      </c>
      <c r="E17" s="56">
        <v>1</v>
      </c>
      <c r="F17" s="56">
        <v>112.5014</v>
      </c>
      <c r="G17" s="56">
        <v>0.5</v>
      </c>
      <c r="H17" s="10">
        <f>IF(E17=1,(MIN(Вес2.1,Вес2.2,Вес2.3,Вес2.4,Вес2.5))*((100/MIN(Вес2.1,Вес2.2,Вес2.3,Вес2.4,Вес2.5))/AN17*Вес2.1/MIN(Вес2.1,Вес2.2,Вес2.3,Вес2.4,Вес2.5)),"")</f>
        <v>30</v>
      </c>
      <c r="I17" s="10">
        <f>IF(H17="","не применяется",IF(E17=0,"не применяется",H17*G17/100))</f>
        <v>0.15</v>
      </c>
      <c r="J17" s="10">
        <f>IF(ISNUMBER(I17),I17,"")</f>
        <v>0.15</v>
      </c>
      <c r="K17" s="56">
        <v>1</v>
      </c>
      <c r="L17" s="56">
        <v>0</v>
      </c>
      <c r="M17" s="56">
        <v>1</v>
      </c>
      <c r="N17" s="10">
        <f>IF(K17=1,(MIN(Вес2.1,Вес2.2,Вес2.3,Вес2.4,Вес2.5))*((100/MIN(Вес2.1,Вес2.2,Вес2.3,Вес2.4,Вес2.5))/AN17*Вес2.2/MIN(Вес2.1,Вес2.2,Вес2.3,Вес2.4,Вес2.5)),"")</f>
        <v>20</v>
      </c>
      <c r="O17" s="10">
        <f>IF(N17="","не применяется",IF(K17=0,"не применяется",N17*M17/100))</f>
        <v>0.2</v>
      </c>
      <c r="P17" s="10">
        <f>IF(ISNUMBER(O17),O17,"")</f>
        <v>0.2</v>
      </c>
      <c r="Q17" s="56">
        <v>1</v>
      </c>
      <c r="R17" s="56">
        <v>1</v>
      </c>
      <c r="S17" s="56">
        <v>1</v>
      </c>
      <c r="T17" s="10">
        <f>IF(Q17=1,(MIN(Вес2.1,Вес2.2,Вес2.3,Вес2.4,Вес2.5))*((100/MIN(Вес2.1,Вес2.2,Вес2.3,Вес2.4,Вес2.5))/AN17*Вес2.3/MIN(Вес2.1,Вес2.2,Вес2.3,Вес2.4,Вес2.5)),"")</f>
        <v>30</v>
      </c>
      <c r="U17" s="10">
        <f>IF(T17="","не применяется",IF(Q17=0,"не применяется",T17*S17/100))</f>
        <v>0.3</v>
      </c>
      <c r="V17" s="10">
        <f>IF(ISNUMBER(U17),U17,"")</f>
        <v>0.3</v>
      </c>
      <c r="W17" s="56">
        <v>1</v>
      </c>
      <c r="X17" s="56">
        <v>20830621.579999998</v>
      </c>
      <c r="Y17" s="56">
        <v>0</v>
      </c>
      <c r="Z17" s="10">
        <f>IF(E17=1,(MIN(Вес2.1,Вес2.2,Вес2.3,Вес2.4,Вес2.5))*((100/MIN(Вес2.1,Вес2.2,Вес2.3,Вес2.4,Вес2.5))/AN17*Вес2.4/MIN(Вес2.1,Вес2.2,Вес2.3,Вес2.4,Вес2.5)),"")</f>
        <v>10</v>
      </c>
      <c r="AA17" s="10">
        <f>IF(Z17="","не применяется",IF(W17=0,"не применяется",Z17*Y17/100))</f>
        <v>0</v>
      </c>
      <c r="AB17" s="10">
        <f>IF(ISNUMBER(AA17),AA17,"")</f>
        <v>0</v>
      </c>
      <c r="AC17" s="56">
        <v>1</v>
      </c>
      <c r="AD17" s="56">
        <v>-44.5152</v>
      </c>
      <c r="AE17" s="56">
        <v>1</v>
      </c>
      <c r="AF17" s="10">
        <f>IF(E17=1,(MIN(Вес2.1,Вес2.2,Вес2.3,Вес2.4,Вес2.5))*((100/MIN(Вес2.1,Вес2.2,Вес2.3,Вес2.4,Вес2.5))/AN17*Вес2.5/MIN(Вес2.1,Вес2.2,Вес2.3,Вес2.4,Вес2.5)),"")</f>
        <v>10</v>
      </c>
      <c r="AG17" s="10">
        <f>IF(AF17="","не применяется",IF(AC17=0,"не применяется",AF17*AE17/100))</f>
        <v>0.1</v>
      </c>
      <c r="AH17" s="10">
        <f>IF(ISNUMBER(AG17),AG17,"")</f>
        <v>0.1</v>
      </c>
      <c r="AI17" s="10">
        <f>IF(E17=1,Вес2.1/MIN(Вес2.1,Вес2.2,Вес2.3,Вес2.4,Вес2.5),"")</f>
        <v>3</v>
      </c>
      <c r="AJ17" s="10">
        <f>IF(K17=1,Вес2.2/MIN(Вес2.1,Вес2.2,Вес2.3,Вес2.4,Вес2.5),"")</f>
        <v>2</v>
      </c>
      <c r="AK17" s="10">
        <f>IF(Q17=1,Вес2.3/MIN(Вес2.1,Вес2.2,Вес2.3,Вес2.4,Вес2.5),"")</f>
        <v>3</v>
      </c>
      <c r="AL17" s="10">
        <f>IF(W17=1,Вес2.4/MIN(Вес2.1,Вес2.2,Вес2.3,Вес2.4,Вес2.5),"")</f>
        <v>1</v>
      </c>
      <c r="AM17" s="10">
        <f>IF(AC17=1,Вес2.5/MIN(Вес2.1,Вес2.2,Вес2.3,Вес2.4,Вес2.5),"")</f>
        <v>1</v>
      </c>
      <c r="AN17" s="10">
        <f>SUM(AI17:AM17)</f>
        <v>10</v>
      </c>
    </row>
    <row r="18" spans="1:40" ht="38.25" x14ac:dyDescent="0.2">
      <c r="A18" s="1" t="s">
        <v>102</v>
      </c>
      <c r="B18" s="9" t="s">
        <v>21</v>
      </c>
      <c r="C18" s="10">
        <f>IF(D18&lt;&gt;1,"",SUM(J18,P18,V18,AB18,AH18))</f>
        <v>1</v>
      </c>
      <c r="D18" s="10">
        <f>IF(SUM(E18,K18,Q18,W18,AC18)=0,0,1)</f>
        <v>1</v>
      </c>
      <c r="E18" s="56">
        <v>1</v>
      </c>
      <c r="F18" s="56">
        <v>103.42140000000001</v>
      </c>
      <c r="G18" s="56">
        <v>1</v>
      </c>
      <c r="H18" s="10">
        <f>IF(E18=1,(MIN(Вес2.1,Вес2.2,Вес2.3,Вес2.4,Вес2.5))*((100/MIN(Вес2.1,Вес2.2,Вес2.3,Вес2.4,Вес2.5))/AN18*Вес2.1/MIN(Вес2.1,Вес2.2,Вес2.3,Вес2.4,Вес2.5)),"")</f>
        <v>30</v>
      </c>
      <c r="I18" s="10">
        <f>IF(H18="","не применяется",IF(E18=0,"не применяется",H18*G18/100))</f>
        <v>0.3</v>
      </c>
      <c r="J18" s="10">
        <f>IF(ISNUMBER(I18),I18,"")</f>
        <v>0.3</v>
      </c>
      <c r="K18" s="56">
        <v>1</v>
      </c>
      <c r="L18" s="56">
        <v>0</v>
      </c>
      <c r="M18" s="56">
        <v>1</v>
      </c>
      <c r="N18" s="10">
        <f>IF(K18=1,(MIN(Вес2.1,Вес2.2,Вес2.3,Вес2.4,Вес2.5))*((100/MIN(Вес2.1,Вес2.2,Вес2.3,Вес2.4,Вес2.5))/AN18*Вес2.2/MIN(Вес2.1,Вес2.2,Вес2.3,Вес2.4,Вес2.5)),"")</f>
        <v>20</v>
      </c>
      <c r="O18" s="10">
        <f>IF(N18="","не применяется",IF(K18=0,"не применяется",N18*M18/100))</f>
        <v>0.2</v>
      </c>
      <c r="P18" s="10">
        <f>IF(ISNUMBER(O18),O18,"")</f>
        <v>0.2</v>
      </c>
      <c r="Q18" s="56">
        <v>1</v>
      </c>
      <c r="R18" s="56">
        <v>1</v>
      </c>
      <c r="S18" s="56">
        <v>1</v>
      </c>
      <c r="T18" s="10">
        <f>IF(Q18=1,(MIN(Вес2.1,Вес2.2,Вес2.3,Вес2.4,Вес2.5))*((100/MIN(Вес2.1,Вес2.2,Вес2.3,Вес2.4,Вес2.5))/AN18*Вес2.3/MIN(Вес2.1,Вес2.2,Вес2.3,Вес2.4,Вес2.5)),"")</f>
        <v>30</v>
      </c>
      <c r="U18" s="10">
        <f>IF(T18="","не применяется",IF(Q18=0,"не применяется",T18*S18/100))</f>
        <v>0.3</v>
      </c>
      <c r="V18" s="10">
        <f>IF(ISNUMBER(U18),U18,"")</f>
        <v>0.3</v>
      </c>
      <c r="W18" s="56">
        <v>1</v>
      </c>
      <c r="X18" s="56">
        <v>0</v>
      </c>
      <c r="Y18" s="56">
        <v>1</v>
      </c>
      <c r="Z18" s="10">
        <f>IF(E18=1,(MIN(Вес2.1,Вес2.2,Вес2.3,Вес2.4,Вес2.5))*((100/MIN(Вес2.1,Вес2.2,Вес2.3,Вес2.4,Вес2.5))/AN18*Вес2.4/MIN(Вес2.1,Вес2.2,Вес2.3,Вес2.4,Вес2.5)),"")</f>
        <v>10</v>
      </c>
      <c r="AA18" s="10">
        <f>IF(Z18="","не применяется",IF(W18=0,"не применяется",Z18*Y18/100))</f>
        <v>0.1</v>
      </c>
      <c r="AB18" s="10">
        <f>IF(ISNUMBER(AA18),AA18,"")</f>
        <v>0.1</v>
      </c>
      <c r="AC18" s="56">
        <v>1</v>
      </c>
      <c r="AD18" s="56">
        <v>-1</v>
      </c>
      <c r="AE18" s="56">
        <v>1</v>
      </c>
      <c r="AF18" s="10">
        <f>IF(E18=1,(MIN(Вес2.1,Вес2.2,Вес2.3,Вес2.4,Вес2.5))*((100/MIN(Вес2.1,Вес2.2,Вес2.3,Вес2.4,Вес2.5))/AN18*Вес2.5/MIN(Вес2.1,Вес2.2,Вес2.3,Вес2.4,Вес2.5)),"")</f>
        <v>10</v>
      </c>
      <c r="AG18" s="10">
        <f>IF(AF18="","не применяется",IF(AC18=0,"не применяется",AF18*AE18/100))</f>
        <v>0.1</v>
      </c>
      <c r="AH18" s="10">
        <f>IF(ISNUMBER(AG18),AG18,"")</f>
        <v>0.1</v>
      </c>
      <c r="AI18" s="10">
        <f>IF(E18=1,Вес2.1/MIN(Вес2.1,Вес2.2,Вес2.3,Вес2.4,Вес2.5),"")</f>
        <v>3</v>
      </c>
      <c r="AJ18" s="10">
        <f>IF(K18=1,Вес2.2/MIN(Вес2.1,Вес2.2,Вес2.3,Вес2.4,Вес2.5),"")</f>
        <v>2</v>
      </c>
      <c r="AK18" s="10">
        <f>IF(Q18=1,Вес2.3/MIN(Вес2.1,Вес2.2,Вес2.3,Вес2.4,Вес2.5),"")</f>
        <v>3</v>
      </c>
      <c r="AL18" s="10">
        <f>IF(W18=1,Вес2.4/MIN(Вес2.1,Вес2.2,Вес2.3,Вес2.4,Вес2.5),"")</f>
        <v>1</v>
      </c>
      <c r="AM18" s="10">
        <f>IF(AC18=1,Вес2.5/MIN(Вес2.1,Вес2.2,Вес2.3,Вес2.4,Вес2.5),"")</f>
        <v>1</v>
      </c>
      <c r="AN18" s="10">
        <f>SUM(AI18:AM18)</f>
        <v>10</v>
      </c>
    </row>
    <row r="19" spans="1:40" ht="25.5" x14ac:dyDescent="0.2">
      <c r="A19" s="1" t="s">
        <v>103</v>
      </c>
      <c r="B19" s="9" t="s">
        <v>22</v>
      </c>
      <c r="C19" s="10">
        <f>IF(D19&lt;&gt;1,"",SUM(J19,P19,V19,AB19,AH19))</f>
        <v>0.8125</v>
      </c>
      <c r="D19" s="10">
        <f>IF(SUM(E19,K19,Q19,W19,AC19)=0,0,1)</f>
        <v>1</v>
      </c>
      <c r="E19" s="56">
        <v>1</v>
      </c>
      <c r="F19" s="56">
        <v>190.95650000000001</v>
      </c>
      <c r="G19" s="56">
        <v>0.5</v>
      </c>
      <c r="H19" s="10">
        <f>IF(E19=1,(MIN(Вес2.1,Вес2.2,Вес2.3,Вес2.4,Вес2.5))*((100/MIN(Вес2.1,Вес2.2,Вес2.3,Вес2.4,Вес2.5))/AN19*Вес2.1/MIN(Вес2.1,Вес2.2,Вес2.3,Вес2.4,Вес2.5)),"")</f>
        <v>37.5</v>
      </c>
      <c r="I19" s="10">
        <f>IF(H19="","не применяется",IF(E19=0,"не применяется",H19*G19/100))</f>
        <v>0.1875</v>
      </c>
      <c r="J19" s="10">
        <f>IF(ISNUMBER(I19),I19,"")</f>
        <v>0.1875</v>
      </c>
      <c r="K19" s="56">
        <v>0</v>
      </c>
      <c r="L19" s="56">
        <v>0</v>
      </c>
      <c r="M19" s="56">
        <v>0</v>
      </c>
      <c r="N19" s="10" t="str">
        <f>IF(K19=1,(MIN(Вес2.1,Вес2.2,Вес2.3,Вес2.4,Вес2.5))*((100/MIN(Вес2.1,Вес2.2,Вес2.3,Вес2.4,Вес2.5))/AN19*Вес2.2/MIN(Вес2.1,Вес2.2,Вес2.3,Вес2.4,Вес2.5)),"")</f>
        <v/>
      </c>
      <c r="O19" s="10" t="str">
        <f>IF(N19="","не применяется",IF(K19=0,"не применяется",N19*M19/100))</f>
        <v>не применяется</v>
      </c>
      <c r="P19" s="10" t="str">
        <f>IF(ISNUMBER(O19),O19,"")</f>
        <v/>
      </c>
      <c r="Q19" s="56">
        <v>1</v>
      </c>
      <c r="R19" s="56">
        <v>1</v>
      </c>
      <c r="S19" s="56">
        <v>1</v>
      </c>
      <c r="T19" s="10">
        <f>IF(Q19=1,(MIN(Вес2.1,Вес2.2,Вес2.3,Вес2.4,Вес2.5))*((100/MIN(Вес2.1,Вес2.2,Вес2.3,Вес2.4,Вес2.5))/AN19*Вес2.3/MIN(Вес2.1,Вес2.2,Вес2.3,Вес2.4,Вес2.5)),"")</f>
        <v>37.5</v>
      </c>
      <c r="U19" s="10">
        <f>IF(T19="","не применяется",IF(Q19=0,"не применяется",T19*S19/100))</f>
        <v>0.375</v>
      </c>
      <c r="V19" s="10">
        <f>IF(ISNUMBER(U19),U19,"")</f>
        <v>0.375</v>
      </c>
      <c r="W19" s="56">
        <v>1</v>
      </c>
      <c r="X19" s="56">
        <v>0</v>
      </c>
      <c r="Y19" s="56">
        <v>1</v>
      </c>
      <c r="Z19" s="10">
        <f>IF(E19=1,(MIN(Вес2.1,Вес2.2,Вес2.3,Вес2.4,Вес2.5))*((100/MIN(Вес2.1,Вес2.2,Вес2.3,Вес2.4,Вес2.5))/AN19*Вес2.4/MIN(Вес2.1,Вес2.2,Вес2.3,Вес2.4,Вес2.5)),"")</f>
        <v>12.5</v>
      </c>
      <c r="AA19" s="10">
        <f>IF(Z19="","не применяется",IF(W19=0,"не применяется",Z19*Y19/100))</f>
        <v>0.125</v>
      </c>
      <c r="AB19" s="10">
        <f>IF(ISNUMBER(AA19),AA19,"")</f>
        <v>0.125</v>
      </c>
      <c r="AC19" s="56">
        <v>1</v>
      </c>
      <c r="AD19" s="56">
        <v>-1</v>
      </c>
      <c r="AE19" s="56">
        <v>1</v>
      </c>
      <c r="AF19" s="10">
        <f>IF(E19=1,(MIN(Вес2.1,Вес2.2,Вес2.3,Вес2.4,Вес2.5))*((100/MIN(Вес2.1,Вес2.2,Вес2.3,Вес2.4,Вес2.5))/AN19*Вес2.5/MIN(Вес2.1,Вес2.2,Вес2.3,Вес2.4,Вес2.5)),"")</f>
        <v>12.5</v>
      </c>
      <c r="AG19" s="10">
        <f>IF(AF19="","не применяется",IF(AC19=0,"не применяется",AF19*AE19/100))</f>
        <v>0.125</v>
      </c>
      <c r="AH19" s="10">
        <f>IF(ISNUMBER(AG19),AG19,"")</f>
        <v>0.125</v>
      </c>
      <c r="AI19" s="10">
        <f>IF(E19=1,Вес2.1/MIN(Вес2.1,Вес2.2,Вес2.3,Вес2.4,Вес2.5),"")</f>
        <v>3</v>
      </c>
      <c r="AJ19" s="10" t="str">
        <f>IF(K19=1,Вес2.2/MIN(Вес2.1,Вес2.2,Вес2.3,Вес2.4,Вес2.5),"")</f>
        <v/>
      </c>
      <c r="AK19" s="10">
        <f>IF(Q19=1,Вес2.3/MIN(Вес2.1,Вес2.2,Вес2.3,Вес2.4,Вес2.5),"")</f>
        <v>3</v>
      </c>
      <c r="AL19" s="10">
        <f>IF(W19=1,Вес2.4/MIN(Вес2.1,Вес2.2,Вес2.3,Вес2.4,Вес2.5),"")</f>
        <v>1</v>
      </c>
      <c r="AM19" s="10">
        <f>IF(AC19=1,Вес2.5/MIN(Вес2.1,Вес2.2,Вес2.3,Вес2.4,Вес2.5),"")</f>
        <v>1</v>
      </c>
      <c r="AN19" s="10">
        <f>SUM(AI19:AM19)</f>
        <v>8</v>
      </c>
    </row>
    <row r="20" spans="1:40" ht="51" x14ac:dyDescent="0.2">
      <c r="A20" s="1" t="s">
        <v>104</v>
      </c>
      <c r="B20" s="9" t="s">
        <v>23</v>
      </c>
      <c r="C20" s="10">
        <f>IF(D20&lt;&gt;1,"",SUM(J20,P20,V20,AB20,AH20))</f>
        <v>0.6875</v>
      </c>
      <c r="D20" s="10">
        <f>IF(SUM(E20,K20,Q20,W20,AC20)=0,0,1)</f>
        <v>1</v>
      </c>
      <c r="E20" s="56">
        <v>1</v>
      </c>
      <c r="F20" s="56">
        <v>109.4198</v>
      </c>
      <c r="G20" s="56">
        <v>0.5</v>
      </c>
      <c r="H20" s="10">
        <f>IF(E20=1,(MIN(Вес2.1,Вес2.2,Вес2.3,Вес2.4,Вес2.5))*((100/MIN(Вес2.1,Вес2.2,Вес2.3,Вес2.4,Вес2.5))/AN20*Вес2.1/MIN(Вес2.1,Вес2.2,Вес2.3,Вес2.4,Вес2.5)),"")</f>
        <v>37.5</v>
      </c>
      <c r="I20" s="10">
        <f>IF(H20="","не применяется",IF(E20=0,"не применяется",H20*G20/100))</f>
        <v>0.1875</v>
      </c>
      <c r="J20" s="10">
        <f>IF(ISNUMBER(I20),I20,"")</f>
        <v>0.1875</v>
      </c>
      <c r="K20" s="56">
        <v>0</v>
      </c>
      <c r="L20" s="56">
        <v>0</v>
      </c>
      <c r="M20" s="56">
        <v>0</v>
      </c>
      <c r="N20" s="10" t="str">
        <f>IF(K20=1,(MIN(Вес2.1,Вес2.2,Вес2.3,Вес2.4,Вес2.5))*((100/MIN(Вес2.1,Вес2.2,Вес2.3,Вес2.4,Вес2.5))/AN20*Вес2.2/MIN(Вес2.1,Вес2.2,Вес2.3,Вес2.4,Вес2.5)),"")</f>
        <v/>
      </c>
      <c r="O20" s="10" t="str">
        <f>IF(N20="","не применяется",IF(K20=0,"не применяется",N20*M20/100))</f>
        <v>не применяется</v>
      </c>
      <c r="P20" s="10" t="str">
        <f>IF(ISNUMBER(O20),O20,"")</f>
        <v/>
      </c>
      <c r="Q20" s="56">
        <v>1</v>
      </c>
      <c r="R20" s="56">
        <v>1</v>
      </c>
      <c r="S20" s="56">
        <v>1</v>
      </c>
      <c r="T20" s="10">
        <f>IF(Q20=1,(MIN(Вес2.1,Вес2.2,Вес2.3,Вес2.4,Вес2.5))*((100/MIN(Вес2.1,Вес2.2,Вес2.3,Вес2.4,Вес2.5))/AN20*Вес2.3/MIN(Вес2.1,Вес2.2,Вес2.3,Вес2.4,Вес2.5)),"")</f>
        <v>37.5</v>
      </c>
      <c r="U20" s="10">
        <f>IF(T20="","не применяется",IF(Q20=0,"не применяется",T20*S20/100))</f>
        <v>0.375</v>
      </c>
      <c r="V20" s="10">
        <f>IF(ISNUMBER(U20),U20,"")</f>
        <v>0.375</v>
      </c>
      <c r="W20" s="56">
        <v>1</v>
      </c>
      <c r="X20" s="56">
        <v>530124.46</v>
      </c>
      <c r="Y20" s="56">
        <v>0</v>
      </c>
      <c r="Z20" s="10">
        <f>IF(E20=1,(MIN(Вес2.1,Вес2.2,Вес2.3,Вес2.4,Вес2.5))*((100/MIN(Вес2.1,Вес2.2,Вес2.3,Вес2.4,Вес2.5))/AN20*Вес2.4/MIN(Вес2.1,Вес2.2,Вес2.3,Вес2.4,Вес2.5)),"")</f>
        <v>12.5</v>
      </c>
      <c r="AA20" s="10">
        <f>IF(Z20="","не применяется",IF(W20=0,"не применяется",Z20*Y20/100))</f>
        <v>0</v>
      </c>
      <c r="AB20" s="10">
        <f>IF(ISNUMBER(AA20),AA20,"")</f>
        <v>0</v>
      </c>
      <c r="AC20" s="56">
        <v>1</v>
      </c>
      <c r="AD20" s="56">
        <v>-98.665099999999995</v>
      </c>
      <c r="AE20" s="56">
        <v>1</v>
      </c>
      <c r="AF20" s="10">
        <f>IF(E20=1,(MIN(Вес2.1,Вес2.2,Вес2.3,Вес2.4,Вес2.5))*((100/MIN(Вес2.1,Вес2.2,Вес2.3,Вес2.4,Вес2.5))/AN20*Вес2.5/MIN(Вес2.1,Вес2.2,Вес2.3,Вес2.4,Вес2.5)),"")</f>
        <v>12.5</v>
      </c>
      <c r="AG20" s="10">
        <f>IF(AF20="","не применяется",IF(AC20=0,"не применяется",AF20*AE20/100))</f>
        <v>0.125</v>
      </c>
      <c r="AH20" s="10">
        <f>IF(ISNUMBER(AG20),AG20,"")</f>
        <v>0.125</v>
      </c>
      <c r="AI20" s="10">
        <f>IF(E20=1,Вес2.1/MIN(Вес2.1,Вес2.2,Вес2.3,Вес2.4,Вес2.5),"")</f>
        <v>3</v>
      </c>
      <c r="AJ20" s="10" t="str">
        <f>IF(K20=1,Вес2.2/MIN(Вес2.1,Вес2.2,Вес2.3,Вес2.4,Вес2.5),"")</f>
        <v/>
      </c>
      <c r="AK20" s="10">
        <f>IF(Q20=1,Вес2.3/MIN(Вес2.1,Вес2.2,Вес2.3,Вес2.4,Вес2.5),"")</f>
        <v>3</v>
      </c>
      <c r="AL20" s="10">
        <f>IF(W20=1,Вес2.4/MIN(Вес2.1,Вес2.2,Вес2.3,Вес2.4,Вес2.5),"")</f>
        <v>1</v>
      </c>
      <c r="AM20" s="10">
        <f>IF(AC20=1,Вес2.5/MIN(Вес2.1,Вес2.2,Вес2.3,Вес2.4,Вес2.5),"")</f>
        <v>1</v>
      </c>
      <c r="AN20" s="10">
        <f>SUM(AI20:AM20)</f>
        <v>8</v>
      </c>
    </row>
    <row r="21" spans="1:40" ht="38.25" x14ac:dyDescent="0.2">
      <c r="A21" s="1" t="s">
        <v>105</v>
      </c>
      <c r="B21" s="9" t="s">
        <v>24</v>
      </c>
      <c r="C21" s="10">
        <f>IF(D21&lt;&gt;1,"",SUM(J21,P21,V21,AB21,AH21))</f>
        <v>0.64999999999999991</v>
      </c>
      <c r="D21" s="10">
        <f>IF(SUM(E21,K21,Q21,W21,AC21)=0,0,1)</f>
        <v>1</v>
      </c>
      <c r="E21" s="56">
        <v>1</v>
      </c>
      <c r="F21" s="56">
        <v>274.71609999999998</v>
      </c>
      <c r="G21" s="56">
        <v>0.5</v>
      </c>
      <c r="H21" s="10">
        <f>IF(E21=1,(MIN(Вес2.1,Вес2.2,Вес2.3,Вес2.4,Вес2.5))*((100/MIN(Вес2.1,Вес2.2,Вес2.3,Вес2.4,Вес2.5))/AN21*Вес2.1/MIN(Вес2.1,Вес2.2,Вес2.3,Вес2.4,Вес2.5)),"")</f>
        <v>30</v>
      </c>
      <c r="I21" s="10">
        <f>IF(H21="","не применяется",IF(E21=0,"не применяется",H21*G21/100))</f>
        <v>0.15</v>
      </c>
      <c r="J21" s="10">
        <f>IF(ISNUMBER(I21),I21,"")</f>
        <v>0.15</v>
      </c>
      <c r="K21" s="56">
        <v>1</v>
      </c>
      <c r="L21" s="56">
        <v>0</v>
      </c>
      <c r="M21" s="56">
        <v>1</v>
      </c>
      <c r="N21" s="10">
        <f>IF(K21=1,(MIN(Вес2.1,Вес2.2,Вес2.3,Вес2.4,Вес2.5))*((100/MIN(Вес2.1,Вес2.2,Вес2.3,Вес2.4,Вес2.5))/AN21*Вес2.2/MIN(Вес2.1,Вес2.2,Вес2.3,Вес2.4,Вес2.5)),"")</f>
        <v>20</v>
      </c>
      <c r="O21" s="10">
        <f>IF(N21="","не применяется",IF(K21=0,"не применяется",N21*M21/100))</f>
        <v>0.2</v>
      </c>
      <c r="P21" s="10">
        <f>IF(ISNUMBER(O21),O21,"")</f>
        <v>0.2</v>
      </c>
      <c r="Q21" s="56">
        <v>1</v>
      </c>
      <c r="R21" s="56">
        <v>1</v>
      </c>
      <c r="S21" s="56">
        <v>1</v>
      </c>
      <c r="T21" s="10">
        <f>IF(Q21=1,(MIN(Вес2.1,Вес2.2,Вес2.3,Вес2.4,Вес2.5))*((100/MIN(Вес2.1,Вес2.2,Вес2.3,Вес2.4,Вес2.5))/AN21*Вес2.3/MIN(Вес2.1,Вес2.2,Вес2.3,Вес2.4,Вес2.5)),"")</f>
        <v>30</v>
      </c>
      <c r="U21" s="10">
        <f>IF(T21="","не применяется",IF(Q21=0,"не применяется",T21*S21/100))</f>
        <v>0.3</v>
      </c>
      <c r="V21" s="10">
        <f>IF(ISNUMBER(U21),U21,"")</f>
        <v>0.3</v>
      </c>
      <c r="W21" s="56">
        <v>1</v>
      </c>
      <c r="X21" s="56">
        <v>405517521.56999999</v>
      </c>
      <c r="Y21" s="56">
        <v>0</v>
      </c>
      <c r="Z21" s="10">
        <f>IF(E21=1,(MIN(Вес2.1,Вес2.2,Вес2.3,Вес2.4,Вес2.5))*((100/MIN(Вес2.1,Вес2.2,Вес2.3,Вес2.4,Вес2.5))/AN21*Вес2.4/MIN(Вес2.1,Вес2.2,Вес2.3,Вес2.4,Вес2.5)),"")</f>
        <v>10</v>
      </c>
      <c r="AA21" s="10">
        <f>IF(Z21="","не применяется",IF(W21=0,"не применяется",Z21*Y21/100))</f>
        <v>0</v>
      </c>
      <c r="AB21" s="10">
        <f>IF(ISNUMBER(AA21),AA21,"")</f>
        <v>0</v>
      </c>
      <c r="AC21" s="56">
        <v>1</v>
      </c>
      <c r="AD21" s="56">
        <v>17.907900000000001</v>
      </c>
      <c r="AE21" s="56">
        <v>0</v>
      </c>
      <c r="AF21" s="10">
        <f>IF(E21=1,(MIN(Вес2.1,Вес2.2,Вес2.3,Вес2.4,Вес2.5))*((100/MIN(Вес2.1,Вес2.2,Вес2.3,Вес2.4,Вес2.5))/AN21*Вес2.5/MIN(Вес2.1,Вес2.2,Вес2.3,Вес2.4,Вес2.5)),"")</f>
        <v>10</v>
      </c>
      <c r="AG21" s="10">
        <f>IF(AF21="","не применяется",IF(AC21=0,"не применяется",AF21*AE21/100))</f>
        <v>0</v>
      </c>
      <c r="AH21" s="10">
        <f>IF(ISNUMBER(AG21),AG21,"")</f>
        <v>0</v>
      </c>
      <c r="AI21" s="10">
        <f>IF(E21=1,Вес2.1/MIN(Вес2.1,Вес2.2,Вес2.3,Вес2.4,Вес2.5),"")</f>
        <v>3</v>
      </c>
      <c r="AJ21" s="10">
        <f>IF(K21=1,Вес2.2/MIN(Вес2.1,Вес2.2,Вес2.3,Вес2.4,Вес2.5),"")</f>
        <v>2</v>
      </c>
      <c r="AK21" s="10">
        <f>IF(Q21=1,Вес2.3/MIN(Вес2.1,Вес2.2,Вес2.3,Вес2.4,Вес2.5),"")</f>
        <v>3</v>
      </c>
      <c r="AL21" s="10">
        <f>IF(W21=1,Вес2.4/MIN(Вес2.1,Вес2.2,Вес2.3,Вес2.4,Вес2.5),"")</f>
        <v>1</v>
      </c>
      <c r="AM21" s="10">
        <f>IF(AC21=1,Вес2.5/MIN(Вес2.1,Вес2.2,Вес2.3,Вес2.4,Вес2.5),"")</f>
        <v>1</v>
      </c>
      <c r="AN21" s="10">
        <f>SUM(AI21:AM21)</f>
        <v>10</v>
      </c>
    </row>
    <row r="22" spans="1:40" ht="38.25" x14ac:dyDescent="0.2">
      <c r="A22" s="1" t="s">
        <v>106</v>
      </c>
      <c r="B22" s="9" t="s">
        <v>25</v>
      </c>
      <c r="C22" s="10">
        <f>IF(D22&lt;&gt;1,"",SUM(J22,P22,V22,AB22,AH22))</f>
        <v>0.5625</v>
      </c>
      <c r="D22" s="10">
        <f>IF(SUM(E22,K22,Q22,W22,AC22)=0,0,1)</f>
        <v>1</v>
      </c>
      <c r="E22" s="56">
        <v>1</v>
      </c>
      <c r="F22" s="56">
        <v>111.542</v>
      </c>
      <c r="G22" s="56">
        <v>0.5</v>
      </c>
      <c r="H22" s="10">
        <f>IF(E22=1,(MIN(Вес2.1,Вес2.2,Вес2.3,Вес2.4,Вес2.5))*((100/MIN(Вес2.1,Вес2.2,Вес2.3,Вес2.4,Вес2.5))/AN22*Вес2.1/MIN(Вес2.1,Вес2.2,Вес2.3,Вес2.4,Вес2.5)),"")</f>
        <v>37.5</v>
      </c>
      <c r="I22" s="10">
        <f>IF(H22="","не применяется",IF(E22=0,"не применяется",H22*G22/100))</f>
        <v>0.1875</v>
      </c>
      <c r="J22" s="10">
        <f>IF(ISNUMBER(I22),I22,"")</f>
        <v>0.1875</v>
      </c>
      <c r="K22" s="56">
        <v>0</v>
      </c>
      <c r="L22" s="56">
        <v>0</v>
      </c>
      <c r="M22" s="56">
        <v>0</v>
      </c>
      <c r="N22" s="10" t="str">
        <f>IF(K22=1,(MIN(Вес2.1,Вес2.2,Вес2.3,Вес2.4,Вес2.5))*((100/MIN(Вес2.1,Вес2.2,Вес2.3,Вес2.4,Вес2.5))/AN22*Вес2.2/MIN(Вес2.1,Вес2.2,Вес2.3,Вес2.4,Вес2.5)),"")</f>
        <v/>
      </c>
      <c r="O22" s="10" t="str">
        <f>IF(N22="","не применяется",IF(K22=0,"не применяется",N22*M22/100))</f>
        <v>не применяется</v>
      </c>
      <c r="P22" s="10" t="str">
        <f>IF(ISNUMBER(O22),O22,"")</f>
        <v/>
      </c>
      <c r="Q22" s="56">
        <v>1</v>
      </c>
      <c r="R22" s="56">
        <v>1</v>
      </c>
      <c r="S22" s="56">
        <v>1</v>
      </c>
      <c r="T22" s="10">
        <f>IF(Q22=1,(MIN(Вес2.1,Вес2.2,Вес2.3,Вес2.4,Вес2.5))*((100/MIN(Вес2.1,Вес2.2,Вес2.3,Вес2.4,Вес2.5))/AN22*Вес2.3/MIN(Вес2.1,Вес2.2,Вес2.3,Вес2.4,Вес2.5)),"")</f>
        <v>37.5</v>
      </c>
      <c r="U22" s="10">
        <f>IF(T22="","не применяется",IF(Q22=0,"не применяется",T22*S22/100))</f>
        <v>0.375</v>
      </c>
      <c r="V22" s="10">
        <f>IF(ISNUMBER(U22),U22,"")</f>
        <v>0.375</v>
      </c>
      <c r="W22" s="56">
        <v>1</v>
      </c>
      <c r="X22" s="56">
        <v>345735.04</v>
      </c>
      <c r="Y22" s="56">
        <v>0</v>
      </c>
      <c r="Z22" s="10">
        <f>IF(E22=1,(MIN(Вес2.1,Вес2.2,Вес2.3,Вес2.4,Вес2.5))*((100/MIN(Вес2.1,Вес2.2,Вес2.3,Вес2.4,Вес2.5))/AN22*Вес2.4/MIN(Вес2.1,Вес2.2,Вес2.3,Вес2.4,Вес2.5)),"")</f>
        <v>12.5</v>
      </c>
      <c r="AA22" s="10">
        <f>IF(Z22="","не применяется",IF(W22=0,"не применяется",Z22*Y22/100))</f>
        <v>0</v>
      </c>
      <c r="AB22" s="10">
        <f>IF(ISNUMBER(AA22),AA22,"")</f>
        <v>0</v>
      </c>
      <c r="AC22" s="56">
        <v>1</v>
      </c>
      <c r="AD22" s="56">
        <v>0</v>
      </c>
      <c r="AE22" s="56">
        <v>0</v>
      </c>
      <c r="AF22" s="10">
        <f>IF(E22=1,(MIN(Вес2.1,Вес2.2,Вес2.3,Вес2.4,Вес2.5))*((100/MIN(Вес2.1,Вес2.2,Вес2.3,Вес2.4,Вес2.5))/AN22*Вес2.5/MIN(Вес2.1,Вес2.2,Вес2.3,Вес2.4,Вес2.5)),"")</f>
        <v>12.5</v>
      </c>
      <c r="AG22" s="10">
        <f>IF(AF22="","не применяется",IF(AC22=0,"не применяется",AF22*AE22/100))</f>
        <v>0</v>
      </c>
      <c r="AH22" s="10">
        <f>IF(ISNUMBER(AG22),AG22,"")</f>
        <v>0</v>
      </c>
      <c r="AI22" s="10">
        <f>IF(E22=1,Вес2.1/MIN(Вес2.1,Вес2.2,Вес2.3,Вес2.4,Вес2.5),"")</f>
        <v>3</v>
      </c>
      <c r="AJ22" s="10" t="str">
        <f>IF(K22=1,Вес2.2/MIN(Вес2.1,Вес2.2,Вес2.3,Вес2.4,Вес2.5),"")</f>
        <v/>
      </c>
      <c r="AK22" s="10">
        <f>IF(Q22=1,Вес2.3/MIN(Вес2.1,Вес2.2,Вес2.3,Вес2.4,Вес2.5),"")</f>
        <v>3</v>
      </c>
      <c r="AL22" s="10">
        <f>IF(W22=1,Вес2.4/MIN(Вес2.1,Вес2.2,Вес2.3,Вес2.4,Вес2.5),"")</f>
        <v>1</v>
      </c>
      <c r="AM22" s="10">
        <f>IF(AC22=1,Вес2.5/MIN(Вес2.1,Вес2.2,Вес2.3,Вес2.4,Вес2.5),"")</f>
        <v>1</v>
      </c>
      <c r="AN22" s="10">
        <f>SUM(AI22:AM22)</f>
        <v>8</v>
      </c>
    </row>
    <row r="23" spans="1:40" ht="51" x14ac:dyDescent="0.2">
      <c r="A23" s="1" t="s">
        <v>107</v>
      </c>
      <c r="B23" s="9" t="s">
        <v>26</v>
      </c>
      <c r="C23" s="10">
        <f>IF(D23&lt;&gt;1,"",SUM(J23,P23,V23,AB23,AH23))</f>
        <v>0.64999999999999991</v>
      </c>
      <c r="D23" s="10">
        <f>IF(SUM(E23,K23,Q23,W23,AC23)=0,0,1)</f>
        <v>1</v>
      </c>
      <c r="E23" s="56">
        <v>1</v>
      </c>
      <c r="F23" s="56">
        <v>115.0219</v>
      </c>
      <c r="G23" s="56">
        <v>0.5</v>
      </c>
      <c r="H23" s="10">
        <f>IF(E23=1,(MIN(Вес2.1,Вес2.2,Вес2.3,Вес2.4,Вес2.5))*((100/MIN(Вес2.1,Вес2.2,Вес2.3,Вес2.4,Вес2.5))/AN23*Вес2.1/MIN(Вес2.1,Вес2.2,Вес2.3,Вес2.4,Вес2.5)),"")</f>
        <v>30</v>
      </c>
      <c r="I23" s="10">
        <f>IF(H23="","не применяется",IF(E23=0,"не применяется",H23*G23/100))</f>
        <v>0.15</v>
      </c>
      <c r="J23" s="10">
        <f>IF(ISNUMBER(I23),I23,"")</f>
        <v>0.15</v>
      </c>
      <c r="K23" s="56">
        <v>1</v>
      </c>
      <c r="L23" s="56">
        <v>100</v>
      </c>
      <c r="M23" s="56">
        <v>1</v>
      </c>
      <c r="N23" s="10">
        <f>IF(K23=1,(MIN(Вес2.1,Вес2.2,Вес2.3,Вес2.4,Вес2.5))*((100/MIN(Вес2.1,Вес2.2,Вес2.3,Вес2.4,Вес2.5))/AN23*Вес2.2/MIN(Вес2.1,Вес2.2,Вес2.3,Вес2.4,Вес2.5)),"")</f>
        <v>20</v>
      </c>
      <c r="O23" s="10">
        <f>IF(N23="","не применяется",IF(K23=0,"не применяется",N23*M23/100))</f>
        <v>0.2</v>
      </c>
      <c r="P23" s="10">
        <f>IF(ISNUMBER(O23),O23,"")</f>
        <v>0.2</v>
      </c>
      <c r="Q23" s="56">
        <v>1</v>
      </c>
      <c r="R23" s="56">
        <v>1</v>
      </c>
      <c r="S23" s="56">
        <v>1</v>
      </c>
      <c r="T23" s="10">
        <f>IF(Q23=1,(MIN(Вес2.1,Вес2.2,Вес2.3,Вес2.4,Вес2.5))*((100/MIN(Вес2.1,Вес2.2,Вес2.3,Вес2.4,Вес2.5))/AN23*Вес2.3/MIN(Вес2.1,Вес2.2,Вес2.3,Вес2.4,Вес2.5)),"")</f>
        <v>30</v>
      </c>
      <c r="U23" s="10">
        <f>IF(T23="","не применяется",IF(Q23=0,"не применяется",T23*S23/100))</f>
        <v>0.3</v>
      </c>
      <c r="V23" s="10">
        <f>IF(ISNUMBER(U23),U23,"")</f>
        <v>0.3</v>
      </c>
      <c r="W23" s="56">
        <v>1</v>
      </c>
      <c r="X23" s="56">
        <v>1047490413.83</v>
      </c>
      <c r="Y23" s="56">
        <v>0</v>
      </c>
      <c r="Z23" s="10">
        <f>IF(E23=1,(MIN(Вес2.1,Вес2.2,Вес2.3,Вес2.4,Вес2.5))*((100/MIN(Вес2.1,Вес2.2,Вес2.3,Вес2.4,Вес2.5))/AN23*Вес2.4/MIN(Вес2.1,Вес2.2,Вес2.3,Вес2.4,Вес2.5)),"")</f>
        <v>10</v>
      </c>
      <c r="AA23" s="10">
        <f>IF(Z23="","не применяется",IF(W23=0,"не применяется",Z23*Y23/100))</f>
        <v>0</v>
      </c>
      <c r="AB23" s="10">
        <f>IF(ISNUMBER(AA23),AA23,"")</f>
        <v>0</v>
      </c>
      <c r="AC23" s="56">
        <v>1</v>
      </c>
      <c r="AD23" s="56">
        <v>1.6167</v>
      </c>
      <c r="AE23" s="56">
        <v>0</v>
      </c>
      <c r="AF23" s="10">
        <f>IF(E23=1,(MIN(Вес2.1,Вес2.2,Вес2.3,Вес2.4,Вес2.5))*((100/MIN(Вес2.1,Вес2.2,Вес2.3,Вес2.4,Вес2.5))/AN23*Вес2.5/MIN(Вес2.1,Вес2.2,Вес2.3,Вес2.4,Вес2.5)),"")</f>
        <v>10</v>
      </c>
      <c r="AG23" s="10">
        <f>IF(AF23="","не применяется",IF(AC23=0,"не применяется",AF23*AE23/100))</f>
        <v>0</v>
      </c>
      <c r="AH23" s="10">
        <f>IF(ISNUMBER(AG23),AG23,"")</f>
        <v>0</v>
      </c>
      <c r="AI23" s="10">
        <f>IF(E23=1,Вес2.1/MIN(Вес2.1,Вес2.2,Вес2.3,Вес2.4,Вес2.5),"")</f>
        <v>3</v>
      </c>
      <c r="AJ23" s="10">
        <f>IF(K23=1,Вес2.2/MIN(Вес2.1,Вес2.2,Вес2.3,Вес2.4,Вес2.5),"")</f>
        <v>2</v>
      </c>
      <c r="AK23" s="10">
        <f>IF(Q23=1,Вес2.3/MIN(Вес2.1,Вес2.2,Вес2.3,Вес2.4,Вес2.5),"")</f>
        <v>3</v>
      </c>
      <c r="AL23" s="10">
        <f>IF(W23=1,Вес2.4/MIN(Вес2.1,Вес2.2,Вес2.3,Вес2.4,Вес2.5),"")</f>
        <v>1</v>
      </c>
      <c r="AM23" s="10">
        <f>IF(AC23=1,Вес2.5/MIN(Вес2.1,Вес2.2,Вес2.3,Вес2.4,Вес2.5),"")</f>
        <v>1</v>
      </c>
      <c r="AN23" s="10">
        <f>SUM(AI23:AM23)</f>
        <v>10</v>
      </c>
    </row>
    <row r="24" spans="1:40" ht="51" x14ac:dyDescent="0.2">
      <c r="A24" s="1" t="s">
        <v>108</v>
      </c>
      <c r="B24" s="9" t="s">
        <v>51</v>
      </c>
      <c r="C24" s="10">
        <f>IF(D24&lt;&gt;1,"",SUM(J24,P24,V24,AB24,AH24))</f>
        <v>0.74999999999999989</v>
      </c>
      <c r="D24" s="10">
        <f>IF(SUM(E24,K24,Q24,W24,AC24)=0,0,1)</f>
        <v>1</v>
      </c>
      <c r="E24" s="56">
        <v>1</v>
      </c>
      <c r="F24" s="56">
        <v>187.6865</v>
      </c>
      <c r="G24" s="56">
        <v>0.5</v>
      </c>
      <c r="H24" s="10">
        <f>IF(E24=1,(MIN(Вес2.1,Вес2.2,Вес2.3,Вес2.4,Вес2.5))*((100/MIN(Вес2.1,Вес2.2,Вес2.3,Вес2.4,Вес2.5))/AN24*Вес2.1/MIN(Вес2.1,Вес2.2,Вес2.3,Вес2.4,Вес2.5)),"")</f>
        <v>30</v>
      </c>
      <c r="I24" s="10">
        <f>IF(H24="","не применяется",IF(E24=0,"не применяется",H24*G24/100))</f>
        <v>0.15</v>
      </c>
      <c r="J24" s="10">
        <f>IF(ISNUMBER(I24),I24,"")</f>
        <v>0.15</v>
      </c>
      <c r="K24" s="56">
        <v>1</v>
      </c>
      <c r="L24" s="56">
        <v>0</v>
      </c>
      <c r="M24" s="56">
        <v>1</v>
      </c>
      <c r="N24" s="10">
        <f>IF(K24=1,(MIN(Вес2.1,Вес2.2,Вес2.3,Вес2.4,Вес2.5))*((100/MIN(Вес2.1,Вес2.2,Вес2.3,Вес2.4,Вес2.5))/AN24*Вес2.2/MIN(Вес2.1,Вес2.2,Вес2.3,Вес2.4,Вес2.5)),"")</f>
        <v>20</v>
      </c>
      <c r="O24" s="10">
        <f>IF(N24="","не применяется",IF(K24=0,"не применяется",N24*M24/100))</f>
        <v>0.2</v>
      </c>
      <c r="P24" s="10">
        <f>IF(ISNUMBER(O24),O24,"")</f>
        <v>0.2</v>
      </c>
      <c r="Q24" s="56">
        <v>1</v>
      </c>
      <c r="R24" s="56">
        <v>1</v>
      </c>
      <c r="S24" s="56">
        <v>1</v>
      </c>
      <c r="T24" s="10">
        <f>IF(Q24=1,(MIN(Вес2.1,Вес2.2,Вес2.3,Вес2.4,Вес2.5))*((100/MIN(Вес2.1,Вес2.2,Вес2.3,Вес2.4,Вес2.5))/AN24*Вес2.3/MIN(Вес2.1,Вес2.2,Вес2.3,Вес2.4,Вес2.5)),"")</f>
        <v>30</v>
      </c>
      <c r="U24" s="10">
        <f>IF(T24="","не применяется",IF(Q24=0,"не применяется",T24*S24/100))</f>
        <v>0.3</v>
      </c>
      <c r="V24" s="10">
        <f>IF(ISNUMBER(U24),U24,"")</f>
        <v>0.3</v>
      </c>
      <c r="W24" s="56">
        <v>1</v>
      </c>
      <c r="X24" s="56">
        <v>56352870.439999998</v>
      </c>
      <c r="Y24" s="56">
        <v>0</v>
      </c>
      <c r="Z24" s="10">
        <f>IF(E24=1,(MIN(Вес2.1,Вес2.2,Вес2.3,Вес2.4,Вес2.5))*((100/MIN(Вес2.1,Вес2.2,Вес2.3,Вес2.4,Вес2.5))/AN24*Вес2.4/MIN(Вес2.1,Вес2.2,Вес2.3,Вес2.4,Вес2.5)),"")</f>
        <v>10</v>
      </c>
      <c r="AA24" s="10">
        <f>IF(Z24="","не применяется",IF(W24=0,"не применяется",Z24*Y24/100))</f>
        <v>0</v>
      </c>
      <c r="AB24" s="10">
        <f>IF(ISNUMBER(AA24),AA24,"")</f>
        <v>0</v>
      </c>
      <c r="AC24" s="56">
        <v>1</v>
      </c>
      <c r="AD24" s="56">
        <v>-10.0916</v>
      </c>
      <c r="AE24" s="56">
        <v>1</v>
      </c>
      <c r="AF24" s="10">
        <f>IF(E24=1,(MIN(Вес2.1,Вес2.2,Вес2.3,Вес2.4,Вес2.5))*((100/MIN(Вес2.1,Вес2.2,Вес2.3,Вес2.4,Вес2.5))/AN24*Вес2.5/MIN(Вес2.1,Вес2.2,Вес2.3,Вес2.4,Вес2.5)),"")</f>
        <v>10</v>
      </c>
      <c r="AG24" s="10">
        <f>IF(AF24="","не применяется",IF(AC24=0,"не применяется",AF24*AE24/100))</f>
        <v>0.1</v>
      </c>
      <c r="AH24" s="10">
        <f>IF(ISNUMBER(AG24),AG24,"")</f>
        <v>0.1</v>
      </c>
      <c r="AI24" s="10">
        <f>IF(E24=1,Вес2.1/MIN(Вес2.1,Вес2.2,Вес2.3,Вес2.4,Вес2.5),"")</f>
        <v>3</v>
      </c>
      <c r="AJ24" s="10">
        <f>IF(K24=1,Вес2.2/MIN(Вес2.1,Вес2.2,Вес2.3,Вес2.4,Вес2.5),"")</f>
        <v>2</v>
      </c>
      <c r="AK24" s="10">
        <f>IF(Q24=1,Вес2.3/MIN(Вес2.1,Вес2.2,Вес2.3,Вес2.4,Вес2.5),"")</f>
        <v>3</v>
      </c>
      <c r="AL24" s="10">
        <f>IF(W24=1,Вес2.4/MIN(Вес2.1,Вес2.2,Вес2.3,Вес2.4,Вес2.5),"")</f>
        <v>1</v>
      </c>
      <c r="AM24" s="10">
        <f>IF(AC24=1,Вес2.5/MIN(Вес2.1,Вес2.2,Вес2.3,Вес2.4,Вес2.5),"")</f>
        <v>1</v>
      </c>
      <c r="AN24" s="10">
        <f>SUM(AI24:AM24)</f>
        <v>10</v>
      </c>
    </row>
    <row r="25" spans="1:40" ht="38.25" x14ac:dyDescent="0.2">
      <c r="A25" s="1" t="s">
        <v>109</v>
      </c>
      <c r="B25" s="9" t="s">
        <v>27</v>
      </c>
      <c r="C25" s="10">
        <f>IF(D25&lt;&gt;1,"",SUM(J25,P25,V25,AB25,AH25))</f>
        <v>0.84999999999999987</v>
      </c>
      <c r="D25" s="10">
        <f>IF(SUM(E25,K25,Q25,W25,AC25)=0,0,1)</f>
        <v>1</v>
      </c>
      <c r="E25" s="56">
        <v>1</v>
      </c>
      <c r="F25" s="56">
        <v>175.55289999999999</v>
      </c>
      <c r="G25" s="56">
        <v>0.5</v>
      </c>
      <c r="H25" s="10">
        <f>IF(E25=1,(MIN(Вес2.1,Вес2.2,Вес2.3,Вес2.4,Вес2.5))*((100/MIN(Вес2.1,Вес2.2,Вес2.3,Вес2.4,Вес2.5))/AN25*Вес2.1/MIN(Вес2.1,Вес2.2,Вес2.3,Вес2.4,Вес2.5)),"")</f>
        <v>30</v>
      </c>
      <c r="I25" s="10">
        <f>IF(H25="","не применяется",IF(E25=0,"не применяется",H25*G25/100))</f>
        <v>0.15</v>
      </c>
      <c r="J25" s="10">
        <f>IF(ISNUMBER(I25),I25,"")</f>
        <v>0.15</v>
      </c>
      <c r="K25" s="56">
        <v>1</v>
      </c>
      <c r="L25" s="56">
        <v>100</v>
      </c>
      <c r="M25" s="56">
        <v>1</v>
      </c>
      <c r="N25" s="10">
        <f>IF(K25=1,(MIN(Вес2.1,Вес2.2,Вес2.3,Вес2.4,Вес2.5))*((100/MIN(Вес2.1,Вес2.2,Вес2.3,Вес2.4,Вес2.5))/AN25*Вес2.2/MIN(Вес2.1,Вес2.2,Вес2.3,Вес2.4,Вес2.5)),"")</f>
        <v>20</v>
      </c>
      <c r="O25" s="10">
        <f>IF(N25="","не применяется",IF(K25=0,"не применяется",N25*M25/100))</f>
        <v>0.2</v>
      </c>
      <c r="P25" s="10">
        <f>IF(ISNUMBER(O25),O25,"")</f>
        <v>0.2</v>
      </c>
      <c r="Q25" s="56">
        <v>1</v>
      </c>
      <c r="R25" s="56">
        <v>1</v>
      </c>
      <c r="S25" s="56">
        <v>1</v>
      </c>
      <c r="T25" s="10">
        <f>IF(Q25=1,(MIN(Вес2.1,Вес2.2,Вес2.3,Вес2.4,Вес2.5))*((100/MIN(Вес2.1,Вес2.2,Вес2.3,Вес2.4,Вес2.5))/AN25*Вес2.3/MIN(Вес2.1,Вес2.2,Вес2.3,Вес2.4,Вес2.5)),"")</f>
        <v>30</v>
      </c>
      <c r="U25" s="10">
        <f>IF(T25="","не применяется",IF(Q25=0,"не применяется",T25*S25/100))</f>
        <v>0.3</v>
      </c>
      <c r="V25" s="10">
        <f>IF(ISNUMBER(U25),U25,"")</f>
        <v>0.3</v>
      </c>
      <c r="W25" s="56">
        <v>1</v>
      </c>
      <c r="X25" s="56">
        <v>0</v>
      </c>
      <c r="Y25" s="56">
        <v>1</v>
      </c>
      <c r="Z25" s="10">
        <f>IF(E25=1,(MIN(Вес2.1,Вес2.2,Вес2.3,Вес2.4,Вес2.5))*((100/MIN(Вес2.1,Вес2.2,Вес2.3,Вес2.4,Вес2.5))/AN25*Вес2.4/MIN(Вес2.1,Вес2.2,Вес2.3,Вес2.4,Вес2.5)),"")</f>
        <v>10</v>
      </c>
      <c r="AA25" s="10">
        <f>IF(Z25="","не применяется",IF(W25=0,"не применяется",Z25*Y25/100))</f>
        <v>0.1</v>
      </c>
      <c r="AB25" s="10">
        <f>IF(ISNUMBER(AA25),AA25,"")</f>
        <v>0.1</v>
      </c>
      <c r="AC25" s="56">
        <v>1</v>
      </c>
      <c r="AD25" s="56">
        <v>-1</v>
      </c>
      <c r="AE25" s="56">
        <v>1</v>
      </c>
      <c r="AF25" s="10">
        <f>IF(E25=1,(MIN(Вес2.1,Вес2.2,Вес2.3,Вес2.4,Вес2.5))*((100/MIN(Вес2.1,Вес2.2,Вес2.3,Вес2.4,Вес2.5))/AN25*Вес2.5/MIN(Вес2.1,Вес2.2,Вес2.3,Вес2.4,Вес2.5)),"")</f>
        <v>10</v>
      </c>
      <c r="AG25" s="10">
        <f>IF(AF25="","не применяется",IF(AC25=0,"не применяется",AF25*AE25/100))</f>
        <v>0.1</v>
      </c>
      <c r="AH25" s="10">
        <f>IF(ISNUMBER(AG25),AG25,"")</f>
        <v>0.1</v>
      </c>
      <c r="AI25" s="10">
        <f>IF(E25=1,Вес2.1/MIN(Вес2.1,Вес2.2,Вес2.3,Вес2.4,Вес2.5),"")</f>
        <v>3</v>
      </c>
      <c r="AJ25" s="10">
        <f>IF(K25=1,Вес2.2/MIN(Вес2.1,Вес2.2,Вес2.3,Вес2.4,Вес2.5),"")</f>
        <v>2</v>
      </c>
      <c r="AK25" s="10">
        <f>IF(Q25=1,Вес2.3/MIN(Вес2.1,Вес2.2,Вес2.3,Вес2.4,Вес2.5),"")</f>
        <v>3</v>
      </c>
      <c r="AL25" s="10">
        <f>IF(W25=1,Вес2.4/MIN(Вес2.1,Вес2.2,Вес2.3,Вес2.4,Вес2.5),"")</f>
        <v>1</v>
      </c>
      <c r="AM25" s="10">
        <f>IF(AC25=1,Вес2.5/MIN(Вес2.1,Вес2.2,Вес2.3,Вес2.4,Вес2.5),"")</f>
        <v>1</v>
      </c>
      <c r="AN25" s="10">
        <f>SUM(AI25:AM25)</f>
        <v>10</v>
      </c>
    </row>
    <row r="26" spans="1:40" ht="38.25" x14ac:dyDescent="0.2">
      <c r="A26" s="1" t="s">
        <v>110</v>
      </c>
      <c r="B26" s="9" t="s">
        <v>28</v>
      </c>
      <c r="C26" s="10">
        <f>IF(D26&lt;&gt;1,"",SUM(J26,P26,V26,AB26,AH26))</f>
        <v>0.875</v>
      </c>
      <c r="D26" s="10">
        <f>IF(SUM(E26,K26,Q26,W26,AC26)=0,0,1)</f>
        <v>1</v>
      </c>
      <c r="E26" s="56">
        <v>1</v>
      </c>
      <c r="F26" s="56">
        <v>104.5894</v>
      </c>
      <c r="G26" s="56">
        <v>1</v>
      </c>
      <c r="H26" s="10">
        <f>IF(E26=1,(MIN(Вес2.1,Вес2.2,Вес2.3,Вес2.4,Вес2.5))*((100/MIN(Вес2.1,Вес2.2,Вес2.3,Вес2.4,Вес2.5))/AN26*Вес2.1/MIN(Вес2.1,Вес2.2,Вес2.3,Вес2.4,Вес2.5)),"")</f>
        <v>37.5</v>
      </c>
      <c r="I26" s="10">
        <f>IF(H26="","не применяется",IF(E26=0,"не применяется",H26*G26/100))</f>
        <v>0.375</v>
      </c>
      <c r="J26" s="10">
        <f>IF(ISNUMBER(I26),I26,"")</f>
        <v>0.375</v>
      </c>
      <c r="K26" s="56">
        <v>0</v>
      </c>
      <c r="L26" s="56">
        <v>0</v>
      </c>
      <c r="M26" s="56">
        <v>0</v>
      </c>
      <c r="N26" s="10" t="str">
        <f>IF(K26=1,(MIN(Вес2.1,Вес2.2,Вес2.3,Вес2.4,Вес2.5))*((100/MIN(Вес2.1,Вес2.2,Вес2.3,Вес2.4,Вес2.5))/AN26*Вес2.2/MIN(Вес2.1,Вес2.2,Вес2.3,Вес2.4,Вес2.5)),"")</f>
        <v/>
      </c>
      <c r="O26" s="10" t="str">
        <f>IF(N26="","не применяется",IF(K26=0,"не применяется",N26*M26/100))</f>
        <v>не применяется</v>
      </c>
      <c r="P26" s="10" t="str">
        <f>IF(ISNUMBER(O26),O26,"")</f>
        <v/>
      </c>
      <c r="Q26" s="56">
        <v>1</v>
      </c>
      <c r="R26" s="56">
        <v>1</v>
      </c>
      <c r="S26" s="56">
        <v>1</v>
      </c>
      <c r="T26" s="10">
        <f>IF(Q26=1,(MIN(Вес2.1,Вес2.2,Вес2.3,Вес2.4,Вес2.5))*((100/MIN(Вес2.1,Вес2.2,Вес2.3,Вес2.4,Вес2.5))/AN26*Вес2.3/MIN(Вес2.1,Вес2.2,Вес2.3,Вес2.4,Вес2.5)),"")</f>
        <v>37.5</v>
      </c>
      <c r="U26" s="10">
        <f>IF(T26="","не применяется",IF(Q26=0,"не применяется",T26*S26/100))</f>
        <v>0.375</v>
      </c>
      <c r="V26" s="10">
        <f>IF(ISNUMBER(U26),U26,"")</f>
        <v>0.375</v>
      </c>
      <c r="W26" s="56">
        <v>1</v>
      </c>
      <c r="X26" s="56">
        <v>332589.49</v>
      </c>
      <c r="Y26" s="56">
        <v>0</v>
      </c>
      <c r="Z26" s="10">
        <f>IF(E26=1,(MIN(Вес2.1,Вес2.2,Вес2.3,Вес2.4,Вес2.5))*((100/MIN(Вес2.1,Вес2.2,Вес2.3,Вес2.4,Вес2.5))/AN26*Вес2.4/MIN(Вес2.1,Вес2.2,Вес2.3,Вес2.4,Вес2.5)),"")</f>
        <v>12.5</v>
      </c>
      <c r="AA26" s="10">
        <f>IF(Z26="","не применяется",IF(W26=0,"не применяется",Z26*Y26/100))</f>
        <v>0</v>
      </c>
      <c r="AB26" s="10">
        <f>IF(ISNUMBER(AA26),AA26,"")</f>
        <v>0</v>
      </c>
      <c r="AC26" s="56">
        <v>1</v>
      </c>
      <c r="AD26" s="56">
        <v>-46.117899999999999</v>
      </c>
      <c r="AE26" s="56">
        <v>1</v>
      </c>
      <c r="AF26" s="10">
        <f>IF(E26=1,(MIN(Вес2.1,Вес2.2,Вес2.3,Вес2.4,Вес2.5))*((100/MIN(Вес2.1,Вес2.2,Вес2.3,Вес2.4,Вес2.5))/AN26*Вес2.5/MIN(Вес2.1,Вес2.2,Вес2.3,Вес2.4,Вес2.5)),"")</f>
        <v>12.5</v>
      </c>
      <c r="AG26" s="10">
        <f>IF(AF26="","не применяется",IF(AC26=0,"не применяется",AF26*AE26/100))</f>
        <v>0.125</v>
      </c>
      <c r="AH26" s="10">
        <f>IF(ISNUMBER(AG26),AG26,"")</f>
        <v>0.125</v>
      </c>
      <c r="AI26" s="10">
        <f>IF(E26=1,Вес2.1/MIN(Вес2.1,Вес2.2,Вес2.3,Вес2.4,Вес2.5),"")</f>
        <v>3</v>
      </c>
      <c r="AJ26" s="10" t="str">
        <f>IF(K26=1,Вес2.2/MIN(Вес2.1,Вес2.2,Вес2.3,Вес2.4,Вес2.5),"")</f>
        <v/>
      </c>
      <c r="AK26" s="10">
        <f>IF(Q26=1,Вес2.3/MIN(Вес2.1,Вес2.2,Вес2.3,Вес2.4,Вес2.5),"")</f>
        <v>3</v>
      </c>
      <c r="AL26" s="10">
        <f>IF(W26=1,Вес2.4/MIN(Вес2.1,Вес2.2,Вес2.3,Вес2.4,Вес2.5),"")</f>
        <v>1</v>
      </c>
      <c r="AM26" s="10">
        <f>IF(AC26=1,Вес2.5/MIN(Вес2.1,Вес2.2,Вес2.3,Вес2.4,Вес2.5),"")</f>
        <v>1</v>
      </c>
      <c r="AN26" s="10">
        <f>SUM(AI26:AM26)</f>
        <v>8</v>
      </c>
    </row>
    <row r="27" spans="1:40" ht="38.25" x14ac:dyDescent="0.2">
      <c r="A27" s="1" t="s">
        <v>121</v>
      </c>
      <c r="B27" s="9" t="s">
        <v>120</v>
      </c>
      <c r="C27" s="10">
        <f>IF(D27&lt;&gt;1,"",SUM(J27,P27,V27,AB27,AH27))</f>
        <v>0.84999999999999987</v>
      </c>
      <c r="D27" s="10">
        <f>IF(SUM(E27,K27,Q27,W27,AC27)=0,0,1)</f>
        <v>1</v>
      </c>
      <c r="E27" s="56">
        <v>1</v>
      </c>
      <c r="F27" s="56">
        <v>271.4622</v>
      </c>
      <c r="G27" s="56">
        <v>0.5</v>
      </c>
      <c r="H27" s="10">
        <f>IF(E27=1,(MIN(Вес2.1,Вес2.2,Вес2.3,Вес2.4,Вес2.5))*((100/MIN(Вес2.1,Вес2.2,Вес2.3,Вес2.4,Вес2.5))/AN27*Вес2.1/MIN(Вес2.1,Вес2.2,Вес2.3,Вес2.4,Вес2.5)),"")</f>
        <v>30</v>
      </c>
      <c r="I27" s="10">
        <f>IF(H27="","не применяется",IF(E27=0,"не применяется",H27*G27/100))</f>
        <v>0.15</v>
      </c>
      <c r="J27" s="10">
        <f>IF(ISNUMBER(I27),I27,"")</f>
        <v>0.15</v>
      </c>
      <c r="K27" s="56">
        <v>1</v>
      </c>
      <c r="L27" s="56">
        <v>0</v>
      </c>
      <c r="M27" s="56">
        <v>1</v>
      </c>
      <c r="N27" s="10">
        <f>IF(K27=1,(MIN(Вес2.1,Вес2.2,Вес2.3,Вес2.4,Вес2.5))*((100/MIN(Вес2.1,Вес2.2,Вес2.3,Вес2.4,Вес2.5))/AN27*Вес2.2/MIN(Вес2.1,Вес2.2,Вес2.3,Вес2.4,Вес2.5)),"")</f>
        <v>20</v>
      </c>
      <c r="O27" s="10">
        <f>IF(N27="","не применяется",IF(K27=0,"не применяется",N27*M27/100))</f>
        <v>0.2</v>
      </c>
      <c r="P27" s="10">
        <f>IF(ISNUMBER(O27),O27,"")</f>
        <v>0.2</v>
      </c>
      <c r="Q27" s="56">
        <v>1</v>
      </c>
      <c r="R27" s="56">
        <v>1</v>
      </c>
      <c r="S27" s="56">
        <v>1</v>
      </c>
      <c r="T27" s="10">
        <f>IF(Q27=1,(MIN(Вес2.1,Вес2.2,Вес2.3,Вес2.4,Вес2.5))*((100/MIN(Вес2.1,Вес2.2,Вес2.3,Вес2.4,Вес2.5))/AN27*Вес2.3/MIN(Вес2.1,Вес2.2,Вес2.3,Вес2.4,Вес2.5)),"")</f>
        <v>30</v>
      </c>
      <c r="U27" s="10">
        <f>IF(T27="","не применяется",IF(Q27=0,"не применяется",T27*S27/100))</f>
        <v>0.3</v>
      </c>
      <c r="V27" s="10">
        <f>IF(ISNUMBER(U27),U27,"")</f>
        <v>0.3</v>
      </c>
      <c r="W27" s="56">
        <v>1</v>
      </c>
      <c r="X27" s="56">
        <v>0</v>
      </c>
      <c r="Y27" s="56">
        <v>1</v>
      </c>
      <c r="Z27" s="10">
        <f>IF(E27=1,(MIN(Вес2.1,Вес2.2,Вес2.3,Вес2.4,Вес2.5))*((100/MIN(Вес2.1,Вес2.2,Вес2.3,Вес2.4,Вес2.5))/AN27*Вес2.4/MIN(Вес2.1,Вес2.2,Вес2.3,Вес2.4,Вес2.5)),"")</f>
        <v>10</v>
      </c>
      <c r="AA27" s="10">
        <f>IF(Z27="","не применяется",IF(W27=0,"не применяется",Z27*Y27/100))</f>
        <v>0.1</v>
      </c>
      <c r="AB27" s="10">
        <f>IF(ISNUMBER(AA27),AA27,"")</f>
        <v>0.1</v>
      </c>
      <c r="AC27" s="56">
        <v>1</v>
      </c>
      <c r="AD27" s="56">
        <v>-1</v>
      </c>
      <c r="AE27" s="56">
        <v>1</v>
      </c>
      <c r="AF27" s="10">
        <f>IF(E27=1,(MIN(Вес2.1,Вес2.2,Вес2.3,Вес2.4,Вес2.5))*((100/MIN(Вес2.1,Вес2.2,Вес2.3,Вес2.4,Вес2.5))/AN27*Вес2.5/MIN(Вес2.1,Вес2.2,Вес2.3,Вес2.4,Вес2.5)),"")</f>
        <v>10</v>
      </c>
      <c r="AG27" s="10">
        <f>IF(AF27="","не применяется",IF(AC27=0,"не применяется",AF27*AE27/100))</f>
        <v>0.1</v>
      </c>
      <c r="AH27" s="10">
        <f>IF(ISNUMBER(AG27),AG27,"")</f>
        <v>0.1</v>
      </c>
      <c r="AI27" s="10">
        <f>IF(E27=1,Вес2.1/MIN(Вес2.1,Вес2.2,Вес2.3,Вес2.4,Вес2.5),"")</f>
        <v>3</v>
      </c>
      <c r="AJ27" s="10">
        <f>IF(K27=1,Вес2.2/MIN(Вес2.1,Вес2.2,Вес2.3,Вес2.4,Вес2.5),"")</f>
        <v>2</v>
      </c>
      <c r="AK27" s="10">
        <f>IF(Q27=1,Вес2.3/MIN(Вес2.1,Вес2.2,Вес2.3,Вес2.4,Вес2.5),"")</f>
        <v>3</v>
      </c>
      <c r="AL27" s="10">
        <f>IF(W27=1,Вес2.4/MIN(Вес2.1,Вес2.2,Вес2.3,Вес2.4,Вес2.5),"")</f>
        <v>1</v>
      </c>
      <c r="AM27" s="10">
        <f>IF(AC27=1,Вес2.5/MIN(Вес2.1,Вес2.2,Вес2.3,Вес2.4,Вес2.5),"")</f>
        <v>1</v>
      </c>
      <c r="AN27" s="10">
        <f>SUM(AI27:AM27)</f>
        <v>10</v>
      </c>
    </row>
    <row r="28" spans="1:40" ht="25.5" x14ac:dyDescent="0.2">
      <c r="A28" s="1" t="s">
        <v>111</v>
      </c>
      <c r="B28" s="9" t="s">
        <v>29</v>
      </c>
      <c r="C28" s="10">
        <f>IF(D28&lt;&gt;1,"",SUM(J28,P28,V28,AB28,AH28))</f>
        <v>0.5625</v>
      </c>
      <c r="D28" s="10">
        <f>IF(SUM(E28,K28,Q28,W28,AC28)=0,0,1)</f>
        <v>1</v>
      </c>
      <c r="E28" s="56">
        <v>1</v>
      </c>
      <c r="F28" s="56">
        <v>304.46980000000002</v>
      </c>
      <c r="G28" s="56">
        <v>0.5</v>
      </c>
      <c r="H28" s="10">
        <f>IF(E28=1,(MIN(Вес2.1,Вес2.2,Вес2.3,Вес2.4,Вес2.5))*((100/MIN(Вес2.1,Вес2.2,Вес2.3,Вес2.4,Вес2.5))/AN28*Вес2.1/MIN(Вес2.1,Вес2.2,Вес2.3,Вес2.4,Вес2.5)),"")</f>
        <v>37.5</v>
      </c>
      <c r="I28" s="10">
        <f>IF(H28="","не применяется",IF(E28=0,"не применяется",H28*G28/100))</f>
        <v>0.1875</v>
      </c>
      <c r="J28" s="10">
        <f>IF(ISNUMBER(I28),I28,"")</f>
        <v>0.1875</v>
      </c>
      <c r="K28" s="56">
        <v>0</v>
      </c>
      <c r="L28" s="56">
        <v>0</v>
      </c>
      <c r="M28" s="56">
        <v>0</v>
      </c>
      <c r="N28" s="10" t="str">
        <f>IF(K28=1,(MIN(Вес2.1,Вес2.2,Вес2.3,Вес2.4,Вес2.5))*((100/MIN(Вес2.1,Вес2.2,Вес2.3,Вес2.4,Вес2.5))/AN28*Вес2.2/MIN(Вес2.1,Вес2.2,Вес2.3,Вес2.4,Вес2.5)),"")</f>
        <v/>
      </c>
      <c r="O28" s="10" t="str">
        <f>IF(N28="","не применяется",IF(K28=0,"не применяется",N28*M28/100))</f>
        <v>не применяется</v>
      </c>
      <c r="P28" s="10" t="str">
        <f>IF(ISNUMBER(O28),O28,"")</f>
        <v/>
      </c>
      <c r="Q28" s="56">
        <v>1</v>
      </c>
      <c r="R28" s="56">
        <v>1</v>
      </c>
      <c r="S28" s="56">
        <v>1</v>
      </c>
      <c r="T28" s="10">
        <f>IF(Q28=1,(MIN(Вес2.1,Вес2.2,Вес2.3,Вес2.4,Вес2.5))*((100/MIN(Вес2.1,Вес2.2,Вес2.3,Вес2.4,Вес2.5))/AN28*Вес2.3/MIN(Вес2.1,Вес2.2,Вес2.3,Вес2.4,Вес2.5)),"")</f>
        <v>37.5</v>
      </c>
      <c r="U28" s="10">
        <f>IF(T28="","не применяется",IF(Q28=0,"не применяется",T28*S28/100))</f>
        <v>0.375</v>
      </c>
      <c r="V28" s="10">
        <f>IF(ISNUMBER(U28),U28,"")</f>
        <v>0.375</v>
      </c>
      <c r="W28" s="56">
        <v>1</v>
      </c>
      <c r="X28" s="56">
        <v>4000</v>
      </c>
      <c r="Y28" s="56">
        <v>0</v>
      </c>
      <c r="Z28" s="10">
        <f>IF(E28=1,(MIN(Вес2.1,Вес2.2,Вес2.3,Вес2.4,Вес2.5))*((100/MIN(Вес2.1,Вес2.2,Вес2.3,Вес2.4,Вес2.5))/AN28*Вес2.4/MIN(Вес2.1,Вес2.2,Вес2.3,Вес2.4,Вес2.5)),"")</f>
        <v>12.5</v>
      </c>
      <c r="AA28" s="10">
        <f>IF(Z28="","не применяется",IF(W28=0,"не применяется",Z28*Y28/100))</f>
        <v>0</v>
      </c>
      <c r="AB28" s="10">
        <f>IF(ISNUMBER(AA28),AA28,"")</f>
        <v>0</v>
      </c>
      <c r="AC28" s="56">
        <v>1</v>
      </c>
      <c r="AD28" s="56">
        <v>0</v>
      </c>
      <c r="AE28" s="56">
        <v>0</v>
      </c>
      <c r="AF28" s="10">
        <f>IF(E28=1,(MIN(Вес2.1,Вес2.2,Вес2.3,Вес2.4,Вес2.5))*((100/MIN(Вес2.1,Вес2.2,Вес2.3,Вес2.4,Вес2.5))/AN28*Вес2.5/MIN(Вес2.1,Вес2.2,Вес2.3,Вес2.4,Вес2.5)),"")</f>
        <v>12.5</v>
      </c>
      <c r="AG28" s="10">
        <f>IF(AF28="","не применяется",IF(AC28=0,"не применяется",AF28*AE28/100))</f>
        <v>0</v>
      </c>
      <c r="AH28" s="10">
        <f>IF(ISNUMBER(AG28),AG28,"")</f>
        <v>0</v>
      </c>
      <c r="AI28" s="10">
        <f>IF(E28=1,Вес2.1/MIN(Вес2.1,Вес2.2,Вес2.3,Вес2.4,Вес2.5),"")</f>
        <v>3</v>
      </c>
      <c r="AJ28" s="10" t="str">
        <f>IF(K28=1,Вес2.2/MIN(Вес2.1,Вес2.2,Вес2.3,Вес2.4,Вес2.5),"")</f>
        <v/>
      </c>
      <c r="AK28" s="10">
        <f>IF(Q28=1,Вес2.3/MIN(Вес2.1,Вес2.2,Вес2.3,Вес2.4,Вес2.5),"")</f>
        <v>3</v>
      </c>
      <c r="AL28" s="10">
        <f>IF(W28=1,Вес2.4/MIN(Вес2.1,Вес2.2,Вес2.3,Вес2.4,Вес2.5),"")</f>
        <v>1</v>
      </c>
      <c r="AM28" s="10">
        <f>IF(AC28=1,Вес2.5/MIN(Вес2.1,Вес2.2,Вес2.3,Вес2.4,Вес2.5),"")</f>
        <v>1</v>
      </c>
      <c r="AN28" s="10">
        <f>SUM(AI28:AM28)</f>
        <v>8</v>
      </c>
    </row>
    <row r="29" spans="1:40" ht="25.5" x14ac:dyDescent="0.2">
      <c r="A29" s="1" t="s">
        <v>112</v>
      </c>
      <c r="B29" s="9" t="s">
        <v>30</v>
      </c>
      <c r="C29" s="10">
        <f>IF(D29&lt;&gt;1,"",SUM(J29,P29,V29,AB29,AH29))</f>
        <v>0.8125</v>
      </c>
      <c r="D29" s="10">
        <f>IF(SUM(E29,K29,Q29,W29,AC29)=0,0,1)</f>
        <v>1</v>
      </c>
      <c r="E29" s="56">
        <v>1</v>
      </c>
      <c r="F29" s="56">
        <v>105.6648</v>
      </c>
      <c r="G29" s="56">
        <v>0.5</v>
      </c>
      <c r="H29" s="10">
        <f>IF(E29=1,(MIN(Вес2.1,Вес2.2,Вес2.3,Вес2.4,Вес2.5))*((100/MIN(Вес2.1,Вес2.2,Вес2.3,Вес2.4,Вес2.5))/AN29*Вес2.1/MIN(Вес2.1,Вес2.2,Вес2.3,Вес2.4,Вес2.5)),"")</f>
        <v>37.5</v>
      </c>
      <c r="I29" s="10">
        <f>IF(H29="","не применяется",IF(E29=0,"не применяется",H29*G29/100))</f>
        <v>0.1875</v>
      </c>
      <c r="J29" s="10">
        <f>IF(ISNUMBER(I29),I29,"")</f>
        <v>0.1875</v>
      </c>
      <c r="K29" s="56">
        <v>0</v>
      </c>
      <c r="L29" s="56">
        <v>0</v>
      </c>
      <c r="M29" s="56">
        <v>0</v>
      </c>
      <c r="N29" s="10" t="str">
        <f>IF(K29=1,(MIN(Вес2.1,Вес2.2,Вес2.3,Вес2.4,Вес2.5))*((100/MIN(Вес2.1,Вес2.2,Вес2.3,Вес2.4,Вес2.5))/AN29*Вес2.2/MIN(Вес2.1,Вес2.2,Вес2.3,Вес2.4,Вес2.5)),"")</f>
        <v/>
      </c>
      <c r="O29" s="10" t="str">
        <f>IF(N29="","не применяется",IF(K29=0,"не применяется",N29*M29/100))</f>
        <v>не применяется</v>
      </c>
      <c r="P29" s="10" t="str">
        <f>IF(ISNUMBER(O29),O29,"")</f>
        <v/>
      </c>
      <c r="Q29" s="56">
        <v>1</v>
      </c>
      <c r="R29" s="56">
        <v>1</v>
      </c>
      <c r="S29" s="56">
        <v>1</v>
      </c>
      <c r="T29" s="10">
        <f>IF(Q29=1,(MIN(Вес2.1,Вес2.2,Вес2.3,Вес2.4,Вес2.5))*((100/MIN(Вес2.1,Вес2.2,Вес2.3,Вес2.4,Вес2.5))/AN29*Вес2.3/MIN(Вес2.1,Вес2.2,Вес2.3,Вес2.4,Вес2.5)),"")</f>
        <v>37.5</v>
      </c>
      <c r="U29" s="10">
        <f>IF(T29="","не применяется",IF(Q29=0,"не применяется",T29*S29/100))</f>
        <v>0.375</v>
      </c>
      <c r="V29" s="10">
        <f>IF(ISNUMBER(U29),U29,"")</f>
        <v>0.375</v>
      </c>
      <c r="W29" s="56">
        <v>1</v>
      </c>
      <c r="X29" s="56">
        <v>0</v>
      </c>
      <c r="Y29" s="56">
        <v>1</v>
      </c>
      <c r="Z29" s="10">
        <f>IF(E29=1,(MIN(Вес2.1,Вес2.2,Вес2.3,Вес2.4,Вес2.5))*((100/MIN(Вес2.1,Вес2.2,Вес2.3,Вес2.4,Вес2.5))/AN29*Вес2.4/MIN(Вес2.1,Вес2.2,Вес2.3,Вес2.4,Вес2.5)),"")</f>
        <v>12.5</v>
      </c>
      <c r="AA29" s="10">
        <f>IF(Z29="","не применяется",IF(W29=0,"не применяется",Z29*Y29/100))</f>
        <v>0.125</v>
      </c>
      <c r="AB29" s="10">
        <f>IF(ISNUMBER(AA29),AA29,"")</f>
        <v>0.125</v>
      </c>
      <c r="AC29" s="56">
        <v>1</v>
      </c>
      <c r="AD29" s="56">
        <v>-1</v>
      </c>
      <c r="AE29" s="56">
        <v>1</v>
      </c>
      <c r="AF29" s="10">
        <f>IF(E29=1,(MIN(Вес2.1,Вес2.2,Вес2.3,Вес2.4,Вес2.5))*((100/MIN(Вес2.1,Вес2.2,Вес2.3,Вес2.4,Вес2.5))/AN29*Вес2.5/MIN(Вес2.1,Вес2.2,Вес2.3,Вес2.4,Вес2.5)),"")</f>
        <v>12.5</v>
      </c>
      <c r="AG29" s="10">
        <f>IF(AF29="","не применяется",IF(AC29=0,"не применяется",AF29*AE29/100))</f>
        <v>0.125</v>
      </c>
      <c r="AH29" s="10">
        <f>IF(ISNUMBER(AG29),AG29,"")</f>
        <v>0.125</v>
      </c>
      <c r="AI29" s="10">
        <f>IF(E29=1,Вес2.1/MIN(Вес2.1,Вес2.2,Вес2.3,Вес2.4,Вес2.5),"")</f>
        <v>3</v>
      </c>
      <c r="AJ29" s="10" t="str">
        <f>IF(K29=1,Вес2.2/MIN(Вес2.1,Вес2.2,Вес2.3,Вес2.4,Вес2.5),"")</f>
        <v/>
      </c>
      <c r="AK29" s="10">
        <f>IF(Q29=1,Вес2.3/MIN(Вес2.1,Вес2.2,Вес2.3,Вес2.4,Вес2.5),"")</f>
        <v>3</v>
      </c>
      <c r="AL29" s="10">
        <f>IF(W29=1,Вес2.4/MIN(Вес2.1,Вес2.2,Вес2.3,Вес2.4,Вес2.5),"")</f>
        <v>1</v>
      </c>
      <c r="AM29" s="10">
        <f>IF(AC29=1,Вес2.5/MIN(Вес2.1,Вес2.2,Вес2.3,Вес2.4,Вес2.5),"")</f>
        <v>1</v>
      </c>
      <c r="AN29" s="10">
        <f>SUM(AI29:AM29)</f>
        <v>8</v>
      </c>
    </row>
    <row r="30" spans="1:40" ht="25.5" x14ac:dyDescent="0.2">
      <c r="A30" s="1" t="s">
        <v>113</v>
      </c>
      <c r="B30" s="9" t="s">
        <v>31</v>
      </c>
      <c r="C30" s="10">
        <f>IF(D30&lt;&gt;1,"",SUM(J30,P30,V30,AB30,AH30))</f>
        <v>0.5625</v>
      </c>
      <c r="D30" s="10">
        <f>IF(SUM(E30,K30,Q30,W30,AC30)=0,0,1)</f>
        <v>1</v>
      </c>
      <c r="E30" s="56">
        <v>1</v>
      </c>
      <c r="F30" s="56">
        <v>129.97190000000001</v>
      </c>
      <c r="G30" s="56">
        <v>0.5</v>
      </c>
      <c r="H30" s="10">
        <f>IF(E30=1,(MIN(Вес2.1,Вес2.2,Вес2.3,Вес2.4,Вес2.5))*((100/MIN(Вес2.1,Вес2.2,Вес2.3,Вес2.4,Вес2.5))/AN30*Вес2.1/MIN(Вес2.1,Вес2.2,Вес2.3,Вес2.4,Вес2.5)),"")</f>
        <v>37.5</v>
      </c>
      <c r="I30" s="10">
        <f>IF(H30="","не применяется",IF(E30=0,"не применяется",H30*G30/100))</f>
        <v>0.1875</v>
      </c>
      <c r="J30" s="10">
        <f>IF(ISNUMBER(I30),I30,"")</f>
        <v>0.1875</v>
      </c>
      <c r="K30" s="56">
        <v>0</v>
      </c>
      <c r="L30" s="56">
        <v>0</v>
      </c>
      <c r="M30" s="56">
        <v>0</v>
      </c>
      <c r="N30" s="10" t="str">
        <f>IF(K30=1,(MIN(Вес2.1,Вес2.2,Вес2.3,Вес2.4,Вес2.5))*((100/MIN(Вес2.1,Вес2.2,Вес2.3,Вес2.4,Вес2.5))/AN30*Вес2.2/MIN(Вес2.1,Вес2.2,Вес2.3,Вес2.4,Вес2.5)),"")</f>
        <v/>
      </c>
      <c r="O30" s="10" t="str">
        <f>IF(N30="","не применяется",IF(K30=0,"не применяется",N30*M30/100))</f>
        <v>не применяется</v>
      </c>
      <c r="P30" s="10" t="str">
        <f>IF(ISNUMBER(O30),O30,"")</f>
        <v/>
      </c>
      <c r="Q30" s="56">
        <v>1</v>
      </c>
      <c r="R30" s="56">
        <v>1</v>
      </c>
      <c r="S30" s="56">
        <v>1</v>
      </c>
      <c r="T30" s="10">
        <f>IF(Q30=1,(MIN(Вес2.1,Вес2.2,Вес2.3,Вес2.4,Вес2.5))*((100/MIN(Вес2.1,Вес2.2,Вес2.3,Вес2.4,Вес2.5))/AN30*Вес2.3/MIN(Вес2.1,Вес2.2,Вес2.3,Вес2.4,Вес2.5)),"")</f>
        <v>37.5</v>
      </c>
      <c r="U30" s="10">
        <f>IF(T30="","не применяется",IF(Q30=0,"не применяется",T30*S30/100))</f>
        <v>0.375</v>
      </c>
      <c r="V30" s="10">
        <f>IF(ISNUMBER(U30),U30,"")</f>
        <v>0.375</v>
      </c>
      <c r="W30" s="56">
        <v>1</v>
      </c>
      <c r="X30" s="56">
        <v>29542257.100000001</v>
      </c>
      <c r="Y30" s="56">
        <v>0</v>
      </c>
      <c r="Z30" s="10">
        <f>IF(E30=1,(MIN(Вес2.1,Вес2.2,Вес2.3,Вес2.4,Вес2.5))*((100/MIN(Вес2.1,Вес2.2,Вес2.3,Вес2.4,Вес2.5))/AN30*Вес2.4/MIN(Вес2.1,Вес2.2,Вес2.3,Вес2.4,Вес2.5)),"")</f>
        <v>12.5</v>
      </c>
      <c r="AA30" s="10">
        <f>IF(Z30="","не применяется",IF(W30=0,"не применяется",Z30*Y30/100))</f>
        <v>0</v>
      </c>
      <c r="AB30" s="10">
        <f>IF(ISNUMBER(AA30),AA30,"")</f>
        <v>0</v>
      </c>
      <c r="AC30" s="56">
        <v>1</v>
      </c>
      <c r="AD30" s="56">
        <v>0</v>
      </c>
      <c r="AE30" s="56">
        <v>0</v>
      </c>
      <c r="AF30" s="10">
        <f>IF(E30=1,(MIN(Вес2.1,Вес2.2,Вес2.3,Вес2.4,Вес2.5))*((100/MIN(Вес2.1,Вес2.2,Вес2.3,Вес2.4,Вес2.5))/AN30*Вес2.5/MIN(Вес2.1,Вес2.2,Вес2.3,Вес2.4,Вес2.5)),"")</f>
        <v>12.5</v>
      </c>
      <c r="AG30" s="10">
        <f>IF(AF30="","не применяется",IF(AC30=0,"не применяется",AF30*AE30/100))</f>
        <v>0</v>
      </c>
      <c r="AH30" s="10">
        <f>IF(ISNUMBER(AG30),AG30,"")</f>
        <v>0</v>
      </c>
      <c r="AI30" s="10">
        <f>IF(E30=1,Вес2.1/MIN(Вес2.1,Вес2.2,Вес2.3,Вес2.4,Вес2.5),"")</f>
        <v>3</v>
      </c>
      <c r="AJ30" s="10" t="str">
        <f>IF(K30=1,Вес2.2/MIN(Вес2.1,Вес2.2,Вес2.3,Вес2.4,Вес2.5),"")</f>
        <v/>
      </c>
      <c r="AK30" s="10">
        <f>IF(Q30=1,Вес2.3/MIN(Вес2.1,Вес2.2,Вес2.3,Вес2.4,Вес2.5),"")</f>
        <v>3</v>
      </c>
      <c r="AL30" s="10">
        <f>IF(W30=1,Вес2.4/MIN(Вес2.1,Вес2.2,Вес2.3,Вес2.4,Вес2.5),"")</f>
        <v>1</v>
      </c>
      <c r="AM30" s="10">
        <f>IF(AC30=1,Вес2.5/MIN(Вес2.1,Вес2.2,Вес2.3,Вес2.4,Вес2.5),"")</f>
        <v>1</v>
      </c>
      <c r="AN30" s="10">
        <f>SUM(AI30:AM30)</f>
        <v>8</v>
      </c>
    </row>
    <row r="31" spans="1:40" ht="25.5" x14ac:dyDescent="0.2">
      <c r="A31" s="1" t="s">
        <v>114</v>
      </c>
      <c r="B31" s="9" t="s">
        <v>32</v>
      </c>
      <c r="C31" s="10">
        <f>IF(D31&lt;&gt;1,"",SUM(J31,P31,V31,AB31,AH31))</f>
        <v>0.6875</v>
      </c>
      <c r="D31" s="10">
        <f>IF(SUM(E31,K31,Q31,W31,AC31)=0,0,1)</f>
        <v>1</v>
      </c>
      <c r="E31" s="56">
        <v>1</v>
      </c>
      <c r="F31" s="56">
        <v>110.5192</v>
      </c>
      <c r="G31" s="56">
        <v>0.5</v>
      </c>
      <c r="H31" s="10">
        <f>IF(E31=1,(MIN(Вес2.1,Вес2.2,Вес2.3,Вес2.4,Вес2.5))*((100/MIN(Вес2.1,Вес2.2,Вес2.3,Вес2.4,Вес2.5))/AN31*Вес2.1/MIN(Вес2.1,Вес2.2,Вес2.3,Вес2.4,Вес2.5)),"")</f>
        <v>37.5</v>
      </c>
      <c r="I31" s="10">
        <f>IF(H31="","не применяется",IF(E31=0,"не применяется",H31*G31/100))</f>
        <v>0.1875</v>
      </c>
      <c r="J31" s="10">
        <f>IF(ISNUMBER(I31),I31,"")</f>
        <v>0.1875</v>
      </c>
      <c r="K31" s="56">
        <v>0</v>
      </c>
      <c r="L31" s="56">
        <v>0</v>
      </c>
      <c r="M31" s="56">
        <v>0</v>
      </c>
      <c r="N31" s="10" t="str">
        <f>IF(K31=1,(MIN(Вес2.1,Вес2.2,Вес2.3,Вес2.4,Вес2.5))*((100/MIN(Вес2.1,Вес2.2,Вес2.3,Вес2.4,Вес2.5))/AN31*Вес2.2/MIN(Вес2.1,Вес2.2,Вес2.3,Вес2.4,Вес2.5)),"")</f>
        <v/>
      </c>
      <c r="O31" s="10" t="str">
        <f>IF(N31="","не применяется",IF(K31=0,"не применяется",N31*M31/100))</f>
        <v>не применяется</v>
      </c>
      <c r="P31" s="10" t="str">
        <f>IF(ISNUMBER(O31),O31,"")</f>
        <v/>
      </c>
      <c r="Q31" s="56">
        <v>1</v>
      </c>
      <c r="R31" s="56">
        <v>1</v>
      </c>
      <c r="S31" s="56">
        <v>1</v>
      </c>
      <c r="T31" s="10">
        <f>IF(Q31=1,(MIN(Вес2.1,Вес2.2,Вес2.3,Вес2.4,Вес2.5))*((100/MIN(Вес2.1,Вес2.2,Вес2.3,Вес2.4,Вес2.5))/AN31*Вес2.3/MIN(Вес2.1,Вес2.2,Вес2.3,Вес2.4,Вес2.5)),"")</f>
        <v>37.5</v>
      </c>
      <c r="U31" s="10">
        <f>IF(T31="","не применяется",IF(Q31=0,"не применяется",T31*S31/100))</f>
        <v>0.375</v>
      </c>
      <c r="V31" s="10">
        <f>IF(ISNUMBER(U31),U31,"")</f>
        <v>0.375</v>
      </c>
      <c r="W31" s="56">
        <v>1</v>
      </c>
      <c r="X31" s="56">
        <v>5422726.3600000003</v>
      </c>
      <c r="Y31" s="56">
        <v>0</v>
      </c>
      <c r="Z31" s="10">
        <f>IF(E31=1,(MIN(Вес2.1,Вес2.2,Вес2.3,Вес2.4,Вес2.5))*((100/MIN(Вес2.1,Вес2.2,Вес2.3,Вес2.4,Вес2.5))/AN31*Вес2.4/MIN(Вес2.1,Вес2.2,Вес2.3,Вес2.4,Вес2.5)),"")</f>
        <v>12.5</v>
      </c>
      <c r="AA31" s="10">
        <f>IF(Z31="","не применяется",IF(W31=0,"не применяется",Z31*Y31/100))</f>
        <v>0</v>
      </c>
      <c r="AB31" s="10">
        <f>IF(ISNUMBER(AA31),AA31,"")</f>
        <v>0</v>
      </c>
      <c r="AC31" s="56">
        <v>1</v>
      </c>
      <c r="AD31" s="56">
        <v>-49.907200000000003</v>
      </c>
      <c r="AE31" s="56">
        <v>1</v>
      </c>
      <c r="AF31" s="10">
        <f>IF(E31=1,(MIN(Вес2.1,Вес2.2,Вес2.3,Вес2.4,Вес2.5))*((100/MIN(Вес2.1,Вес2.2,Вес2.3,Вес2.4,Вес2.5))/AN31*Вес2.5/MIN(Вес2.1,Вес2.2,Вес2.3,Вес2.4,Вес2.5)),"")</f>
        <v>12.5</v>
      </c>
      <c r="AG31" s="10">
        <f>IF(AF31="","не применяется",IF(AC31=0,"не применяется",AF31*AE31/100))</f>
        <v>0.125</v>
      </c>
      <c r="AH31" s="10">
        <f>IF(ISNUMBER(AG31),AG31,"")</f>
        <v>0.125</v>
      </c>
      <c r="AI31" s="10">
        <f>IF(E31=1,Вес2.1/MIN(Вес2.1,Вес2.2,Вес2.3,Вес2.4,Вес2.5),"")</f>
        <v>3</v>
      </c>
      <c r="AJ31" s="10" t="str">
        <f>IF(K31=1,Вес2.2/MIN(Вес2.1,Вес2.2,Вес2.3,Вес2.4,Вес2.5),"")</f>
        <v/>
      </c>
      <c r="AK31" s="10">
        <f>IF(Q31=1,Вес2.3/MIN(Вес2.1,Вес2.2,Вес2.3,Вес2.4,Вес2.5),"")</f>
        <v>3</v>
      </c>
      <c r="AL31" s="10">
        <f>IF(W31=1,Вес2.4/MIN(Вес2.1,Вес2.2,Вес2.3,Вес2.4,Вес2.5),"")</f>
        <v>1</v>
      </c>
      <c r="AM31" s="10">
        <f>IF(AC31=1,Вес2.5/MIN(Вес2.1,Вес2.2,Вес2.3,Вес2.4,Вес2.5),"")</f>
        <v>1</v>
      </c>
      <c r="AN31" s="10">
        <f>SUM(AI31:AM31)</f>
        <v>8</v>
      </c>
    </row>
    <row r="32" spans="1:40" ht="38.25" x14ac:dyDescent="0.2">
      <c r="A32" s="1" t="s">
        <v>115</v>
      </c>
      <c r="B32" s="9" t="s">
        <v>33</v>
      </c>
      <c r="C32" s="10">
        <f>IF(D32&lt;&gt;1,"",SUM(J32,P32,V32,AB32,AH32))</f>
        <v>1</v>
      </c>
      <c r="D32" s="10">
        <f>IF(SUM(E32,K32,Q32,W32,AC32)=0,0,1)</f>
        <v>1</v>
      </c>
      <c r="E32" s="56">
        <v>1</v>
      </c>
      <c r="F32" s="56">
        <v>0</v>
      </c>
      <c r="G32" s="56">
        <v>1</v>
      </c>
      <c r="H32" s="10">
        <f>IF(E32=1,(MIN(Вес2.1,Вес2.2,Вес2.3,Вес2.4,Вес2.5))*((100/MIN(Вес2.1,Вес2.2,Вес2.3,Вес2.4,Вес2.5))/AN32*Вес2.1/MIN(Вес2.1,Вес2.2,Вес2.3,Вес2.4,Вес2.5)),"")</f>
        <v>37.5</v>
      </c>
      <c r="I32" s="10">
        <f>IF(H32="","не применяется",IF(E32=0,"не применяется",H32*G32/100))</f>
        <v>0.375</v>
      </c>
      <c r="J32" s="10">
        <f>IF(ISNUMBER(I32),I32,"")</f>
        <v>0.375</v>
      </c>
      <c r="K32" s="56">
        <v>0</v>
      </c>
      <c r="L32" s="56">
        <v>0</v>
      </c>
      <c r="M32" s="56">
        <v>0</v>
      </c>
      <c r="N32" s="10" t="str">
        <f>IF(K32=1,(MIN(Вес2.1,Вес2.2,Вес2.3,Вес2.4,Вес2.5))*((100/MIN(Вес2.1,Вес2.2,Вес2.3,Вес2.4,Вес2.5))/AN32*Вес2.2/MIN(Вес2.1,Вес2.2,Вес2.3,Вес2.4,Вес2.5)),"")</f>
        <v/>
      </c>
      <c r="O32" s="10" t="str">
        <f>IF(N32="","не применяется",IF(K32=0,"не применяется",N32*M32/100))</f>
        <v>не применяется</v>
      </c>
      <c r="P32" s="10" t="str">
        <f>IF(ISNUMBER(O32),O32,"")</f>
        <v/>
      </c>
      <c r="Q32" s="56">
        <v>1</v>
      </c>
      <c r="R32" s="56">
        <v>1</v>
      </c>
      <c r="S32" s="56">
        <v>1</v>
      </c>
      <c r="T32" s="10">
        <f>IF(Q32=1,(MIN(Вес2.1,Вес2.2,Вес2.3,Вес2.4,Вес2.5))*((100/MIN(Вес2.1,Вес2.2,Вес2.3,Вес2.4,Вес2.5))/AN32*Вес2.3/MIN(Вес2.1,Вес2.2,Вес2.3,Вес2.4,Вес2.5)),"")</f>
        <v>37.5</v>
      </c>
      <c r="U32" s="10">
        <f>IF(T32="","не применяется",IF(Q32=0,"не применяется",T32*S32/100))</f>
        <v>0.375</v>
      </c>
      <c r="V32" s="10">
        <f>IF(ISNUMBER(U32),U32,"")</f>
        <v>0.375</v>
      </c>
      <c r="W32" s="56">
        <v>1</v>
      </c>
      <c r="X32" s="56">
        <v>0</v>
      </c>
      <c r="Y32" s="56">
        <v>1</v>
      </c>
      <c r="Z32" s="10">
        <f>IF(E32=1,(MIN(Вес2.1,Вес2.2,Вес2.3,Вес2.4,Вес2.5))*((100/MIN(Вес2.1,Вес2.2,Вес2.3,Вес2.4,Вес2.5))/AN32*Вес2.4/MIN(Вес2.1,Вес2.2,Вес2.3,Вес2.4,Вес2.5)),"")</f>
        <v>12.5</v>
      </c>
      <c r="AA32" s="10">
        <f>IF(Z32="","не применяется",IF(W32=0,"не применяется",Z32*Y32/100))</f>
        <v>0.125</v>
      </c>
      <c r="AB32" s="10">
        <f>IF(ISNUMBER(AA32),AA32,"")</f>
        <v>0.125</v>
      </c>
      <c r="AC32" s="56">
        <v>1</v>
      </c>
      <c r="AD32" s="56">
        <v>-1</v>
      </c>
      <c r="AE32" s="56">
        <v>1</v>
      </c>
      <c r="AF32" s="10">
        <f>IF(E32=1,(MIN(Вес2.1,Вес2.2,Вес2.3,Вес2.4,Вес2.5))*((100/MIN(Вес2.1,Вес2.2,Вес2.3,Вес2.4,Вес2.5))/AN32*Вес2.5/MIN(Вес2.1,Вес2.2,Вес2.3,Вес2.4,Вес2.5)),"")</f>
        <v>12.5</v>
      </c>
      <c r="AG32" s="10">
        <f>IF(AF32="","не применяется",IF(AC32=0,"не применяется",AF32*AE32/100))</f>
        <v>0.125</v>
      </c>
      <c r="AH32" s="10">
        <f>IF(ISNUMBER(AG32),AG32,"")</f>
        <v>0.125</v>
      </c>
      <c r="AI32" s="10">
        <f>IF(E32=1,Вес2.1/MIN(Вес2.1,Вес2.2,Вес2.3,Вес2.4,Вес2.5),"")</f>
        <v>3</v>
      </c>
      <c r="AJ32" s="10" t="str">
        <f>IF(K32=1,Вес2.2/MIN(Вес2.1,Вес2.2,Вес2.3,Вес2.4,Вес2.5),"")</f>
        <v/>
      </c>
      <c r="AK32" s="10">
        <f>IF(Q32=1,Вес2.3/MIN(Вес2.1,Вес2.2,Вес2.3,Вес2.4,Вес2.5),"")</f>
        <v>3</v>
      </c>
      <c r="AL32" s="10">
        <f>IF(W32=1,Вес2.4/MIN(Вес2.1,Вес2.2,Вес2.3,Вес2.4,Вес2.5),"")</f>
        <v>1</v>
      </c>
      <c r="AM32" s="10">
        <f>IF(AC32=1,Вес2.5/MIN(Вес2.1,Вес2.2,Вес2.3,Вес2.4,Вес2.5),"")</f>
        <v>1</v>
      </c>
      <c r="AN32" s="10">
        <f>SUM(AI32:AM32)</f>
        <v>8</v>
      </c>
    </row>
    <row r="33" spans="1:40" ht="38.25" x14ac:dyDescent="0.2">
      <c r="A33" s="1" t="s">
        <v>116</v>
      </c>
      <c r="B33" s="9" t="s">
        <v>34</v>
      </c>
      <c r="C33" s="10">
        <f>IF(D33&lt;&gt;1,"",SUM(J33,P33,V33,AB33,AH33))</f>
        <v>1</v>
      </c>
      <c r="D33" s="10">
        <f>IF(SUM(E33,K33,Q33,W33,AC33)=0,0,1)</f>
        <v>1</v>
      </c>
      <c r="E33" s="56">
        <v>1</v>
      </c>
      <c r="F33" s="56">
        <v>100.30419999999999</v>
      </c>
      <c r="G33" s="56">
        <v>1</v>
      </c>
      <c r="H33" s="10">
        <f>IF(E33=1,(MIN(Вес2.1,Вес2.2,Вес2.3,Вес2.4,Вес2.5))*((100/MIN(Вес2.1,Вес2.2,Вес2.3,Вес2.4,Вес2.5))/AN33*Вес2.1/MIN(Вес2.1,Вес2.2,Вес2.3,Вес2.4,Вес2.5)),"")</f>
        <v>37.5</v>
      </c>
      <c r="I33" s="10">
        <f>IF(H33="","не применяется",IF(E33=0,"не применяется",H33*G33/100))</f>
        <v>0.375</v>
      </c>
      <c r="J33" s="10">
        <f>IF(ISNUMBER(I33),I33,"")</f>
        <v>0.375</v>
      </c>
      <c r="K33" s="56">
        <v>0</v>
      </c>
      <c r="L33" s="56">
        <v>0</v>
      </c>
      <c r="M33" s="56">
        <v>0</v>
      </c>
      <c r="N33" s="10" t="str">
        <f>IF(K33=1,(MIN(Вес2.1,Вес2.2,Вес2.3,Вес2.4,Вес2.5))*((100/MIN(Вес2.1,Вес2.2,Вес2.3,Вес2.4,Вес2.5))/AN33*Вес2.2/MIN(Вес2.1,Вес2.2,Вес2.3,Вес2.4,Вес2.5)),"")</f>
        <v/>
      </c>
      <c r="O33" s="10" t="str">
        <f>IF(N33="","не применяется",IF(K33=0,"не применяется",N33*M33/100))</f>
        <v>не применяется</v>
      </c>
      <c r="P33" s="10" t="str">
        <f>IF(ISNUMBER(O33),O33,"")</f>
        <v/>
      </c>
      <c r="Q33" s="56">
        <v>1</v>
      </c>
      <c r="R33" s="56">
        <v>1</v>
      </c>
      <c r="S33" s="56">
        <v>1</v>
      </c>
      <c r="T33" s="10">
        <f>IF(Q33=1,(MIN(Вес2.1,Вес2.2,Вес2.3,Вес2.4,Вес2.5))*((100/MIN(Вес2.1,Вес2.2,Вес2.3,Вес2.4,Вес2.5))/AN33*Вес2.3/MIN(Вес2.1,Вес2.2,Вес2.3,Вес2.4,Вес2.5)),"")</f>
        <v>37.5</v>
      </c>
      <c r="U33" s="10">
        <f>IF(T33="","не применяется",IF(Q33=0,"не применяется",T33*S33/100))</f>
        <v>0.375</v>
      </c>
      <c r="V33" s="10">
        <f>IF(ISNUMBER(U33),U33,"")</f>
        <v>0.375</v>
      </c>
      <c r="W33" s="56">
        <v>1</v>
      </c>
      <c r="X33" s="56">
        <v>0</v>
      </c>
      <c r="Y33" s="56">
        <v>1</v>
      </c>
      <c r="Z33" s="10">
        <f>IF(E33=1,(MIN(Вес2.1,Вес2.2,Вес2.3,Вес2.4,Вес2.5))*((100/MIN(Вес2.1,Вес2.2,Вес2.3,Вес2.4,Вес2.5))/AN33*Вес2.4/MIN(Вес2.1,Вес2.2,Вес2.3,Вес2.4,Вес2.5)),"")</f>
        <v>12.5</v>
      </c>
      <c r="AA33" s="10">
        <f>IF(Z33="","не применяется",IF(W33=0,"не применяется",Z33*Y33/100))</f>
        <v>0.125</v>
      </c>
      <c r="AB33" s="10">
        <f>IF(ISNUMBER(AA33),AA33,"")</f>
        <v>0.125</v>
      </c>
      <c r="AC33" s="56">
        <v>1</v>
      </c>
      <c r="AD33" s="56">
        <v>-1</v>
      </c>
      <c r="AE33" s="56">
        <v>1</v>
      </c>
      <c r="AF33" s="10">
        <f>IF(E33=1,(MIN(Вес2.1,Вес2.2,Вес2.3,Вес2.4,Вес2.5))*((100/MIN(Вес2.1,Вес2.2,Вес2.3,Вес2.4,Вес2.5))/AN33*Вес2.5/MIN(Вес2.1,Вес2.2,Вес2.3,Вес2.4,Вес2.5)),"")</f>
        <v>12.5</v>
      </c>
      <c r="AG33" s="10">
        <f>IF(AF33="","не применяется",IF(AC33=0,"не применяется",AF33*AE33/100))</f>
        <v>0.125</v>
      </c>
      <c r="AH33" s="10">
        <f>IF(ISNUMBER(AG33),AG33,"")</f>
        <v>0.125</v>
      </c>
      <c r="AI33" s="10">
        <f>IF(E33=1,Вес2.1/MIN(Вес2.1,Вес2.2,Вес2.3,Вес2.4,Вес2.5),"")</f>
        <v>3</v>
      </c>
      <c r="AJ33" s="10" t="str">
        <f>IF(K33=1,Вес2.2/MIN(Вес2.1,Вес2.2,Вес2.3,Вес2.4,Вес2.5),"")</f>
        <v/>
      </c>
      <c r="AK33" s="10">
        <f>IF(Q33=1,Вес2.3/MIN(Вес2.1,Вес2.2,Вес2.3,Вес2.4,Вес2.5),"")</f>
        <v>3</v>
      </c>
      <c r="AL33" s="10">
        <f>IF(W33=1,Вес2.4/MIN(Вес2.1,Вес2.2,Вес2.3,Вес2.4,Вес2.5),"")</f>
        <v>1</v>
      </c>
      <c r="AM33" s="10">
        <f>IF(AC33=1,Вес2.5/MIN(Вес2.1,Вес2.2,Вес2.3,Вес2.4,Вес2.5),"")</f>
        <v>1</v>
      </c>
      <c r="AN33" s="10">
        <f>SUM(AI33:AM33)</f>
        <v>8</v>
      </c>
    </row>
    <row r="34" spans="1:40" ht="38.25" x14ac:dyDescent="0.2">
      <c r="A34" s="1" t="s">
        <v>117</v>
      </c>
      <c r="B34" s="9" t="s">
        <v>89</v>
      </c>
      <c r="C34" s="10">
        <f>IF(D34&lt;&gt;1,"",SUM(J34,P34,V34,AB34,AH34))</f>
        <v>0.74999999999999989</v>
      </c>
      <c r="D34" s="10">
        <f>IF(SUM(E34,K34,Q34,W34,AC34)=0,0,1)</f>
        <v>1</v>
      </c>
      <c r="E34" s="56">
        <v>1</v>
      </c>
      <c r="F34" s="56">
        <v>145.46780000000001</v>
      </c>
      <c r="G34" s="56">
        <v>0.5</v>
      </c>
      <c r="H34" s="10">
        <f>IF(E34=1,(MIN(Вес2.1,Вес2.2,Вес2.3,Вес2.4,Вес2.5))*((100/MIN(Вес2.1,Вес2.2,Вес2.3,Вес2.4,Вес2.5))/AN34*Вес2.1/MIN(Вес2.1,Вес2.2,Вес2.3,Вес2.4,Вес2.5)),"")</f>
        <v>30</v>
      </c>
      <c r="I34" s="10">
        <f>IF(H34="","не применяется",IF(E34=0,"не применяется",H34*G34/100))</f>
        <v>0.15</v>
      </c>
      <c r="J34" s="10">
        <f>IF(ISNUMBER(I34),I34,"")</f>
        <v>0.15</v>
      </c>
      <c r="K34" s="56">
        <v>1</v>
      </c>
      <c r="L34" s="56">
        <v>0</v>
      </c>
      <c r="M34" s="56">
        <v>1</v>
      </c>
      <c r="N34" s="10">
        <f>IF(K34=1,(MIN(Вес2.1,Вес2.2,Вес2.3,Вес2.4,Вес2.5))*((100/MIN(Вес2.1,Вес2.2,Вес2.3,Вес2.4,Вес2.5))/AN34*Вес2.2/MIN(Вес2.1,Вес2.2,Вес2.3,Вес2.4,Вес2.5)),"")</f>
        <v>20</v>
      </c>
      <c r="O34" s="10">
        <f>IF(N34="","не применяется",IF(K34=0,"не применяется",N34*M34/100))</f>
        <v>0.2</v>
      </c>
      <c r="P34" s="10">
        <f>IF(ISNUMBER(O34),O34,"")</f>
        <v>0.2</v>
      </c>
      <c r="Q34" s="56">
        <v>1</v>
      </c>
      <c r="R34" s="56">
        <v>1</v>
      </c>
      <c r="S34" s="56">
        <v>1</v>
      </c>
      <c r="T34" s="10">
        <f>IF(Q34=1,(MIN(Вес2.1,Вес2.2,Вес2.3,Вес2.4,Вес2.5))*((100/MIN(Вес2.1,Вес2.2,Вес2.3,Вес2.4,Вес2.5))/AN34*Вес2.3/MIN(Вес2.1,Вес2.2,Вес2.3,Вес2.4,Вес2.5)),"")</f>
        <v>30</v>
      </c>
      <c r="U34" s="10">
        <f>IF(T34="","не применяется",IF(Q34=0,"не применяется",T34*S34/100))</f>
        <v>0.3</v>
      </c>
      <c r="V34" s="10">
        <f>IF(ISNUMBER(U34),U34,"")</f>
        <v>0.3</v>
      </c>
      <c r="W34" s="56">
        <v>1</v>
      </c>
      <c r="X34" s="56">
        <v>198087829.28999999</v>
      </c>
      <c r="Y34" s="56">
        <v>0</v>
      </c>
      <c r="Z34" s="10">
        <f>IF(E34=1,(MIN(Вес2.1,Вес2.2,Вес2.3,Вес2.4,Вес2.5))*((100/MIN(Вес2.1,Вес2.2,Вес2.3,Вес2.4,Вес2.5))/AN34*Вес2.4/MIN(Вес2.1,Вес2.2,Вес2.3,Вес2.4,Вес2.5)),"")</f>
        <v>10</v>
      </c>
      <c r="AA34" s="10">
        <f>IF(Z34="","не применяется",IF(W34=0,"не применяется",Z34*Y34/100))</f>
        <v>0</v>
      </c>
      <c r="AB34" s="10">
        <f>IF(ISNUMBER(AA34),AA34,"")</f>
        <v>0</v>
      </c>
      <c r="AC34" s="56">
        <v>1</v>
      </c>
      <c r="AD34" s="56">
        <v>-68.822900000000004</v>
      </c>
      <c r="AE34" s="56">
        <v>1</v>
      </c>
      <c r="AF34" s="10">
        <f>IF(E34=1,(MIN(Вес2.1,Вес2.2,Вес2.3,Вес2.4,Вес2.5))*((100/MIN(Вес2.1,Вес2.2,Вес2.3,Вес2.4,Вес2.5))/AN34*Вес2.5/MIN(Вес2.1,Вес2.2,Вес2.3,Вес2.4,Вес2.5)),"")</f>
        <v>10</v>
      </c>
      <c r="AG34" s="10">
        <f>IF(AF34="","не применяется",IF(AC34=0,"не применяется",AF34*AE34/100))</f>
        <v>0.1</v>
      </c>
      <c r="AH34" s="10">
        <f>IF(ISNUMBER(AG34),AG34,"")</f>
        <v>0.1</v>
      </c>
      <c r="AI34" s="10">
        <f>IF(E34=1,Вес2.1/MIN(Вес2.1,Вес2.2,Вес2.3,Вес2.4,Вес2.5),"")</f>
        <v>3</v>
      </c>
      <c r="AJ34" s="10">
        <f>IF(K34=1,Вес2.2/MIN(Вес2.1,Вес2.2,Вес2.3,Вес2.4,Вес2.5),"")</f>
        <v>2</v>
      </c>
      <c r="AK34" s="10">
        <f>IF(Q34=1,Вес2.3/MIN(Вес2.1,Вес2.2,Вес2.3,Вес2.4,Вес2.5),"")</f>
        <v>3</v>
      </c>
      <c r="AL34" s="10">
        <f>IF(W34=1,Вес2.4/MIN(Вес2.1,Вес2.2,Вес2.3,Вес2.4,Вес2.5),"")</f>
        <v>1</v>
      </c>
      <c r="AM34" s="10">
        <f>IF(AC34=1,Вес2.5/MIN(Вес2.1,Вес2.2,Вес2.3,Вес2.4,Вес2.5),"")</f>
        <v>1</v>
      </c>
      <c r="AN34" s="10">
        <f>SUM(AI34:AM34)</f>
        <v>10</v>
      </c>
    </row>
    <row r="35" spans="1:40" ht="38.25" x14ac:dyDescent="0.2">
      <c r="A35" s="1" t="s">
        <v>118</v>
      </c>
      <c r="B35" s="9" t="s">
        <v>35</v>
      </c>
      <c r="C35" s="10">
        <f>IF(D35&lt;&gt;1,"",SUM(J35,P35,V35,AB35,AH35))</f>
        <v>0.8</v>
      </c>
      <c r="D35" s="10">
        <f>IF(SUM(E35,K35,Q35,W35,AC35)=0,0,1)</f>
        <v>1</v>
      </c>
      <c r="E35" s="56">
        <v>1</v>
      </c>
      <c r="F35" s="56">
        <v>100.3156</v>
      </c>
      <c r="G35" s="56">
        <v>1</v>
      </c>
      <c r="H35" s="10">
        <f>IF(E35=1,(MIN(Вес2.1,Вес2.2,Вес2.3,Вес2.4,Вес2.5))*((100/MIN(Вес2.1,Вес2.2,Вес2.3,Вес2.4,Вес2.5))/AN35*Вес2.1/MIN(Вес2.1,Вес2.2,Вес2.3,Вес2.4,Вес2.5)),"")</f>
        <v>30</v>
      </c>
      <c r="I35" s="10">
        <f>IF(H35="","не применяется",IF(E35=0,"не применяется",H35*G35/100))</f>
        <v>0.3</v>
      </c>
      <c r="J35" s="10">
        <f>IF(ISNUMBER(I35),I35,"")</f>
        <v>0.3</v>
      </c>
      <c r="K35" s="56">
        <v>1</v>
      </c>
      <c r="L35" s="56">
        <v>0</v>
      </c>
      <c r="M35" s="56">
        <v>1</v>
      </c>
      <c r="N35" s="10">
        <f>IF(K35=1,(MIN(Вес2.1,Вес2.2,Вес2.3,Вес2.4,Вес2.5))*((100/MIN(Вес2.1,Вес2.2,Вес2.3,Вес2.4,Вес2.5))/AN35*Вес2.2/MIN(Вес2.1,Вес2.2,Вес2.3,Вес2.4,Вес2.5)),"")</f>
        <v>20</v>
      </c>
      <c r="O35" s="10">
        <f>IF(N35="","не применяется",IF(K35=0,"не применяется",N35*M35/100))</f>
        <v>0.2</v>
      </c>
      <c r="P35" s="10">
        <f>IF(ISNUMBER(O35),O35,"")</f>
        <v>0.2</v>
      </c>
      <c r="Q35" s="56">
        <v>1</v>
      </c>
      <c r="R35" s="56">
        <v>1</v>
      </c>
      <c r="S35" s="56">
        <v>1</v>
      </c>
      <c r="T35" s="10">
        <f>IF(Q35=1,(MIN(Вес2.1,Вес2.2,Вес2.3,Вес2.4,Вес2.5))*((100/MIN(Вес2.1,Вес2.2,Вес2.3,Вес2.4,Вес2.5))/AN35*Вес2.3/MIN(Вес2.1,Вес2.2,Вес2.3,Вес2.4,Вес2.5)),"")</f>
        <v>30</v>
      </c>
      <c r="U35" s="10">
        <f>IF(T35="","не применяется",IF(Q35=0,"не применяется",T35*S35/100))</f>
        <v>0.3</v>
      </c>
      <c r="V35" s="10">
        <f>IF(ISNUMBER(U35),U35,"")</f>
        <v>0.3</v>
      </c>
      <c r="W35" s="56">
        <v>1</v>
      </c>
      <c r="X35" s="56">
        <v>1601667.4</v>
      </c>
      <c r="Y35" s="56">
        <v>0</v>
      </c>
      <c r="Z35" s="10">
        <f>IF(E35=1,(MIN(Вес2.1,Вес2.2,Вес2.3,Вес2.4,Вес2.5))*((100/MIN(Вес2.1,Вес2.2,Вес2.3,Вес2.4,Вес2.5))/AN35*Вес2.4/MIN(Вес2.1,Вес2.2,Вес2.3,Вес2.4,Вес2.5)),"")</f>
        <v>10</v>
      </c>
      <c r="AA35" s="10">
        <f>IF(Z35="","не применяется",IF(W35=0,"не применяется",Z35*Y35/100))</f>
        <v>0</v>
      </c>
      <c r="AB35" s="10">
        <f>IF(ISNUMBER(AA35),AA35,"")</f>
        <v>0</v>
      </c>
      <c r="AC35" s="56">
        <v>1</v>
      </c>
      <c r="AD35" s="56">
        <v>53.264699999999998</v>
      </c>
      <c r="AE35" s="56">
        <v>0</v>
      </c>
      <c r="AF35" s="10">
        <f>IF(E35=1,(MIN(Вес2.1,Вес2.2,Вес2.3,Вес2.4,Вес2.5))*((100/MIN(Вес2.1,Вес2.2,Вес2.3,Вес2.4,Вес2.5))/AN35*Вес2.5/MIN(Вес2.1,Вес2.2,Вес2.3,Вес2.4,Вес2.5)),"")</f>
        <v>10</v>
      </c>
      <c r="AG35" s="10">
        <f>IF(AF35="","не применяется",IF(AC35=0,"не применяется",AF35*AE35/100))</f>
        <v>0</v>
      </c>
      <c r="AH35" s="10">
        <f>IF(ISNUMBER(AG35),AG35,"")</f>
        <v>0</v>
      </c>
      <c r="AI35" s="10">
        <f>IF(E35=1,Вес2.1/MIN(Вес2.1,Вес2.2,Вес2.3,Вес2.4,Вес2.5),"")</f>
        <v>3</v>
      </c>
      <c r="AJ35" s="10">
        <f>IF(K35=1,Вес2.2/MIN(Вес2.1,Вес2.2,Вес2.3,Вес2.4,Вес2.5),"")</f>
        <v>2</v>
      </c>
      <c r="AK35" s="10">
        <f>IF(Q35=1,Вес2.3/MIN(Вес2.1,Вес2.2,Вес2.3,Вес2.4,Вес2.5),"")</f>
        <v>3</v>
      </c>
      <c r="AL35" s="10">
        <f>IF(W35=1,Вес2.4/MIN(Вес2.1,Вес2.2,Вес2.3,Вес2.4,Вес2.5),"")</f>
        <v>1</v>
      </c>
      <c r="AM35" s="10">
        <f>IF(AC35=1,Вес2.5/MIN(Вес2.1,Вес2.2,Вес2.3,Вес2.4,Вес2.5),"")</f>
        <v>1</v>
      </c>
      <c r="AN35" s="10">
        <f>SUM(AI35:AM35)</f>
        <v>10</v>
      </c>
    </row>
    <row r="36" spans="1:40" ht="38.25" x14ac:dyDescent="0.2">
      <c r="A36" s="1" t="s">
        <v>119</v>
      </c>
      <c r="B36" s="9" t="s">
        <v>36</v>
      </c>
      <c r="C36" s="10">
        <f>IF(D36&lt;&gt;1,"",SUM(J36,P36,V36,AB36,AH36))</f>
        <v>1</v>
      </c>
      <c r="D36" s="10">
        <f>IF(SUM(E36,K36,Q36,W36,AC36)=0,0,1)</f>
        <v>1</v>
      </c>
      <c r="E36" s="56">
        <v>1</v>
      </c>
      <c r="F36" s="56">
        <v>0</v>
      </c>
      <c r="G36" s="56">
        <v>1</v>
      </c>
      <c r="H36" s="10">
        <f>IF(E36=1,(MIN(Вес2.1,Вес2.2,Вес2.3,Вес2.4,Вес2.5))*((100/MIN(Вес2.1,Вес2.2,Вес2.3,Вес2.4,Вес2.5))/AN36*Вес2.1/MIN(Вес2.1,Вес2.2,Вес2.3,Вес2.4,Вес2.5)),"")</f>
        <v>37.5</v>
      </c>
      <c r="I36" s="10">
        <f>IF(H36="","не применяется",IF(E36=0,"не применяется",H36*G36/100))</f>
        <v>0.375</v>
      </c>
      <c r="J36" s="10">
        <f>IF(ISNUMBER(I36),I36,"")</f>
        <v>0.375</v>
      </c>
      <c r="K36" s="56">
        <v>0</v>
      </c>
      <c r="L36" s="56">
        <v>0</v>
      </c>
      <c r="M36" s="56">
        <v>0</v>
      </c>
      <c r="N36" s="10" t="str">
        <f>IF(K36=1,(MIN(Вес2.1,Вес2.2,Вес2.3,Вес2.4,Вес2.5))*((100/MIN(Вес2.1,Вес2.2,Вес2.3,Вес2.4,Вес2.5))/AN36*Вес2.2/MIN(Вес2.1,Вес2.2,Вес2.3,Вес2.4,Вес2.5)),"")</f>
        <v/>
      </c>
      <c r="O36" s="10" t="str">
        <f>IF(N36="","не применяется",IF(K36=0,"не применяется",N36*M36/100))</f>
        <v>не применяется</v>
      </c>
      <c r="P36" s="10" t="str">
        <f>IF(ISNUMBER(O36),O36,"")</f>
        <v/>
      </c>
      <c r="Q36" s="56">
        <v>1</v>
      </c>
      <c r="R36" s="56">
        <v>1</v>
      </c>
      <c r="S36" s="56">
        <v>1</v>
      </c>
      <c r="T36" s="10">
        <f>IF(Q36=1,(MIN(Вес2.1,Вес2.2,Вес2.3,Вес2.4,Вес2.5))*((100/MIN(Вес2.1,Вес2.2,Вес2.3,Вес2.4,Вес2.5))/AN36*Вес2.3/MIN(Вес2.1,Вес2.2,Вес2.3,Вес2.4,Вес2.5)),"")</f>
        <v>37.5</v>
      </c>
      <c r="U36" s="10">
        <f>IF(T36="","не применяется",IF(Q36=0,"не применяется",T36*S36/100))</f>
        <v>0.375</v>
      </c>
      <c r="V36" s="10">
        <f>IF(ISNUMBER(U36),U36,"")</f>
        <v>0.375</v>
      </c>
      <c r="W36" s="56">
        <v>1</v>
      </c>
      <c r="X36" s="56">
        <v>0</v>
      </c>
      <c r="Y36" s="56">
        <v>1</v>
      </c>
      <c r="Z36" s="10">
        <f>IF(E36=1,(MIN(Вес2.1,Вес2.2,Вес2.3,Вес2.4,Вес2.5))*((100/MIN(Вес2.1,Вес2.2,Вес2.3,Вес2.4,Вес2.5))/AN36*Вес2.4/MIN(Вес2.1,Вес2.2,Вес2.3,Вес2.4,Вес2.5)),"")</f>
        <v>12.5</v>
      </c>
      <c r="AA36" s="10">
        <f>IF(Z36="","не применяется",IF(W36=0,"не применяется",Z36*Y36/100))</f>
        <v>0.125</v>
      </c>
      <c r="AB36" s="10">
        <f>IF(ISNUMBER(AA36),AA36,"")</f>
        <v>0.125</v>
      </c>
      <c r="AC36" s="56">
        <v>1</v>
      </c>
      <c r="AD36" s="56">
        <v>-1</v>
      </c>
      <c r="AE36" s="56">
        <v>1</v>
      </c>
      <c r="AF36" s="10">
        <f>IF(E36=1,(MIN(Вес2.1,Вес2.2,Вес2.3,Вес2.4,Вес2.5))*((100/MIN(Вес2.1,Вес2.2,Вес2.3,Вес2.4,Вес2.5))/AN36*Вес2.5/MIN(Вес2.1,Вес2.2,Вес2.3,Вес2.4,Вес2.5)),"")</f>
        <v>12.5</v>
      </c>
      <c r="AG36" s="10">
        <f>IF(AF36="","не применяется",IF(AC36=0,"не применяется",AF36*AE36/100))</f>
        <v>0.125</v>
      </c>
      <c r="AH36" s="10">
        <f>IF(ISNUMBER(AG36),AG36,"")</f>
        <v>0.125</v>
      </c>
      <c r="AI36" s="10">
        <f>IF(E36=1,Вес2.1/MIN(Вес2.1,Вес2.2,Вес2.3,Вес2.4,Вес2.5),"")</f>
        <v>3</v>
      </c>
      <c r="AJ36" s="10" t="str">
        <f>IF(K36=1,Вес2.2/MIN(Вес2.1,Вес2.2,Вес2.3,Вес2.4,Вес2.5),"")</f>
        <v/>
      </c>
      <c r="AK36" s="10">
        <f>IF(Q36=1,Вес2.3/MIN(Вес2.1,Вес2.2,Вес2.3,Вес2.4,Вес2.5),"")</f>
        <v>3</v>
      </c>
      <c r="AL36" s="10">
        <f>IF(W36=1,Вес2.4/MIN(Вес2.1,Вес2.2,Вес2.3,Вес2.4,Вес2.5),"")</f>
        <v>1</v>
      </c>
      <c r="AM36" s="10">
        <f>IF(AC36=1,Вес2.5/MIN(Вес2.1,Вес2.2,Вес2.3,Вес2.4,Вес2.5),"")</f>
        <v>1</v>
      </c>
      <c r="AN36" s="10">
        <f>SUM(AI36:AM36)</f>
        <v>8</v>
      </c>
    </row>
    <row r="37" spans="1:40" ht="13.5" customHeight="1" x14ac:dyDescent="0.2">
      <c r="X37" s="8"/>
      <c r="Y37" s="8"/>
      <c r="Z37" s="8"/>
    </row>
    <row r="38" spans="1:40" x14ac:dyDescent="0.2">
      <c r="X38" s="8"/>
      <c r="Y38" s="8"/>
      <c r="Z38" s="8"/>
    </row>
    <row r="39" spans="1:40" x14ac:dyDescent="0.2">
      <c r="X39" s="8"/>
      <c r="Y39" s="8"/>
      <c r="Z39" s="8"/>
    </row>
    <row r="40" spans="1:40" x14ac:dyDescent="0.2">
      <c r="X40" s="8"/>
      <c r="Y40" s="8"/>
      <c r="Z40" s="8"/>
    </row>
    <row r="41" spans="1:40" x14ac:dyDescent="0.2">
      <c r="X41" s="8"/>
      <c r="Y41" s="8"/>
      <c r="Z41" s="8"/>
    </row>
    <row r="42" spans="1:40" x14ac:dyDescent="0.2">
      <c r="X42" s="8"/>
      <c r="Y42" s="8"/>
      <c r="Z42" s="8"/>
    </row>
    <row r="43" spans="1:40" x14ac:dyDescent="0.2">
      <c r="X43" s="8"/>
      <c r="Y43" s="8"/>
      <c r="Z43" s="8"/>
    </row>
    <row r="44" spans="1:40" x14ac:dyDescent="0.2">
      <c r="X44" s="8"/>
      <c r="Y44" s="8"/>
      <c r="Z44" s="8"/>
    </row>
    <row r="45" spans="1:40" x14ac:dyDescent="0.2">
      <c r="X45" s="8"/>
      <c r="Y45" s="8"/>
      <c r="Z45" s="8"/>
    </row>
    <row r="46" spans="1:40" x14ac:dyDescent="0.2">
      <c r="X46" s="8"/>
      <c r="Y46" s="8"/>
      <c r="Z46" s="8"/>
      <c r="AA46" s="8"/>
    </row>
    <row r="47" spans="1:40" x14ac:dyDescent="0.2">
      <c r="X47" s="8"/>
      <c r="Y47" s="8"/>
      <c r="Z47" s="8"/>
      <c r="AA47" s="8"/>
    </row>
    <row r="48" spans="1:40" x14ac:dyDescent="0.2">
      <c r="X48" s="8"/>
      <c r="Y48" s="8"/>
      <c r="Z48" s="8"/>
      <c r="AA48" s="8"/>
    </row>
    <row r="49" spans="24:27" x14ac:dyDescent="0.2">
      <c r="X49" s="8"/>
      <c r="Y49" s="8"/>
      <c r="Z49" s="8"/>
      <c r="AA49" s="8"/>
    </row>
    <row r="50" spans="24:27" x14ac:dyDescent="0.2">
      <c r="X50" s="8"/>
      <c r="Y50" s="8"/>
      <c r="Z50" s="8"/>
      <c r="AA50" s="8"/>
    </row>
    <row r="51" spans="24:27" x14ac:dyDescent="0.2">
      <c r="X51" s="8"/>
      <c r="Y51" s="8"/>
      <c r="Z51" s="8"/>
      <c r="AA51" s="8"/>
    </row>
    <row r="52" spans="24:27" x14ac:dyDescent="0.2">
      <c r="X52" s="8"/>
      <c r="Y52" s="8"/>
      <c r="Z52" s="8"/>
      <c r="AA52" s="8"/>
    </row>
    <row r="53" spans="24:27" x14ac:dyDescent="0.2">
      <c r="X53" s="8"/>
      <c r="Y53" s="8"/>
      <c r="Z53" s="8"/>
      <c r="AA53" s="8"/>
    </row>
    <row r="54" spans="24:27" x14ac:dyDescent="0.2">
      <c r="X54" s="8"/>
      <c r="Y54" s="8"/>
      <c r="Z54" s="8"/>
      <c r="AA54" s="8"/>
    </row>
    <row r="55" spans="24:27" ht="30" customHeight="1" x14ac:dyDescent="0.2">
      <c r="X55" s="8"/>
      <c r="Y55" s="8"/>
      <c r="Z55" s="8"/>
      <c r="AA55" s="8"/>
    </row>
    <row r="56" spans="24:27" x14ac:dyDescent="0.2">
      <c r="X56" s="8"/>
      <c r="Y56" s="8"/>
      <c r="Z56" s="8"/>
      <c r="AA56" s="8"/>
    </row>
    <row r="57" spans="24:27" x14ac:dyDescent="0.2">
      <c r="X57" s="8"/>
      <c r="Y57" s="8"/>
      <c r="Z57" s="8"/>
      <c r="AA57" s="8"/>
    </row>
    <row r="58" spans="24:27" x14ac:dyDescent="0.2">
      <c r="X58" s="8"/>
      <c r="Y58" s="8"/>
      <c r="Z58" s="8"/>
      <c r="AA58" s="8"/>
    </row>
    <row r="59" spans="24:27" x14ac:dyDescent="0.2">
      <c r="X59" s="8"/>
      <c r="Y59" s="8"/>
      <c r="Z59" s="8"/>
      <c r="AA59" s="8"/>
    </row>
    <row r="60" spans="24:27" x14ac:dyDescent="0.2">
      <c r="X60" s="8"/>
      <c r="Y60" s="8"/>
      <c r="Z60" s="8"/>
      <c r="AA60" s="8"/>
    </row>
    <row r="61" spans="24:27" x14ac:dyDescent="0.2">
      <c r="X61" s="8"/>
      <c r="Y61" s="8"/>
      <c r="Z61" s="8"/>
      <c r="AA61" s="8"/>
    </row>
    <row r="62" spans="24:27" x14ac:dyDescent="0.2">
      <c r="X62" s="8"/>
      <c r="Y62" s="8"/>
      <c r="Z62" s="8"/>
      <c r="AA62" s="8"/>
    </row>
    <row r="63" spans="24:27" x14ac:dyDescent="0.2">
      <c r="X63" s="8"/>
      <c r="Y63" s="8"/>
      <c r="Z63" s="8"/>
      <c r="AA63" s="8"/>
    </row>
    <row r="64" spans="24:27" x14ac:dyDescent="0.2">
      <c r="X64" s="8"/>
      <c r="Y64" s="8"/>
      <c r="Z64" s="8"/>
      <c r="AA64" s="8"/>
    </row>
    <row r="65" spans="24:27" x14ac:dyDescent="0.2">
      <c r="X65" s="8"/>
      <c r="Y65" s="8"/>
      <c r="Z65" s="8"/>
      <c r="AA65" s="8"/>
    </row>
    <row r="66" spans="24:27" x14ac:dyDescent="0.2">
      <c r="X66" s="8"/>
      <c r="Y66" s="8"/>
      <c r="Z66" s="8"/>
      <c r="AA66" s="8"/>
    </row>
    <row r="67" spans="24:27" x14ac:dyDescent="0.2">
      <c r="X67" s="8"/>
      <c r="Y67" s="8"/>
      <c r="Z67" s="8"/>
      <c r="AA67" s="8"/>
    </row>
    <row r="68" spans="24:27" x14ac:dyDescent="0.2">
      <c r="X68" s="8"/>
      <c r="Y68" s="8"/>
      <c r="Z68" s="8"/>
      <c r="AA68" s="8"/>
    </row>
  </sheetData>
  <sheetProtection algorithmName="SHA-512" hashValue="0V9En64aGVL+tQ6ymxgaPyaZdAz2wcjrofoAha3Ip5HKq416gtD+k6ySujRthZfYSUUfYcoQT5pSfCrUxUg5EA==" saltValue="yw1hoCvaCdYp107smGTEwA==" spinCount="100000" sheet="1" objects="1" scenarios="1" formatCells="0" formatColumns="0" formatRows="0" deleteColumns="0" deleteRows="0"/>
  <protectedRanges>
    <protectedRange sqref="C16:C36" name="krista_tr_47106_0_0"/>
    <protectedRange sqref="D16:D36" name="krista_tr_40531_0_0"/>
    <protectedRange sqref="H16:H36" name="krista_tf_40535_0_0"/>
    <protectedRange sqref="I16:I36" name="krista_tf_40536_0_0"/>
    <protectedRange sqref="J16:J36" name="krista_tr_40537_0_0"/>
    <protectedRange sqref="N16:N36" name="krista_tf_40541_0_0"/>
    <protectedRange sqref="O16:O36" name="krista_tf_40542_0_0"/>
    <protectedRange sqref="P16:P36" name="krista_tr_40543_0_0"/>
    <protectedRange sqref="T16:T36" name="krista_tf_40547_0_0"/>
    <protectedRange sqref="U16:U36" name="krista_tf_40548_0_0"/>
    <protectedRange sqref="V16:V36" name="krista_tr_40549_0_0"/>
    <protectedRange sqref="Z16:Z36" name="krista_tf_52034_0_0"/>
    <protectedRange sqref="AA16:AA36" name="krista_tf_52035_0_0"/>
    <protectedRange sqref="AB16:AB36" name="krista_tr_52041_0_0"/>
    <protectedRange sqref="AF16:AF36" name="krista_tf_52039_0_0"/>
    <protectedRange sqref="AG16:AG36" name="krista_tf_52040_0_0"/>
    <protectedRange sqref="AH16:AH36" name="krista_tr_52042_0_0"/>
    <protectedRange sqref="AI16:AI36" name="krista_tf_40580_0_0"/>
    <protectedRange sqref="AJ16:AJ36" name="krista_tf_40581_0_0"/>
    <protectedRange sqref="AK16:AK36" name="krista_tf_40582_0_0"/>
    <protectedRange sqref="AL16:AL36" name="krista_tf_52029_0_0"/>
    <protectedRange sqref="AM16:AM36" name="krista_tf_52030_0_0"/>
    <protectedRange sqref="AN16:AN36" name="krista_tf_40588_0_0"/>
  </protectedRanges>
  <mergeCells count="16">
    <mergeCell ref="AC14:AH14"/>
    <mergeCell ref="AI14:AN14"/>
    <mergeCell ref="A1:E1"/>
    <mergeCell ref="B8:H8"/>
    <mergeCell ref="B9:H9"/>
    <mergeCell ref="B12:H12"/>
    <mergeCell ref="Q14:V14"/>
    <mergeCell ref="E14:J14"/>
    <mergeCell ref="A14:A15"/>
    <mergeCell ref="B14:B15"/>
    <mergeCell ref="C14:C15"/>
    <mergeCell ref="D14:D15"/>
    <mergeCell ref="K14:P14"/>
    <mergeCell ref="B10:H10"/>
    <mergeCell ref="B11:H11"/>
    <mergeCell ref="W14:AB14"/>
  </mergeCells>
  <conditionalFormatting sqref="A8:A13">
    <cfRule type="expression" dxfId="5" priority="2" stopIfTrue="1">
      <formula>"(сумм(A8:F12)&lt;&gt;100"</formula>
    </cfRule>
  </conditionalFormatting>
  <pageMargins left="0.25" right="0.25" top="0.75" bottom="0.75" header="0.3" footer="0.3"/>
  <pageSetup paperSize="8" scale="39" fitToWidth="0" orientation="landscape" r:id="rId1"/>
  <headerFooter alignWithMargins="0"/>
  <customProperties>
    <customPr name="40591" r:id="rId2"/>
    <customPr name="40592" r:id="rId3"/>
    <customPr name="40593" r:id="rId4"/>
    <customPr name="40594" r:id="rId5"/>
    <customPr name="52043" r:id="rId6"/>
    <customPr name="52044" r:id="rId7"/>
    <customPr name="krista_fm_columnsmarkup" r:id="rId8"/>
    <customPr name="krista_fm_consts" r:id="rId9"/>
    <customPr name="krista_fm_Events" r:id="rId10"/>
    <customPr name="krista_fm_metadataXML" r:id="rId11"/>
    <customPr name="krista_fm_rowsaxis" r:id="rId12"/>
    <customPr name="krista_fm_rowsmarkup" r:id="rId13"/>
    <customPr name="krista_SheetHistory" r:id="rId14"/>
    <customPr name="p15" r:id="rId15"/>
    <customPr name="p19" r:id="rId16"/>
    <customPr name="p22" r:id="rId17"/>
  </customProperties>
  <legacy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rgb="FFFFC000"/>
    <pageSetUpPr fitToPage="1"/>
  </sheetPr>
  <dimension ref="A1:AH48"/>
  <sheetViews>
    <sheetView topLeftCell="A10" zoomScale="75" zoomScaleNormal="75" zoomScaleSheetLayoutView="80" workbookViewId="0">
      <selection activeCell="Y21" sqref="Y21"/>
    </sheetView>
  </sheetViews>
  <sheetFormatPr defaultRowHeight="12.75" x14ac:dyDescent="0.2"/>
  <cols>
    <col min="1" max="1" width="6.28515625" customWidth="1"/>
    <col min="2" max="2" width="81.42578125" customWidth="1"/>
    <col min="3" max="3" width="11.5703125" customWidth="1"/>
    <col min="4" max="4" width="17.7109375" customWidth="1"/>
    <col min="5" max="5" width="15.42578125" bestFit="1" customWidth="1"/>
    <col min="6" max="6" width="12.7109375" customWidth="1"/>
    <col min="7" max="7" width="11.5703125" customWidth="1"/>
    <col min="8" max="8" width="12.7109375" customWidth="1"/>
    <col min="9" max="9" width="13.85546875" customWidth="1"/>
    <col min="10" max="10" width="11" customWidth="1"/>
    <col min="11" max="11" width="15" customWidth="1"/>
    <col min="12" max="12" width="12.5703125" customWidth="1"/>
    <col min="13" max="13" width="11.7109375" customWidth="1"/>
    <col min="14" max="14" width="13.28515625" customWidth="1"/>
    <col min="15" max="15" width="13.140625" customWidth="1"/>
    <col min="16" max="16" width="13.28515625" customWidth="1"/>
    <col min="17" max="17" width="15.5703125" customWidth="1"/>
    <col min="18" max="18" width="11.42578125" customWidth="1"/>
    <col min="19" max="19" width="13" customWidth="1"/>
    <col min="20" max="20" width="13.140625" customWidth="1"/>
    <col min="21" max="21" width="13.5703125" customWidth="1"/>
    <col min="22" max="22" width="13.28515625" customWidth="1"/>
    <col min="23" max="23" width="12.7109375" customWidth="1"/>
    <col min="24" max="24" width="12.140625" customWidth="1"/>
    <col min="25" max="25" width="11.85546875" customWidth="1"/>
    <col min="26" max="26" width="16.140625" customWidth="1"/>
    <col min="27" max="27" width="14.28515625" hidden="1" customWidth="1"/>
    <col min="28" max="28" width="12.28515625" hidden="1" customWidth="1"/>
    <col min="29" max="29" width="15.140625" hidden="1" customWidth="1"/>
    <col min="30" max="30" width="11.85546875" hidden="1" customWidth="1"/>
    <col min="31" max="31" width="13.140625" hidden="1" customWidth="1"/>
    <col min="32" max="32" width="13" hidden="1" customWidth="1"/>
    <col min="33" max="33" width="13.140625" hidden="1" customWidth="1"/>
    <col min="34" max="34" width="11" hidden="1" customWidth="1"/>
    <col min="35" max="41" width="27.42578125" customWidth="1"/>
    <col min="42" max="42" width="60.85546875" customWidth="1"/>
    <col min="43" max="48" width="27.42578125" customWidth="1"/>
    <col min="49" max="51" width="31.28515625" customWidth="1"/>
    <col min="52" max="52" width="27.42578125" customWidth="1"/>
    <col min="53" max="55" width="34.28515625" customWidth="1"/>
    <col min="56" max="59" width="27.42578125" customWidth="1"/>
    <col min="60" max="60" width="39.42578125" customWidth="1"/>
    <col min="61" max="61" width="41.28515625" customWidth="1"/>
    <col min="62" max="73" width="27.42578125" customWidth="1"/>
    <col min="76" max="76" width="10.28515625" bestFit="1" customWidth="1"/>
    <col min="79" max="79" width="10.28515625" bestFit="1" customWidth="1"/>
    <col min="82" max="82" width="10.28515625" bestFit="1" customWidth="1"/>
    <col min="85" max="85" width="10.28515625" bestFit="1" customWidth="1"/>
    <col min="88" max="88" width="10.28515625" bestFit="1" customWidth="1"/>
    <col min="91" max="91" width="10.28515625" bestFit="1" customWidth="1"/>
    <col min="94" max="94" width="10.28515625" bestFit="1" customWidth="1"/>
    <col min="97" max="97" width="10.28515625" bestFit="1" customWidth="1"/>
    <col min="100" max="100" width="10.28515625" bestFit="1" customWidth="1"/>
    <col min="103" max="103" width="10.28515625" bestFit="1" customWidth="1"/>
    <col min="106" max="106" width="10.28515625" bestFit="1" customWidth="1"/>
    <col min="109" max="109" width="10.28515625" bestFit="1" customWidth="1"/>
    <col min="112" max="112" width="10.28515625" bestFit="1" customWidth="1"/>
    <col min="115" max="115" width="10.28515625" bestFit="1" customWidth="1"/>
    <col min="118" max="118" width="10.28515625" bestFit="1" customWidth="1"/>
    <col min="121" max="121" width="10.28515625" bestFit="1" customWidth="1"/>
    <col min="124" max="124" width="10.28515625" bestFit="1" customWidth="1"/>
    <col min="127" max="127" width="10.28515625" bestFit="1" customWidth="1"/>
    <col min="130" max="130" width="10.28515625" bestFit="1" customWidth="1"/>
    <col min="133" max="133" width="10.28515625" bestFit="1" customWidth="1"/>
    <col min="136" max="136" width="10.28515625" bestFit="1" customWidth="1"/>
    <col min="139" max="139" width="10.28515625" bestFit="1" customWidth="1"/>
    <col min="142" max="142" width="10.28515625" bestFit="1" customWidth="1"/>
    <col min="145" max="145" width="10.28515625" bestFit="1" customWidth="1"/>
    <col min="148" max="148" width="10.28515625" bestFit="1" customWidth="1"/>
    <col min="151" max="151" width="10.28515625" bestFit="1" customWidth="1"/>
    <col min="154" max="154" width="10.28515625" bestFit="1" customWidth="1"/>
    <col min="157" max="157" width="10.28515625" bestFit="1" customWidth="1"/>
    <col min="160" max="160" width="10.28515625" bestFit="1" customWidth="1"/>
    <col min="163" max="163" width="10.28515625" bestFit="1" customWidth="1"/>
    <col min="166" max="166" width="10.28515625" bestFit="1" customWidth="1"/>
    <col min="169" max="169" width="10.28515625" bestFit="1" customWidth="1"/>
    <col min="172" max="172" width="10.28515625" bestFit="1" customWidth="1"/>
    <col min="175" max="175" width="10.28515625" bestFit="1" customWidth="1"/>
    <col min="178" max="178" width="10.28515625" bestFit="1" customWidth="1"/>
    <col min="181" max="181" width="10.28515625" bestFit="1" customWidth="1"/>
    <col min="184" max="184" width="10.28515625" bestFit="1" customWidth="1"/>
    <col min="187" max="187" width="10.28515625" bestFit="1" customWidth="1"/>
    <col min="190" max="190" width="10.28515625" bestFit="1" customWidth="1"/>
    <col min="193" max="193" width="10.28515625" bestFit="1" customWidth="1"/>
    <col min="196" max="196" width="10.28515625" bestFit="1" customWidth="1"/>
    <col min="199" max="199" width="10.28515625" bestFit="1" customWidth="1"/>
    <col min="202" max="202" width="10.28515625" bestFit="1" customWidth="1"/>
    <col min="205" max="205" width="10.28515625" bestFit="1" customWidth="1"/>
    <col min="208" max="208" width="10.28515625" bestFit="1" customWidth="1"/>
    <col min="211" max="211" width="10.28515625" bestFit="1" customWidth="1"/>
    <col min="214" max="214" width="10.28515625" bestFit="1" customWidth="1"/>
  </cols>
  <sheetData>
    <row r="1" spans="1:34" ht="30" customHeight="1" x14ac:dyDescent="0.2">
      <c r="A1" s="78" t="s">
        <v>74</v>
      </c>
      <c r="B1" s="79"/>
      <c r="C1" s="79"/>
      <c r="D1" s="79"/>
      <c r="E1" s="79"/>
    </row>
    <row r="3" spans="1:34" x14ac:dyDescent="0.2">
      <c r="A3" s="2" t="s">
        <v>14</v>
      </c>
      <c r="B3" s="2"/>
      <c r="C3" s="2"/>
      <c r="D3" s="2"/>
      <c r="E3" s="2"/>
      <c r="F3" s="2"/>
      <c r="G3" s="2"/>
      <c r="H3" s="2"/>
    </row>
    <row r="4" spans="1:34" x14ac:dyDescent="0.2">
      <c r="A4" s="2" t="s">
        <v>15</v>
      </c>
      <c r="B4" s="2"/>
      <c r="C4" s="2"/>
      <c r="D4" s="2"/>
      <c r="E4" s="2"/>
      <c r="F4" s="2"/>
      <c r="G4" s="2"/>
      <c r="H4" s="2"/>
    </row>
    <row r="5" spans="1:34" x14ac:dyDescent="0.2">
      <c r="A5" s="2" t="s">
        <v>1</v>
      </c>
      <c r="B5" s="2"/>
      <c r="C5" s="2"/>
      <c r="D5" s="2"/>
      <c r="E5" s="2"/>
      <c r="F5" s="2"/>
      <c r="G5" s="2"/>
      <c r="H5" s="2"/>
    </row>
    <row r="6" spans="1:34" x14ac:dyDescent="0.2">
      <c r="A6" s="2" t="s">
        <v>7</v>
      </c>
      <c r="B6" s="2"/>
      <c r="C6" s="2"/>
      <c r="D6" s="2"/>
      <c r="E6" s="2"/>
      <c r="F6" s="2"/>
      <c r="G6" s="2"/>
      <c r="H6" s="2"/>
    </row>
    <row r="7" spans="1:34" ht="23.25" customHeight="1" thickBot="1" x14ac:dyDescent="0.25">
      <c r="A7" s="53" t="s">
        <v>2</v>
      </c>
      <c r="B7" s="4"/>
      <c r="C7" s="4"/>
      <c r="D7" s="4"/>
      <c r="E7" s="4"/>
      <c r="F7" s="4"/>
      <c r="G7" s="4"/>
      <c r="H7" s="4"/>
    </row>
    <row r="8" spans="1:34" ht="26.25" customHeight="1" thickBot="1" x14ac:dyDescent="0.25">
      <c r="A8" s="5">
        <v>50</v>
      </c>
      <c r="B8" s="70" t="s">
        <v>93</v>
      </c>
      <c r="C8" s="71"/>
      <c r="D8" s="71"/>
      <c r="E8" s="71"/>
      <c r="F8" s="71"/>
      <c r="G8" s="71"/>
      <c r="H8" s="71"/>
    </row>
    <row r="9" spans="1:34" ht="28.5" customHeight="1" thickBot="1" x14ac:dyDescent="0.25">
      <c r="A9" s="5">
        <v>35</v>
      </c>
      <c r="B9" s="70" t="s">
        <v>75</v>
      </c>
      <c r="C9" s="71"/>
      <c r="D9" s="71"/>
      <c r="E9" s="71"/>
      <c r="F9" s="72"/>
      <c r="G9" s="72"/>
      <c r="H9" s="72"/>
    </row>
    <row r="10" spans="1:34" ht="27" customHeight="1" thickBot="1" x14ac:dyDescent="0.25">
      <c r="A10" s="5">
        <v>15</v>
      </c>
      <c r="B10" s="70" t="s">
        <v>76</v>
      </c>
      <c r="C10" s="71"/>
      <c r="D10" s="71"/>
      <c r="E10" s="71"/>
      <c r="F10" s="72"/>
      <c r="G10" s="72"/>
      <c r="H10" s="72"/>
    </row>
    <row r="11" spans="1:34" ht="19.5" customHeight="1" thickBot="1" x14ac:dyDescent="0.25">
      <c r="A11" s="19"/>
      <c r="B11" s="22"/>
      <c r="C11" s="23"/>
      <c r="D11" s="23"/>
      <c r="E11" s="23"/>
      <c r="F11" s="17"/>
      <c r="G11" s="17"/>
      <c r="H11" s="17"/>
    </row>
    <row r="12" spans="1:34" ht="67.5" customHeight="1" x14ac:dyDescent="0.2">
      <c r="A12" s="111" t="s">
        <v>9</v>
      </c>
      <c r="B12" s="113" t="s">
        <v>8</v>
      </c>
      <c r="C12" s="113" t="s">
        <v>19</v>
      </c>
      <c r="D12" s="115" t="s">
        <v>91</v>
      </c>
      <c r="E12" s="110" t="s">
        <v>93</v>
      </c>
      <c r="F12" s="100"/>
      <c r="G12" s="100"/>
      <c r="H12" s="100"/>
      <c r="I12" s="100"/>
      <c r="J12" s="101"/>
      <c r="K12" s="107" t="s">
        <v>75</v>
      </c>
      <c r="L12" s="108"/>
      <c r="M12" s="108"/>
      <c r="N12" s="108"/>
      <c r="O12" s="108"/>
      <c r="P12" s="109"/>
      <c r="Q12" s="99" t="s">
        <v>76</v>
      </c>
      <c r="R12" s="100"/>
      <c r="S12" s="100"/>
      <c r="T12" s="100"/>
      <c r="U12" s="100"/>
      <c r="V12" s="101"/>
      <c r="W12" s="102" t="s">
        <v>5</v>
      </c>
      <c r="X12" s="103"/>
      <c r="Y12" s="103"/>
      <c r="Z12" s="103"/>
      <c r="AA12" s="103"/>
      <c r="AB12" s="104"/>
      <c r="AC12" s="105" t="s">
        <v>44</v>
      </c>
      <c r="AD12" s="100"/>
      <c r="AE12" s="100"/>
      <c r="AF12" s="100"/>
      <c r="AG12" s="100"/>
      <c r="AH12" s="106"/>
    </row>
    <row r="13" spans="1:34" ht="58.5" customHeight="1" thickBot="1" x14ac:dyDescent="0.25">
      <c r="A13" s="112"/>
      <c r="B13" s="114"/>
      <c r="C13" s="114"/>
      <c r="D13" s="116"/>
      <c r="E13" s="32" t="s">
        <v>38</v>
      </c>
      <c r="F13" s="26" t="s">
        <v>16</v>
      </c>
      <c r="G13" s="26" t="s">
        <v>17</v>
      </c>
      <c r="H13" s="26" t="s">
        <v>37</v>
      </c>
      <c r="I13" s="26" t="s">
        <v>48</v>
      </c>
      <c r="J13" s="33" t="s">
        <v>39</v>
      </c>
      <c r="K13" s="31" t="s">
        <v>38</v>
      </c>
      <c r="L13" s="26" t="s">
        <v>46</v>
      </c>
      <c r="M13" s="26" t="s">
        <v>17</v>
      </c>
      <c r="N13" s="26" t="s">
        <v>37</v>
      </c>
      <c r="O13" s="26" t="s">
        <v>48</v>
      </c>
      <c r="P13" s="30" t="s">
        <v>39</v>
      </c>
      <c r="Q13" s="32" t="s">
        <v>38</v>
      </c>
      <c r="R13" s="26" t="s">
        <v>46</v>
      </c>
      <c r="S13" s="26" t="s">
        <v>17</v>
      </c>
      <c r="T13" s="26" t="s">
        <v>37</v>
      </c>
      <c r="U13" s="26" t="s">
        <v>48</v>
      </c>
      <c r="V13" s="33" t="s">
        <v>39</v>
      </c>
      <c r="W13" s="34">
        <v>1</v>
      </c>
      <c r="X13" s="24">
        <v>2</v>
      </c>
      <c r="Y13" s="24">
        <v>3</v>
      </c>
      <c r="Z13" s="24" t="s">
        <v>45</v>
      </c>
      <c r="AA13" s="24" t="s">
        <v>48</v>
      </c>
      <c r="AB13" s="25" t="s">
        <v>39</v>
      </c>
      <c r="AC13" s="31" t="s">
        <v>38</v>
      </c>
      <c r="AD13" s="26" t="s">
        <v>46</v>
      </c>
      <c r="AE13" s="26" t="s">
        <v>17</v>
      </c>
      <c r="AF13" s="26" t="s">
        <v>37</v>
      </c>
      <c r="AG13" s="26" t="s">
        <v>48</v>
      </c>
      <c r="AH13" s="30" t="s">
        <v>39</v>
      </c>
    </row>
    <row r="14" spans="1:34" x14ac:dyDescent="0.2">
      <c r="A14" s="1" t="s">
        <v>100</v>
      </c>
      <c r="B14" s="9" t="s">
        <v>20</v>
      </c>
      <c r="C14" s="10">
        <f>IF(D14&lt;&gt;1,"",SUM(J14,P14,V14))</f>
        <v>1</v>
      </c>
      <c r="D14" s="10">
        <f>IF(SUM(E14,K14,Q14)=0,0,1)</f>
        <v>1</v>
      </c>
      <c r="E14" s="56">
        <v>1</v>
      </c>
      <c r="F14" s="56">
        <v>0</v>
      </c>
      <c r="G14" s="56">
        <v>1</v>
      </c>
      <c r="H14" s="10">
        <f>IF(E14=1,(MIN(Вес3.1,Вес3.2,Вес3.3))*((100/MIN(Вес3.1,Вес3.2,Вес3.3))/Z14*Вес3.1/MIN(Вес3.1,Вес3.2,Вес3.3)),"")</f>
        <v>50</v>
      </c>
      <c r="I14" s="10">
        <f>IF(H14="","не применяется",IF(E14=0,"не применяется",H14*G14/100))</f>
        <v>0.5</v>
      </c>
      <c r="J14" s="10">
        <f>IF(ISNUMBER(I14),I14,"")</f>
        <v>0.5</v>
      </c>
      <c r="K14" s="56">
        <v>1</v>
      </c>
      <c r="L14" s="56">
        <v>0</v>
      </c>
      <c r="M14" s="56">
        <v>1</v>
      </c>
      <c r="N14" s="10">
        <f>IF(K14=1,(MIN(Вес3.1,Вес3.2,Вес3.3))*((100/MIN(Вес3.1,Вес3.2,Вес3.3))/Z14*Вес3.2/MIN(Вес3.1,Вес3.2,Вес3.3)),"")</f>
        <v>35</v>
      </c>
      <c r="O14" s="10">
        <f>IF(N14="","не применяется",IF(K14=0,"не применяется",N14*M14/100))</f>
        <v>0.35</v>
      </c>
      <c r="P14" s="10">
        <f>IF(ISNUMBER(O14),O14,"")</f>
        <v>0.35</v>
      </c>
      <c r="Q14" s="56">
        <v>1</v>
      </c>
      <c r="R14" s="56">
        <v>1</v>
      </c>
      <c r="S14" s="56">
        <v>1</v>
      </c>
      <c r="T14" s="10">
        <f>IF(Q14=1,(MIN(Вес3.1,Вес3.2,Вес3.3))*((100/MIN(Вес3.1,Вес3.2,Вес3.3))/Z14*Вес3.3/MIN(Вес3.1,Вес3.2,Вес3.3)),"")</f>
        <v>15</v>
      </c>
      <c r="U14" s="10">
        <f>IF(T14="","не применяется",IF(Q14=0,"не применяется",T14*S14/100))</f>
        <v>0.15</v>
      </c>
      <c r="V14" s="10">
        <f>IF(ISNUMBER(U14),U14,"")</f>
        <v>0.15</v>
      </c>
      <c r="W14" s="10">
        <f>IF(E14=1,Вес3.1/MIN(Вес3.1,Вес3.2,Вес3.3),"")</f>
        <v>3.3333333333333335</v>
      </c>
      <c r="X14" s="10">
        <f>IF(K14=1,Вес3.2/MIN(Вес3.1,Вес3.2,Вес3.3),"")</f>
        <v>2.3333333333333335</v>
      </c>
      <c r="Y14" s="10">
        <f>IF(Q14=1,Вес3.3/MIN(Вес3.1,Вес3.2,Вес3.3),"")</f>
        <v>1</v>
      </c>
      <c r="Z14" s="10">
        <f>SUM(W14:Y14)</f>
        <v>6.666666666666667</v>
      </c>
    </row>
    <row r="15" spans="1:34" x14ac:dyDescent="0.2">
      <c r="A15" s="1" t="s">
        <v>101</v>
      </c>
      <c r="B15" s="9" t="s">
        <v>52</v>
      </c>
      <c r="C15" s="10">
        <f>IF(D15&lt;&gt;1,"",SUM(J15,P15,V15))</f>
        <v>0.15</v>
      </c>
      <c r="D15" s="10">
        <f>IF(SUM(E15,K15,Q15)=0,0,1)</f>
        <v>1</v>
      </c>
      <c r="E15" s="56">
        <v>1</v>
      </c>
      <c r="F15" s="56">
        <v>0.84799999999999998</v>
      </c>
      <c r="G15" s="56">
        <v>0</v>
      </c>
      <c r="H15" s="10">
        <f>IF(E15=1,(MIN(Вес3.1,Вес3.2,Вес3.3))*((100/MIN(Вес3.1,Вес3.2,Вес3.3))/Z15*Вес3.1/MIN(Вес3.1,Вес3.2,Вес3.3)),"")</f>
        <v>50</v>
      </c>
      <c r="I15" s="10">
        <f>IF(H15="","не применяется",IF(E15=0,"не применяется",H15*G15/100))</f>
        <v>0</v>
      </c>
      <c r="J15" s="10">
        <f>IF(ISNUMBER(I15),I15,"")</f>
        <v>0</v>
      </c>
      <c r="K15" s="56">
        <v>1</v>
      </c>
      <c r="L15" s="56">
        <v>1</v>
      </c>
      <c r="M15" s="56">
        <v>0</v>
      </c>
      <c r="N15" s="10">
        <f>IF(K15=1,(MIN(Вес3.1,Вес3.2,Вес3.3))*((100/MIN(Вес3.1,Вес3.2,Вес3.3))/Z15*Вес3.2/MIN(Вес3.1,Вес3.2,Вес3.3)),"")</f>
        <v>35</v>
      </c>
      <c r="O15" s="10">
        <f>IF(N15="","не применяется",IF(K15=0,"не применяется",N15*M15/100))</f>
        <v>0</v>
      </c>
      <c r="P15" s="10">
        <f>IF(ISNUMBER(O15),O15,"")</f>
        <v>0</v>
      </c>
      <c r="Q15" s="56">
        <v>1</v>
      </c>
      <c r="R15" s="56">
        <v>1</v>
      </c>
      <c r="S15" s="56">
        <v>1</v>
      </c>
      <c r="T15" s="10">
        <f>IF(Q15=1,(MIN(Вес3.1,Вес3.2,Вес3.3))*((100/MIN(Вес3.1,Вес3.2,Вес3.3))/Z15*Вес3.3/MIN(Вес3.1,Вес3.2,Вес3.3)),"")</f>
        <v>15</v>
      </c>
      <c r="U15" s="10">
        <f>IF(T15="","не применяется",IF(Q15=0,"не применяется",T15*S15/100))</f>
        <v>0.15</v>
      </c>
      <c r="V15" s="10">
        <f>IF(ISNUMBER(U15),U15,"")</f>
        <v>0.15</v>
      </c>
      <c r="W15" s="10">
        <f>IF(E15=1,Вес3.1/MIN(Вес3.1,Вес3.2,Вес3.3),"")</f>
        <v>3.3333333333333335</v>
      </c>
      <c r="X15" s="10">
        <f>IF(K15=1,Вес3.2/MIN(Вес3.1,Вес3.2,Вес3.3),"")</f>
        <v>2.3333333333333335</v>
      </c>
      <c r="Y15" s="10">
        <f>IF(Q15=1,Вес3.3/MIN(Вес3.1,Вес3.2,Вес3.3),"")</f>
        <v>1</v>
      </c>
      <c r="Z15" s="10">
        <f>SUM(W15:Y15)</f>
        <v>6.666666666666667</v>
      </c>
    </row>
    <row r="16" spans="1:34" x14ac:dyDescent="0.2">
      <c r="A16" s="1" t="s">
        <v>102</v>
      </c>
      <c r="B16" s="9" t="s">
        <v>21</v>
      </c>
      <c r="C16" s="10">
        <f>IF(D16&lt;&gt;1,"",SUM(J16,P16,V16))</f>
        <v>1</v>
      </c>
      <c r="D16" s="10">
        <f>IF(SUM(E16,K16,Q16)=0,0,1)</f>
        <v>1</v>
      </c>
      <c r="E16" s="56">
        <v>1</v>
      </c>
      <c r="F16" s="56">
        <v>0</v>
      </c>
      <c r="G16" s="56">
        <v>1</v>
      </c>
      <c r="H16" s="10">
        <f>IF(E16=1,(MIN(Вес3.1,Вес3.2,Вес3.3))*((100/MIN(Вес3.1,Вес3.2,Вес3.3))/Z16*Вес3.1/MIN(Вес3.1,Вес3.2,Вес3.3)),"")</f>
        <v>50</v>
      </c>
      <c r="I16" s="10">
        <f>IF(H16="","не применяется",IF(E16=0,"не применяется",H16*G16/100))</f>
        <v>0.5</v>
      </c>
      <c r="J16" s="10">
        <f>IF(ISNUMBER(I16),I16,"")</f>
        <v>0.5</v>
      </c>
      <c r="K16" s="56">
        <v>1</v>
      </c>
      <c r="L16" s="56">
        <v>0</v>
      </c>
      <c r="M16" s="56">
        <v>1</v>
      </c>
      <c r="N16" s="10">
        <f>IF(K16=1,(MIN(Вес3.1,Вес3.2,Вес3.3))*((100/MIN(Вес3.1,Вес3.2,Вес3.3))/Z16*Вес3.2/MIN(Вес3.1,Вес3.2,Вес3.3)),"")</f>
        <v>35</v>
      </c>
      <c r="O16" s="10">
        <f>IF(N16="","не применяется",IF(K16=0,"не применяется",N16*M16/100))</f>
        <v>0.35</v>
      </c>
      <c r="P16" s="10">
        <f>IF(ISNUMBER(O16),O16,"")</f>
        <v>0.35</v>
      </c>
      <c r="Q16" s="56">
        <v>1</v>
      </c>
      <c r="R16" s="56">
        <v>1</v>
      </c>
      <c r="S16" s="56">
        <v>1</v>
      </c>
      <c r="T16" s="10">
        <f>IF(Q16=1,(MIN(Вес3.1,Вес3.2,Вес3.3))*((100/MIN(Вес3.1,Вес3.2,Вес3.3))/Z16*Вес3.3/MIN(Вес3.1,Вес3.2,Вес3.3)),"")</f>
        <v>15</v>
      </c>
      <c r="U16" s="10">
        <f>IF(T16="","не применяется",IF(Q16=0,"не применяется",T16*S16/100))</f>
        <v>0.15</v>
      </c>
      <c r="V16" s="10">
        <f>IF(ISNUMBER(U16),U16,"")</f>
        <v>0.15</v>
      </c>
      <c r="W16" s="10">
        <f>IF(E16=1,Вес3.1/MIN(Вес3.1,Вес3.2,Вес3.3),"")</f>
        <v>3.3333333333333335</v>
      </c>
      <c r="X16" s="10">
        <f>IF(K16=1,Вес3.2/MIN(Вес3.1,Вес3.2,Вес3.3),"")</f>
        <v>2.3333333333333335</v>
      </c>
      <c r="Y16" s="10">
        <f>IF(Q16=1,Вес3.3/MIN(Вес3.1,Вес3.2,Вес3.3),"")</f>
        <v>1</v>
      </c>
      <c r="Z16" s="10">
        <f>SUM(W16:Y16)</f>
        <v>6.666666666666667</v>
      </c>
    </row>
    <row r="17" spans="1:26" x14ac:dyDescent="0.2">
      <c r="A17" s="1" t="s">
        <v>103</v>
      </c>
      <c r="B17" s="9" t="s">
        <v>22</v>
      </c>
      <c r="C17" s="10">
        <f>IF(D17&lt;&gt;1,"",SUM(J17,P17,V17))</f>
        <v>1</v>
      </c>
      <c r="D17" s="10">
        <f>IF(SUM(E17,K17,Q17)=0,0,1)</f>
        <v>1</v>
      </c>
      <c r="E17" s="56">
        <v>1</v>
      </c>
      <c r="F17" s="56">
        <v>0</v>
      </c>
      <c r="G17" s="56">
        <v>1</v>
      </c>
      <c r="H17" s="10">
        <f>IF(E17=1,(MIN(Вес3.1,Вес3.2,Вес3.3))*((100/MIN(Вес3.1,Вес3.2,Вес3.3))/Z17*Вес3.1/MIN(Вес3.1,Вес3.2,Вес3.3)),"")</f>
        <v>50</v>
      </c>
      <c r="I17" s="10">
        <f>IF(H17="","не применяется",IF(E17=0,"не применяется",H17*G17/100))</f>
        <v>0.5</v>
      </c>
      <c r="J17" s="10">
        <f>IF(ISNUMBER(I17),I17,"")</f>
        <v>0.5</v>
      </c>
      <c r="K17" s="56">
        <v>1</v>
      </c>
      <c r="L17" s="56">
        <v>0</v>
      </c>
      <c r="M17" s="56">
        <v>1</v>
      </c>
      <c r="N17" s="10">
        <f>IF(K17=1,(MIN(Вес3.1,Вес3.2,Вес3.3))*((100/MIN(Вес3.1,Вес3.2,Вес3.3))/Z17*Вес3.2/MIN(Вес3.1,Вес3.2,Вес3.3)),"")</f>
        <v>35</v>
      </c>
      <c r="O17" s="10">
        <f>IF(N17="","не применяется",IF(K17=0,"не применяется",N17*M17/100))</f>
        <v>0.35</v>
      </c>
      <c r="P17" s="10">
        <f>IF(ISNUMBER(O17),O17,"")</f>
        <v>0.35</v>
      </c>
      <c r="Q17" s="56">
        <v>1</v>
      </c>
      <c r="R17" s="56">
        <v>1</v>
      </c>
      <c r="S17" s="56">
        <v>1</v>
      </c>
      <c r="T17" s="10">
        <f>IF(Q17=1,(MIN(Вес3.1,Вес3.2,Вес3.3))*((100/MIN(Вес3.1,Вес3.2,Вес3.3))/Z17*Вес3.3/MIN(Вес3.1,Вес3.2,Вес3.3)),"")</f>
        <v>15</v>
      </c>
      <c r="U17" s="10">
        <f>IF(T17="","не применяется",IF(Q17=0,"не применяется",T17*S17/100))</f>
        <v>0.15</v>
      </c>
      <c r="V17" s="10">
        <f>IF(ISNUMBER(U17),U17,"")</f>
        <v>0.15</v>
      </c>
      <c r="W17" s="10">
        <f>IF(E17=1,Вес3.1/MIN(Вес3.1,Вес3.2,Вес3.3),"")</f>
        <v>3.3333333333333335</v>
      </c>
      <c r="X17" s="10">
        <f>IF(K17=1,Вес3.2/MIN(Вес3.1,Вес3.2,Вес3.3),"")</f>
        <v>2.3333333333333335</v>
      </c>
      <c r="Y17" s="10">
        <f>IF(Q17=1,Вес3.3/MIN(Вес3.1,Вес3.2,Вес3.3),"")</f>
        <v>1</v>
      </c>
      <c r="Z17" s="10">
        <f>SUM(W17:Y17)</f>
        <v>6.666666666666667</v>
      </c>
    </row>
    <row r="18" spans="1:26" ht="25.5" x14ac:dyDescent="0.2">
      <c r="A18" s="1" t="s">
        <v>104</v>
      </c>
      <c r="B18" s="9" t="s">
        <v>23</v>
      </c>
      <c r="C18" s="10">
        <f>IF(D18&lt;&gt;1,"",SUM(J18,P18,V18))</f>
        <v>0.65</v>
      </c>
      <c r="D18" s="10">
        <f>IF(SUM(E18,K18,Q18)=0,0,1)</f>
        <v>1</v>
      </c>
      <c r="E18" s="56">
        <v>1</v>
      </c>
      <c r="F18" s="56">
        <v>0</v>
      </c>
      <c r="G18" s="56">
        <v>1</v>
      </c>
      <c r="H18" s="10">
        <f>IF(E18=1,(MIN(Вес3.1,Вес3.2,Вес3.3))*((100/MIN(Вес3.1,Вес3.2,Вес3.3))/Z18*Вес3.1/MIN(Вес3.1,Вес3.2,Вес3.3)),"")</f>
        <v>50</v>
      </c>
      <c r="I18" s="10">
        <f>IF(H18="","не применяется",IF(E18=0,"не применяется",H18*G18/100))</f>
        <v>0.5</v>
      </c>
      <c r="J18" s="10">
        <f>IF(ISNUMBER(I18),I18,"")</f>
        <v>0.5</v>
      </c>
      <c r="K18" s="56">
        <v>1</v>
      </c>
      <c r="L18" s="56">
        <v>1</v>
      </c>
      <c r="M18" s="56">
        <v>0</v>
      </c>
      <c r="N18" s="10">
        <f>IF(K18=1,(MIN(Вес3.1,Вес3.2,Вес3.3))*((100/MIN(Вес3.1,Вес3.2,Вес3.3))/Z18*Вес3.2/MIN(Вес3.1,Вес3.2,Вес3.3)),"")</f>
        <v>35</v>
      </c>
      <c r="O18" s="10">
        <f>IF(N18="","не применяется",IF(K18=0,"не применяется",N18*M18/100))</f>
        <v>0</v>
      </c>
      <c r="P18" s="10">
        <f>IF(ISNUMBER(O18),O18,"")</f>
        <v>0</v>
      </c>
      <c r="Q18" s="56">
        <v>1</v>
      </c>
      <c r="R18" s="56">
        <v>1</v>
      </c>
      <c r="S18" s="56">
        <v>1</v>
      </c>
      <c r="T18" s="10">
        <f>IF(Q18=1,(MIN(Вес3.1,Вес3.2,Вес3.3))*((100/MIN(Вес3.1,Вес3.2,Вес3.3))/Z18*Вес3.3/MIN(Вес3.1,Вес3.2,Вес3.3)),"")</f>
        <v>15</v>
      </c>
      <c r="U18" s="10">
        <f>IF(T18="","не применяется",IF(Q18=0,"не применяется",T18*S18/100))</f>
        <v>0.15</v>
      </c>
      <c r="V18" s="10">
        <f>IF(ISNUMBER(U18),U18,"")</f>
        <v>0.15</v>
      </c>
      <c r="W18" s="10">
        <f>IF(E18=1,Вес3.1/MIN(Вес3.1,Вес3.2,Вес3.3),"")</f>
        <v>3.3333333333333335</v>
      </c>
      <c r="X18" s="10">
        <f>IF(K18=1,Вес3.2/MIN(Вес3.1,Вес3.2,Вес3.3),"")</f>
        <v>2.3333333333333335</v>
      </c>
      <c r="Y18" s="10">
        <f>IF(Q18=1,Вес3.3/MIN(Вес3.1,Вес3.2,Вес3.3),"")</f>
        <v>1</v>
      </c>
      <c r="Z18" s="10">
        <f>SUM(W18:Y18)</f>
        <v>6.666666666666667</v>
      </c>
    </row>
    <row r="19" spans="1:26" ht="25.5" x14ac:dyDescent="0.2">
      <c r="A19" s="1" t="s">
        <v>105</v>
      </c>
      <c r="B19" s="9" t="s">
        <v>24</v>
      </c>
      <c r="C19" s="10">
        <f>IF(D19&lt;&gt;1,"",SUM(J19,P19,V19))</f>
        <v>0.65</v>
      </c>
      <c r="D19" s="10">
        <f>IF(SUM(E19,K19,Q19)=0,0,1)</f>
        <v>1</v>
      </c>
      <c r="E19" s="56">
        <v>1</v>
      </c>
      <c r="F19" s="56">
        <v>0</v>
      </c>
      <c r="G19" s="56">
        <v>1</v>
      </c>
      <c r="H19" s="10">
        <f>IF(E19=1,(MIN(Вес3.1,Вес3.2,Вес3.3))*((100/MIN(Вес3.1,Вес3.2,Вес3.3))/Z19*Вес3.1/MIN(Вес3.1,Вес3.2,Вес3.3)),"")</f>
        <v>50</v>
      </c>
      <c r="I19" s="10">
        <f>IF(H19="","не применяется",IF(E19=0,"не применяется",H19*G19/100))</f>
        <v>0.5</v>
      </c>
      <c r="J19" s="10">
        <f>IF(ISNUMBER(I19),I19,"")</f>
        <v>0.5</v>
      </c>
      <c r="K19" s="56">
        <v>1</v>
      </c>
      <c r="L19" s="56">
        <v>1</v>
      </c>
      <c r="M19" s="56">
        <v>0</v>
      </c>
      <c r="N19" s="10">
        <f>IF(K19=1,(MIN(Вес3.1,Вес3.2,Вес3.3))*((100/MIN(Вес3.1,Вес3.2,Вес3.3))/Z19*Вес3.2/MIN(Вес3.1,Вес3.2,Вес3.3)),"")</f>
        <v>35</v>
      </c>
      <c r="O19" s="10">
        <f>IF(N19="","не применяется",IF(K19=0,"не применяется",N19*M19/100))</f>
        <v>0</v>
      </c>
      <c r="P19" s="10">
        <f>IF(ISNUMBER(O19),O19,"")</f>
        <v>0</v>
      </c>
      <c r="Q19" s="56">
        <v>1</v>
      </c>
      <c r="R19" s="56">
        <v>1</v>
      </c>
      <c r="S19" s="56">
        <v>1</v>
      </c>
      <c r="T19" s="10">
        <f>IF(Q19=1,(MIN(Вес3.1,Вес3.2,Вес3.3))*((100/MIN(Вес3.1,Вес3.2,Вес3.3))/Z19*Вес3.3/MIN(Вес3.1,Вес3.2,Вес3.3)),"")</f>
        <v>15</v>
      </c>
      <c r="U19" s="10">
        <f>IF(T19="","не применяется",IF(Q19=0,"не применяется",T19*S19/100))</f>
        <v>0.15</v>
      </c>
      <c r="V19" s="10">
        <f>IF(ISNUMBER(U19),U19,"")</f>
        <v>0.15</v>
      </c>
      <c r="W19" s="10">
        <f>IF(E19=1,Вес3.1/MIN(Вес3.1,Вес3.2,Вес3.3),"")</f>
        <v>3.3333333333333335</v>
      </c>
      <c r="X19" s="10">
        <f>IF(K19=1,Вес3.2/MIN(Вес3.1,Вес3.2,Вес3.3),"")</f>
        <v>2.3333333333333335</v>
      </c>
      <c r="Y19" s="10">
        <f>IF(Q19=1,Вес3.3/MIN(Вес3.1,Вес3.2,Вес3.3),"")</f>
        <v>1</v>
      </c>
      <c r="Z19" s="10">
        <f>SUM(W19:Y19)</f>
        <v>6.666666666666667</v>
      </c>
    </row>
    <row r="20" spans="1:26" ht="25.5" x14ac:dyDescent="0.2">
      <c r="A20" s="1" t="s">
        <v>106</v>
      </c>
      <c r="B20" s="9" t="s">
        <v>25</v>
      </c>
      <c r="C20" s="10">
        <f>IF(D20&lt;&gt;1,"",SUM(J20,P20,V20))</f>
        <v>0.65</v>
      </c>
      <c r="D20" s="10">
        <f>IF(SUM(E20,K20,Q20)=0,0,1)</f>
        <v>1</v>
      </c>
      <c r="E20" s="56">
        <v>1</v>
      </c>
      <c r="F20" s="56">
        <v>0</v>
      </c>
      <c r="G20" s="56">
        <v>1</v>
      </c>
      <c r="H20" s="10">
        <f>IF(E20=1,(MIN(Вес3.1,Вес3.2,Вес3.3))*((100/MIN(Вес3.1,Вес3.2,Вес3.3))/Z20*Вес3.1/MIN(Вес3.1,Вес3.2,Вес3.3)),"")</f>
        <v>50</v>
      </c>
      <c r="I20" s="10">
        <f>IF(H20="","не применяется",IF(E20=0,"не применяется",H20*G20/100))</f>
        <v>0.5</v>
      </c>
      <c r="J20" s="10">
        <f>IF(ISNUMBER(I20),I20,"")</f>
        <v>0.5</v>
      </c>
      <c r="K20" s="56">
        <v>1</v>
      </c>
      <c r="L20" s="56">
        <v>1</v>
      </c>
      <c r="M20" s="56">
        <v>0</v>
      </c>
      <c r="N20" s="10">
        <f>IF(K20=1,(MIN(Вес3.1,Вес3.2,Вес3.3))*((100/MIN(Вес3.1,Вес3.2,Вес3.3))/Z20*Вес3.2/MIN(Вес3.1,Вес3.2,Вес3.3)),"")</f>
        <v>35</v>
      </c>
      <c r="O20" s="10">
        <f>IF(N20="","не применяется",IF(K20=0,"не применяется",N20*M20/100))</f>
        <v>0</v>
      </c>
      <c r="P20" s="10">
        <f>IF(ISNUMBER(O20),O20,"")</f>
        <v>0</v>
      </c>
      <c r="Q20" s="56">
        <v>1</v>
      </c>
      <c r="R20" s="56">
        <v>1</v>
      </c>
      <c r="S20" s="56">
        <v>1</v>
      </c>
      <c r="T20" s="10">
        <f>IF(Q20=1,(MIN(Вес3.1,Вес3.2,Вес3.3))*((100/MIN(Вес3.1,Вес3.2,Вес3.3))/Z20*Вес3.3/MIN(Вес3.1,Вес3.2,Вес3.3)),"")</f>
        <v>15</v>
      </c>
      <c r="U20" s="10">
        <f>IF(T20="","не применяется",IF(Q20=0,"не применяется",T20*S20/100))</f>
        <v>0.15</v>
      </c>
      <c r="V20" s="10">
        <f>IF(ISNUMBER(U20),U20,"")</f>
        <v>0.15</v>
      </c>
      <c r="W20" s="10">
        <f>IF(E20=1,Вес3.1/MIN(Вес3.1,Вес3.2,Вес3.3),"")</f>
        <v>3.3333333333333335</v>
      </c>
      <c r="X20" s="10">
        <f>IF(K20=1,Вес3.2/MIN(Вес3.1,Вес3.2,Вес3.3),"")</f>
        <v>2.3333333333333335</v>
      </c>
      <c r="Y20" s="10">
        <f>IF(Q20=1,Вес3.3/MIN(Вес3.1,Вес3.2,Вес3.3),"")</f>
        <v>1</v>
      </c>
      <c r="Z20" s="10">
        <f>SUM(W20:Y20)</f>
        <v>6.666666666666667</v>
      </c>
    </row>
    <row r="21" spans="1:26" ht="25.5" x14ac:dyDescent="0.2">
      <c r="A21" s="1" t="s">
        <v>107</v>
      </c>
      <c r="B21" s="9" t="s">
        <v>26</v>
      </c>
      <c r="C21" s="10">
        <f>IF(D21&lt;&gt;1,"",SUM(J21,P21,V21))</f>
        <v>0.15</v>
      </c>
      <c r="D21" s="10">
        <f>IF(SUM(E21,K21,Q21)=0,0,1)</f>
        <v>1</v>
      </c>
      <c r="E21" s="56">
        <v>1</v>
      </c>
      <c r="F21" s="56">
        <v>2.5600000000000001E-2</v>
      </c>
      <c r="G21" s="56">
        <v>0</v>
      </c>
      <c r="H21" s="10">
        <f>IF(E21=1,(MIN(Вес3.1,Вес3.2,Вес3.3))*((100/MIN(Вес3.1,Вес3.2,Вес3.3))/Z21*Вес3.1/MIN(Вес3.1,Вес3.2,Вес3.3)),"")</f>
        <v>50</v>
      </c>
      <c r="I21" s="10">
        <f>IF(H21="","не применяется",IF(E21=0,"не применяется",H21*G21/100))</f>
        <v>0</v>
      </c>
      <c r="J21" s="10">
        <f>IF(ISNUMBER(I21),I21,"")</f>
        <v>0</v>
      </c>
      <c r="K21" s="56">
        <v>1</v>
      </c>
      <c r="L21" s="56">
        <v>1</v>
      </c>
      <c r="M21" s="56">
        <v>0</v>
      </c>
      <c r="N21" s="10">
        <f>IF(K21=1,(MIN(Вес3.1,Вес3.2,Вес3.3))*((100/MIN(Вес3.1,Вес3.2,Вес3.3))/Z21*Вес3.2/MIN(Вес3.1,Вес3.2,Вес3.3)),"")</f>
        <v>35</v>
      </c>
      <c r="O21" s="10">
        <f>IF(N21="","не применяется",IF(K21=0,"не применяется",N21*M21/100))</f>
        <v>0</v>
      </c>
      <c r="P21" s="10">
        <f>IF(ISNUMBER(O21),O21,"")</f>
        <v>0</v>
      </c>
      <c r="Q21" s="56">
        <v>1</v>
      </c>
      <c r="R21" s="56">
        <v>1</v>
      </c>
      <c r="S21" s="56">
        <v>1</v>
      </c>
      <c r="T21" s="10">
        <f>IF(Q21=1,(MIN(Вес3.1,Вес3.2,Вес3.3))*((100/MIN(Вес3.1,Вес3.2,Вес3.3))/Z21*Вес3.3/MIN(Вес3.1,Вес3.2,Вес3.3)),"")</f>
        <v>15</v>
      </c>
      <c r="U21" s="10">
        <f>IF(T21="","не применяется",IF(Q21=0,"не применяется",T21*S21/100))</f>
        <v>0.15</v>
      </c>
      <c r="V21" s="10">
        <f>IF(ISNUMBER(U21),U21,"")</f>
        <v>0.15</v>
      </c>
      <c r="W21" s="10">
        <f>IF(E21=1,Вес3.1/MIN(Вес3.1,Вес3.2,Вес3.3),"")</f>
        <v>3.3333333333333335</v>
      </c>
      <c r="X21" s="10">
        <f>IF(K21=1,Вес3.2/MIN(Вес3.1,Вес3.2,Вес3.3),"")</f>
        <v>2.3333333333333335</v>
      </c>
      <c r="Y21" s="10">
        <f>IF(Q21=1,Вес3.3/MIN(Вес3.1,Вес3.2,Вес3.3),"")</f>
        <v>1</v>
      </c>
      <c r="Z21" s="10">
        <f>SUM(W21:Y21)</f>
        <v>6.666666666666667</v>
      </c>
    </row>
    <row r="22" spans="1:26" ht="25.5" x14ac:dyDescent="0.2">
      <c r="A22" s="1" t="s">
        <v>108</v>
      </c>
      <c r="B22" s="9" t="s">
        <v>51</v>
      </c>
      <c r="C22" s="10">
        <f>IF(D22&lt;&gt;1,"",SUM(J22,P22,V22))</f>
        <v>0.15</v>
      </c>
      <c r="D22" s="10">
        <f>IF(SUM(E22,K22,Q22)=0,0,1)</f>
        <v>1</v>
      </c>
      <c r="E22" s="56">
        <v>1</v>
      </c>
      <c r="F22" s="56">
        <v>1.6999999999999999E-3</v>
      </c>
      <c r="G22" s="56">
        <v>0</v>
      </c>
      <c r="H22" s="10">
        <f>IF(E22=1,(MIN(Вес3.1,Вес3.2,Вес3.3))*((100/MIN(Вес3.1,Вес3.2,Вес3.3))/Z22*Вес3.1/MIN(Вес3.1,Вес3.2,Вес3.3)),"")</f>
        <v>50</v>
      </c>
      <c r="I22" s="10">
        <f>IF(H22="","не применяется",IF(E22=0,"не применяется",H22*G22/100))</f>
        <v>0</v>
      </c>
      <c r="J22" s="10">
        <f>IF(ISNUMBER(I22),I22,"")</f>
        <v>0</v>
      </c>
      <c r="K22" s="56">
        <v>1</v>
      </c>
      <c r="L22" s="56">
        <v>1</v>
      </c>
      <c r="M22" s="56">
        <v>0</v>
      </c>
      <c r="N22" s="10">
        <f>IF(K22=1,(MIN(Вес3.1,Вес3.2,Вес3.3))*((100/MIN(Вес3.1,Вес3.2,Вес3.3))/Z22*Вес3.2/MIN(Вес3.1,Вес3.2,Вес3.3)),"")</f>
        <v>35</v>
      </c>
      <c r="O22" s="10">
        <f>IF(N22="","не применяется",IF(K22=0,"не применяется",N22*M22/100))</f>
        <v>0</v>
      </c>
      <c r="P22" s="10">
        <f>IF(ISNUMBER(O22),O22,"")</f>
        <v>0</v>
      </c>
      <c r="Q22" s="56">
        <v>1</v>
      </c>
      <c r="R22" s="56">
        <v>1</v>
      </c>
      <c r="S22" s="56">
        <v>1</v>
      </c>
      <c r="T22" s="10">
        <f>IF(Q22=1,(MIN(Вес3.1,Вес3.2,Вес3.3))*((100/MIN(Вес3.1,Вес3.2,Вес3.3))/Z22*Вес3.3/MIN(Вес3.1,Вес3.2,Вес3.3)),"")</f>
        <v>15</v>
      </c>
      <c r="U22" s="10">
        <f>IF(T22="","не применяется",IF(Q22=0,"не применяется",T22*S22/100))</f>
        <v>0.15</v>
      </c>
      <c r="V22" s="10">
        <f>IF(ISNUMBER(U22),U22,"")</f>
        <v>0.15</v>
      </c>
      <c r="W22" s="10">
        <f>IF(E22=1,Вес3.1/MIN(Вес3.1,Вес3.2,Вес3.3),"")</f>
        <v>3.3333333333333335</v>
      </c>
      <c r="X22" s="10">
        <f>IF(K22=1,Вес3.2/MIN(Вес3.1,Вес3.2,Вес3.3),"")</f>
        <v>2.3333333333333335</v>
      </c>
      <c r="Y22" s="10">
        <f>IF(Q22=1,Вес3.3/MIN(Вес3.1,Вес3.2,Вес3.3),"")</f>
        <v>1</v>
      </c>
      <c r="Z22" s="10">
        <f>SUM(W22:Y22)</f>
        <v>6.666666666666667</v>
      </c>
    </row>
    <row r="23" spans="1:26" x14ac:dyDescent="0.2">
      <c r="A23" s="1" t="s">
        <v>109</v>
      </c>
      <c r="B23" s="9" t="s">
        <v>27</v>
      </c>
      <c r="C23" s="10">
        <f>IF(D23&lt;&gt;1,"",SUM(J23,P23,V23))</f>
        <v>0.15</v>
      </c>
      <c r="D23" s="10">
        <f>IF(SUM(E23,K23,Q23)=0,0,1)</f>
        <v>1</v>
      </c>
      <c r="E23" s="56">
        <v>1</v>
      </c>
      <c r="F23" s="56">
        <v>9.1000000000000004E-3</v>
      </c>
      <c r="G23" s="56">
        <v>0</v>
      </c>
      <c r="H23" s="10">
        <f>IF(E23=1,(MIN(Вес3.1,Вес3.2,Вес3.3))*((100/MIN(Вес3.1,Вес3.2,Вес3.3))/Z23*Вес3.1/MIN(Вес3.1,Вес3.2,Вес3.3)),"")</f>
        <v>50</v>
      </c>
      <c r="I23" s="10">
        <f>IF(H23="","не применяется",IF(E23=0,"не применяется",H23*G23/100))</f>
        <v>0</v>
      </c>
      <c r="J23" s="10">
        <f>IF(ISNUMBER(I23),I23,"")</f>
        <v>0</v>
      </c>
      <c r="K23" s="56">
        <v>1</v>
      </c>
      <c r="L23" s="56">
        <v>1</v>
      </c>
      <c r="M23" s="56">
        <v>0</v>
      </c>
      <c r="N23" s="10">
        <f>IF(K23=1,(MIN(Вес3.1,Вес3.2,Вес3.3))*((100/MIN(Вес3.1,Вес3.2,Вес3.3))/Z23*Вес3.2/MIN(Вес3.1,Вес3.2,Вес3.3)),"")</f>
        <v>35</v>
      </c>
      <c r="O23" s="10">
        <f>IF(N23="","не применяется",IF(K23=0,"не применяется",N23*M23/100))</f>
        <v>0</v>
      </c>
      <c r="P23" s="10">
        <f>IF(ISNUMBER(O23),O23,"")</f>
        <v>0</v>
      </c>
      <c r="Q23" s="56">
        <v>1</v>
      </c>
      <c r="R23" s="56">
        <v>1</v>
      </c>
      <c r="S23" s="56">
        <v>1</v>
      </c>
      <c r="T23" s="10">
        <f>IF(Q23=1,(MIN(Вес3.1,Вес3.2,Вес3.3))*((100/MIN(Вес3.1,Вес3.2,Вес3.3))/Z23*Вес3.3/MIN(Вес3.1,Вес3.2,Вес3.3)),"")</f>
        <v>15</v>
      </c>
      <c r="U23" s="10">
        <f>IF(T23="","не применяется",IF(Q23=0,"не применяется",T23*S23/100))</f>
        <v>0.15</v>
      </c>
      <c r="V23" s="10">
        <f>IF(ISNUMBER(U23),U23,"")</f>
        <v>0.15</v>
      </c>
      <c r="W23" s="10">
        <f>IF(E23=1,Вес3.1/MIN(Вес3.1,Вес3.2,Вес3.3),"")</f>
        <v>3.3333333333333335</v>
      </c>
      <c r="X23" s="10">
        <f>IF(K23=1,Вес3.2/MIN(Вес3.1,Вес3.2,Вес3.3),"")</f>
        <v>2.3333333333333335</v>
      </c>
      <c r="Y23" s="10">
        <f>IF(Q23=1,Вес3.3/MIN(Вес3.1,Вес3.2,Вес3.3),"")</f>
        <v>1</v>
      </c>
      <c r="Z23" s="10">
        <f>SUM(W23:Y23)</f>
        <v>6.666666666666667</v>
      </c>
    </row>
    <row r="24" spans="1:26" x14ac:dyDescent="0.2">
      <c r="A24" s="1" t="s">
        <v>110</v>
      </c>
      <c r="B24" s="9" t="s">
        <v>28</v>
      </c>
      <c r="C24" s="10">
        <f>IF(D24&lt;&gt;1,"",SUM(J24,P24,V24))</f>
        <v>0.15</v>
      </c>
      <c r="D24" s="10">
        <f>IF(SUM(E24,K24,Q24)=0,0,1)</f>
        <v>1</v>
      </c>
      <c r="E24" s="56">
        <v>1</v>
      </c>
      <c r="F24" s="56">
        <v>0.26729999999999998</v>
      </c>
      <c r="G24" s="56">
        <v>0</v>
      </c>
      <c r="H24" s="10">
        <f>IF(E24=1,(MIN(Вес3.1,Вес3.2,Вес3.3))*((100/MIN(Вес3.1,Вес3.2,Вес3.3))/Z24*Вес3.1/MIN(Вес3.1,Вес3.2,Вес3.3)),"")</f>
        <v>50</v>
      </c>
      <c r="I24" s="10">
        <f>IF(H24="","не применяется",IF(E24=0,"не применяется",H24*G24/100))</f>
        <v>0</v>
      </c>
      <c r="J24" s="10">
        <f>IF(ISNUMBER(I24),I24,"")</f>
        <v>0</v>
      </c>
      <c r="K24" s="56">
        <v>1</v>
      </c>
      <c r="L24" s="56">
        <v>1</v>
      </c>
      <c r="M24" s="56">
        <v>0</v>
      </c>
      <c r="N24" s="10">
        <f>IF(K24=1,(MIN(Вес3.1,Вес3.2,Вес3.3))*((100/MIN(Вес3.1,Вес3.2,Вес3.3))/Z24*Вес3.2/MIN(Вес3.1,Вес3.2,Вес3.3)),"")</f>
        <v>35</v>
      </c>
      <c r="O24" s="10">
        <f>IF(N24="","не применяется",IF(K24=0,"не применяется",N24*M24/100))</f>
        <v>0</v>
      </c>
      <c r="P24" s="10">
        <f>IF(ISNUMBER(O24),O24,"")</f>
        <v>0</v>
      </c>
      <c r="Q24" s="56">
        <v>1</v>
      </c>
      <c r="R24" s="56">
        <v>1</v>
      </c>
      <c r="S24" s="56">
        <v>1</v>
      </c>
      <c r="T24" s="10">
        <f>IF(Q24=1,(MIN(Вес3.1,Вес3.2,Вес3.3))*((100/MIN(Вес3.1,Вес3.2,Вес3.3))/Z24*Вес3.3/MIN(Вес3.1,Вес3.2,Вес3.3)),"")</f>
        <v>15</v>
      </c>
      <c r="U24" s="10">
        <f>IF(T24="","не применяется",IF(Q24=0,"не применяется",T24*S24/100))</f>
        <v>0.15</v>
      </c>
      <c r="V24" s="10">
        <f>IF(ISNUMBER(U24),U24,"")</f>
        <v>0.15</v>
      </c>
      <c r="W24" s="10">
        <f>IF(E24=1,Вес3.1/MIN(Вес3.1,Вес3.2,Вес3.3),"")</f>
        <v>3.3333333333333335</v>
      </c>
      <c r="X24" s="10">
        <f>IF(K24=1,Вес3.2/MIN(Вес3.1,Вес3.2,Вес3.3),"")</f>
        <v>2.3333333333333335</v>
      </c>
      <c r="Y24" s="10">
        <f>IF(Q24=1,Вес3.3/MIN(Вес3.1,Вес3.2,Вес3.3),"")</f>
        <v>1</v>
      </c>
      <c r="Z24" s="10">
        <f>SUM(W24:Y24)</f>
        <v>6.666666666666667</v>
      </c>
    </row>
    <row r="25" spans="1:26" ht="25.5" x14ac:dyDescent="0.2">
      <c r="A25" s="1" t="s">
        <v>121</v>
      </c>
      <c r="B25" s="9" t="s">
        <v>120</v>
      </c>
      <c r="C25" s="10">
        <f>IF(D25&lt;&gt;1,"",SUM(J25,P25,V25))</f>
        <v>0.15</v>
      </c>
      <c r="D25" s="10">
        <f>IF(SUM(E25,K25,Q25)=0,0,1)</f>
        <v>1</v>
      </c>
      <c r="E25" s="56">
        <v>1</v>
      </c>
      <c r="F25" s="56">
        <v>1.5E-3</v>
      </c>
      <c r="G25" s="56">
        <v>0</v>
      </c>
      <c r="H25" s="10">
        <f>IF(E25=1,(MIN(Вес3.1,Вес3.2,Вес3.3))*((100/MIN(Вес3.1,Вес3.2,Вес3.3))/Z25*Вес3.1/MIN(Вес3.1,Вес3.2,Вес3.3)),"")</f>
        <v>50</v>
      </c>
      <c r="I25" s="10">
        <f>IF(H25="","не применяется",IF(E25=0,"не применяется",H25*G25/100))</f>
        <v>0</v>
      </c>
      <c r="J25" s="10">
        <f>IF(ISNUMBER(I25),I25,"")</f>
        <v>0</v>
      </c>
      <c r="K25" s="56">
        <v>1</v>
      </c>
      <c r="L25" s="56">
        <v>1</v>
      </c>
      <c r="M25" s="56">
        <v>0</v>
      </c>
      <c r="N25" s="10">
        <f>IF(K25=1,(MIN(Вес3.1,Вес3.2,Вес3.3))*((100/MIN(Вес3.1,Вес3.2,Вес3.3))/Z25*Вес3.2/MIN(Вес3.1,Вес3.2,Вес3.3)),"")</f>
        <v>35</v>
      </c>
      <c r="O25" s="10">
        <f>IF(N25="","не применяется",IF(K25=0,"не применяется",N25*M25/100))</f>
        <v>0</v>
      </c>
      <c r="P25" s="10">
        <f>IF(ISNUMBER(O25),O25,"")</f>
        <v>0</v>
      </c>
      <c r="Q25" s="56">
        <v>1</v>
      </c>
      <c r="R25" s="56">
        <v>1</v>
      </c>
      <c r="S25" s="56">
        <v>1</v>
      </c>
      <c r="T25" s="10">
        <f>IF(Q25=1,(MIN(Вес3.1,Вес3.2,Вес3.3))*((100/MIN(Вес3.1,Вес3.2,Вес3.3))/Z25*Вес3.3/MIN(Вес3.1,Вес3.2,Вес3.3)),"")</f>
        <v>15</v>
      </c>
      <c r="U25" s="10">
        <f>IF(T25="","не применяется",IF(Q25=0,"не применяется",T25*S25/100))</f>
        <v>0.15</v>
      </c>
      <c r="V25" s="10">
        <f>IF(ISNUMBER(U25),U25,"")</f>
        <v>0.15</v>
      </c>
      <c r="W25" s="10">
        <f>IF(E25=1,Вес3.1/MIN(Вес3.1,Вес3.2,Вес3.3),"")</f>
        <v>3.3333333333333335</v>
      </c>
      <c r="X25" s="10">
        <f>IF(K25=1,Вес3.2/MIN(Вес3.1,Вес3.2,Вес3.3),"")</f>
        <v>2.3333333333333335</v>
      </c>
      <c r="Y25" s="10">
        <f>IF(Q25=1,Вес3.3/MIN(Вес3.1,Вес3.2,Вес3.3),"")</f>
        <v>1</v>
      </c>
      <c r="Z25" s="10">
        <f>SUM(W25:Y25)</f>
        <v>6.666666666666667</v>
      </c>
    </row>
    <row r="26" spans="1:26" x14ac:dyDescent="0.2">
      <c r="A26" s="1" t="s">
        <v>111</v>
      </c>
      <c r="B26" s="9" t="s">
        <v>29</v>
      </c>
      <c r="C26" s="10">
        <f>IF(D26&lt;&gt;1,"",SUM(J26,P26,V26))</f>
        <v>0.15</v>
      </c>
      <c r="D26" s="10">
        <f>IF(SUM(E26,K26,Q26)=0,0,1)</f>
        <v>1</v>
      </c>
      <c r="E26" s="56">
        <v>1</v>
      </c>
      <c r="F26" s="56">
        <v>0.15659999999999999</v>
      </c>
      <c r="G26" s="56">
        <v>0</v>
      </c>
      <c r="H26" s="10">
        <f>IF(E26=1,(MIN(Вес3.1,Вес3.2,Вес3.3))*((100/MIN(Вес3.1,Вес3.2,Вес3.3))/Z26*Вес3.1/MIN(Вес3.1,Вес3.2,Вес3.3)),"")</f>
        <v>50</v>
      </c>
      <c r="I26" s="10">
        <f>IF(H26="","не применяется",IF(E26=0,"не применяется",H26*G26/100))</f>
        <v>0</v>
      </c>
      <c r="J26" s="10">
        <f>IF(ISNUMBER(I26),I26,"")</f>
        <v>0</v>
      </c>
      <c r="K26" s="56">
        <v>1</v>
      </c>
      <c r="L26" s="56">
        <v>1</v>
      </c>
      <c r="M26" s="56">
        <v>0</v>
      </c>
      <c r="N26" s="10">
        <f>IF(K26=1,(MIN(Вес3.1,Вес3.2,Вес3.3))*((100/MIN(Вес3.1,Вес3.2,Вес3.3))/Z26*Вес3.2/MIN(Вес3.1,Вес3.2,Вес3.3)),"")</f>
        <v>35</v>
      </c>
      <c r="O26" s="10">
        <f>IF(N26="","не применяется",IF(K26=0,"не применяется",N26*M26/100))</f>
        <v>0</v>
      </c>
      <c r="P26" s="10">
        <f>IF(ISNUMBER(O26),O26,"")</f>
        <v>0</v>
      </c>
      <c r="Q26" s="56">
        <v>1</v>
      </c>
      <c r="R26" s="56">
        <v>1</v>
      </c>
      <c r="S26" s="56">
        <v>1</v>
      </c>
      <c r="T26" s="10">
        <f>IF(Q26=1,(MIN(Вес3.1,Вес3.2,Вес3.3))*((100/MIN(Вес3.1,Вес3.2,Вес3.3))/Z26*Вес3.3/MIN(Вес3.1,Вес3.2,Вес3.3)),"")</f>
        <v>15</v>
      </c>
      <c r="U26" s="10">
        <f>IF(T26="","не применяется",IF(Q26=0,"не применяется",T26*S26/100))</f>
        <v>0.15</v>
      </c>
      <c r="V26" s="10">
        <f>IF(ISNUMBER(U26),U26,"")</f>
        <v>0.15</v>
      </c>
      <c r="W26" s="10">
        <f>IF(E26=1,Вес3.1/MIN(Вес3.1,Вес3.2,Вес3.3),"")</f>
        <v>3.3333333333333335</v>
      </c>
      <c r="X26" s="10">
        <f>IF(K26=1,Вес3.2/MIN(Вес3.1,Вес3.2,Вес3.3),"")</f>
        <v>2.3333333333333335</v>
      </c>
      <c r="Y26" s="10">
        <f>IF(Q26=1,Вес3.3/MIN(Вес3.1,Вес3.2,Вес3.3),"")</f>
        <v>1</v>
      </c>
      <c r="Z26" s="10">
        <f>SUM(W26:Y26)</f>
        <v>6.666666666666667</v>
      </c>
    </row>
    <row r="27" spans="1:26" x14ac:dyDescent="0.2">
      <c r="A27" s="1" t="s">
        <v>112</v>
      </c>
      <c r="B27" s="9" t="s">
        <v>30</v>
      </c>
      <c r="C27" s="10">
        <f>IF(D27&lt;&gt;1,"",SUM(J27,P27,V27))</f>
        <v>0.65</v>
      </c>
      <c r="D27" s="10">
        <f>IF(SUM(E27,K27,Q27)=0,0,1)</f>
        <v>1</v>
      </c>
      <c r="E27" s="56">
        <v>1</v>
      </c>
      <c r="F27" s="56">
        <v>0</v>
      </c>
      <c r="G27" s="56">
        <v>1</v>
      </c>
      <c r="H27" s="10">
        <f>IF(E27=1,(MIN(Вес3.1,Вес3.2,Вес3.3))*((100/MIN(Вес3.1,Вес3.2,Вес3.3))/Z27*Вес3.1/MIN(Вес3.1,Вес3.2,Вес3.3)),"")</f>
        <v>50</v>
      </c>
      <c r="I27" s="10">
        <f>IF(H27="","не применяется",IF(E27=0,"не применяется",H27*G27/100))</f>
        <v>0.5</v>
      </c>
      <c r="J27" s="10">
        <f>IF(ISNUMBER(I27),I27,"")</f>
        <v>0.5</v>
      </c>
      <c r="K27" s="56">
        <v>1</v>
      </c>
      <c r="L27" s="56">
        <v>1</v>
      </c>
      <c r="M27" s="56">
        <v>0</v>
      </c>
      <c r="N27" s="10">
        <f>IF(K27=1,(MIN(Вес3.1,Вес3.2,Вес3.3))*((100/MIN(Вес3.1,Вес3.2,Вес3.3))/Z27*Вес3.2/MIN(Вес3.1,Вес3.2,Вес3.3)),"")</f>
        <v>35</v>
      </c>
      <c r="O27" s="10">
        <f>IF(N27="","не применяется",IF(K27=0,"не применяется",N27*M27/100))</f>
        <v>0</v>
      </c>
      <c r="P27" s="10">
        <f>IF(ISNUMBER(O27),O27,"")</f>
        <v>0</v>
      </c>
      <c r="Q27" s="56">
        <v>1</v>
      </c>
      <c r="R27" s="56">
        <v>1</v>
      </c>
      <c r="S27" s="56">
        <v>1</v>
      </c>
      <c r="T27" s="10">
        <f>IF(Q27=1,(MIN(Вес3.1,Вес3.2,Вес3.3))*((100/MIN(Вес3.1,Вес3.2,Вес3.3))/Z27*Вес3.3/MIN(Вес3.1,Вес3.2,Вес3.3)),"")</f>
        <v>15</v>
      </c>
      <c r="U27" s="10">
        <f>IF(T27="","не применяется",IF(Q27=0,"не применяется",T27*S27/100))</f>
        <v>0.15</v>
      </c>
      <c r="V27" s="10">
        <f>IF(ISNUMBER(U27),U27,"")</f>
        <v>0.15</v>
      </c>
      <c r="W27" s="10">
        <f>IF(E27=1,Вес3.1/MIN(Вес3.1,Вес3.2,Вес3.3),"")</f>
        <v>3.3333333333333335</v>
      </c>
      <c r="X27" s="10">
        <f>IF(K27=1,Вес3.2/MIN(Вес3.1,Вес3.2,Вес3.3),"")</f>
        <v>2.3333333333333335</v>
      </c>
      <c r="Y27" s="10">
        <f>IF(Q27=1,Вес3.3/MIN(Вес3.1,Вес3.2,Вес3.3),"")</f>
        <v>1</v>
      </c>
      <c r="Z27" s="10">
        <f>SUM(W27:Y27)</f>
        <v>6.666666666666667</v>
      </c>
    </row>
    <row r="28" spans="1:26" x14ac:dyDescent="0.2">
      <c r="A28" s="1" t="s">
        <v>113</v>
      </c>
      <c r="B28" s="9" t="s">
        <v>31</v>
      </c>
      <c r="C28" s="10">
        <f>IF(D28&lt;&gt;1,"",SUM(J28,P28,V28))</f>
        <v>0.65</v>
      </c>
      <c r="D28" s="10">
        <f>IF(SUM(E28,K28,Q28)=0,0,1)</f>
        <v>1</v>
      </c>
      <c r="E28" s="56">
        <v>1</v>
      </c>
      <c r="F28" s="56">
        <v>0</v>
      </c>
      <c r="G28" s="56">
        <v>1</v>
      </c>
      <c r="H28" s="10">
        <f>IF(E28=1,(MIN(Вес3.1,Вес3.2,Вес3.3))*((100/MIN(Вес3.1,Вес3.2,Вес3.3))/Z28*Вес3.1/MIN(Вес3.1,Вес3.2,Вес3.3)),"")</f>
        <v>50</v>
      </c>
      <c r="I28" s="10">
        <f>IF(H28="","не применяется",IF(E28=0,"не применяется",H28*G28/100))</f>
        <v>0.5</v>
      </c>
      <c r="J28" s="10">
        <f>IF(ISNUMBER(I28),I28,"")</f>
        <v>0.5</v>
      </c>
      <c r="K28" s="56">
        <v>1</v>
      </c>
      <c r="L28" s="56">
        <v>1</v>
      </c>
      <c r="M28" s="56">
        <v>0</v>
      </c>
      <c r="N28" s="10">
        <f>IF(K28=1,(MIN(Вес3.1,Вес3.2,Вес3.3))*((100/MIN(Вес3.1,Вес3.2,Вес3.3))/Z28*Вес3.2/MIN(Вес3.1,Вес3.2,Вес3.3)),"")</f>
        <v>35</v>
      </c>
      <c r="O28" s="10">
        <f>IF(N28="","не применяется",IF(K28=0,"не применяется",N28*M28/100))</f>
        <v>0</v>
      </c>
      <c r="P28" s="10">
        <f>IF(ISNUMBER(O28),O28,"")</f>
        <v>0</v>
      </c>
      <c r="Q28" s="56">
        <v>1</v>
      </c>
      <c r="R28" s="56">
        <v>1</v>
      </c>
      <c r="S28" s="56">
        <v>1</v>
      </c>
      <c r="T28" s="10">
        <f>IF(Q28=1,(MIN(Вес3.1,Вес3.2,Вес3.3))*((100/MIN(Вес3.1,Вес3.2,Вес3.3))/Z28*Вес3.3/MIN(Вес3.1,Вес3.2,Вес3.3)),"")</f>
        <v>15</v>
      </c>
      <c r="U28" s="10">
        <f>IF(T28="","не применяется",IF(Q28=0,"не применяется",T28*S28/100))</f>
        <v>0.15</v>
      </c>
      <c r="V28" s="10">
        <f>IF(ISNUMBER(U28),U28,"")</f>
        <v>0.15</v>
      </c>
      <c r="W28" s="10">
        <f>IF(E28=1,Вес3.1/MIN(Вес3.1,Вес3.2,Вес3.3),"")</f>
        <v>3.3333333333333335</v>
      </c>
      <c r="X28" s="10">
        <f>IF(K28=1,Вес3.2/MIN(Вес3.1,Вес3.2,Вес3.3),"")</f>
        <v>2.3333333333333335</v>
      </c>
      <c r="Y28" s="10">
        <f>IF(Q28=1,Вес3.3/MIN(Вес3.1,Вес3.2,Вес3.3),"")</f>
        <v>1</v>
      </c>
      <c r="Z28" s="10">
        <f>SUM(W28:Y28)</f>
        <v>6.666666666666667</v>
      </c>
    </row>
    <row r="29" spans="1:26" x14ac:dyDescent="0.2">
      <c r="A29" s="1" t="s">
        <v>114</v>
      </c>
      <c r="B29" s="9" t="s">
        <v>32</v>
      </c>
      <c r="C29" s="10">
        <f>IF(D29&lt;&gt;1,"",SUM(J29,P29,V29))</f>
        <v>0.65</v>
      </c>
      <c r="D29" s="10">
        <f>IF(SUM(E29,K29,Q29)=0,0,1)</f>
        <v>1</v>
      </c>
      <c r="E29" s="56">
        <v>1</v>
      </c>
      <c r="F29" s="56">
        <v>0</v>
      </c>
      <c r="G29" s="56">
        <v>1</v>
      </c>
      <c r="H29" s="10">
        <f>IF(E29=1,(MIN(Вес3.1,Вес3.2,Вес3.3))*((100/MIN(Вес3.1,Вес3.2,Вес3.3))/Z29*Вес3.1/MIN(Вес3.1,Вес3.2,Вес3.3)),"")</f>
        <v>50</v>
      </c>
      <c r="I29" s="10">
        <f>IF(H29="","не применяется",IF(E29=0,"не применяется",H29*G29/100))</f>
        <v>0.5</v>
      </c>
      <c r="J29" s="10">
        <f>IF(ISNUMBER(I29),I29,"")</f>
        <v>0.5</v>
      </c>
      <c r="K29" s="56">
        <v>1</v>
      </c>
      <c r="L29" s="56">
        <v>1</v>
      </c>
      <c r="M29" s="56">
        <v>0</v>
      </c>
      <c r="N29" s="10">
        <f>IF(K29=1,(MIN(Вес3.1,Вес3.2,Вес3.3))*((100/MIN(Вес3.1,Вес3.2,Вес3.3))/Z29*Вес3.2/MIN(Вес3.1,Вес3.2,Вес3.3)),"")</f>
        <v>35</v>
      </c>
      <c r="O29" s="10">
        <f>IF(N29="","не применяется",IF(K29=0,"не применяется",N29*M29/100))</f>
        <v>0</v>
      </c>
      <c r="P29" s="10">
        <f>IF(ISNUMBER(O29),O29,"")</f>
        <v>0</v>
      </c>
      <c r="Q29" s="56">
        <v>1</v>
      </c>
      <c r="R29" s="56">
        <v>1</v>
      </c>
      <c r="S29" s="56">
        <v>1</v>
      </c>
      <c r="T29" s="10">
        <f>IF(Q29=1,(MIN(Вес3.1,Вес3.2,Вес3.3))*((100/MIN(Вес3.1,Вес3.2,Вес3.3))/Z29*Вес3.3/MIN(Вес3.1,Вес3.2,Вес3.3)),"")</f>
        <v>15</v>
      </c>
      <c r="U29" s="10">
        <f>IF(T29="","не применяется",IF(Q29=0,"не применяется",T29*S29/100))</f>
        <v>0.15</v>
      </c>
      <c r="V29" s="10">
        <f>IF(ISNUMBER(U29),U29,"")</f>
        <v>0.15</v>
      </c>
      <c r="W29" s="10">
        <f>IF(E29=1,Вес3.1/MIN(Вес3.1,Вес3.2,Вес3.3),"")</f>
        <v>3.3333333333333335</v>
      </c>
      <c r="X29" s="10">
        <f>IF(K29=1,Вес3.2/MIN(Вес3.1,Вес3.2,Вес3.3),"")</f>
        <v>2.3333333333333335</v>
      </c>
      <c r="Y29" s="10">
        <f>IF(Q29=1,Вес3.3/MIN(Вес3.1,Вес3.2,Вес3.3),"")</f>
        <v>1</v>
      </c>
      <c r="Z29" s="10">
        <f>SUM(W29:Y29)</f>
        <v>6.666666666666667</v>
      </c>
    </row>
    <row r="30" spans="1:26" ht="25.5" x14ac:dyDescent="0.2">
      <c r="A30" s="1" t="s">
        <v>115</v>
      </c>
      <c r="B30" s="9" t="s">
        <v>33</v>
      </c>
      <c r="C30" s="10">
        <f>IF(D30&lt;&gt;1,"",SUM(J30,P30,V30))</f>
        <v>1</v>
      </c>
      <c r="D30" s="10">
        <f>IF(SUM(E30,K30,Q30)=0,0,1)</f>
        <v>1</v>
      </c>
      <c r="E30" s="56">
        <v>1</v>
      </c>
      <c r="F30" s="56">
        <v>0</v>
      </c>
      <c r="G30" s="56">
        <v>1</v>
      </c>
      <c r="H30" s="10">
        <f>IF(E30=1,(MIN(Вес3.1,Вес3.2,Вес3.3))*((100/MIN(Вес3.1,Вес3.2,Вес3.3))/Z30*Вес3.1/MIN(Вес3.1,Вес3.2,Вес3.3)),"")</f>
        <v>50</v>
      </c>
      <c r="I30" s="10">
        <f>IF(H30="","не применяется",IF(E30=0,"не применяется",H30*G30/100))</f>
        <v>0.5</v>
      </c>
      <c r="J30" s="10">
        <f>IF(ISNUMBER(I30),I30,"")</f>
        <v>0.5</v>
      </c>
      <c r="K30" s="56">
        <v>1</v>
      </c>
      <c r="L30" s="56">
        <v>0</v>
      </c>
      <c r="M30" s="56">
        <v>1</v>
      </c>
      <c r="N30" s="10">
        <f>IF(K30=1,(MIN(Вес3.1,Вес3.2,Вес3.3))*((100/MIN(Вес3.1,Вес3.2,Вес3.3))/Z30*Вес3.2/MIN(Вес3.1,Вес3.2,Вес3.3)),"")</f>
        <v>35</v>
      </c>
      <c r="O30" s="10">
        <f>IF(N30="","не применяется",IF(K30=0,"не применяется",N30*M30/100))</f>
        <v>0.35</v>
      </c>
      <c r="P30" s="10">
        <f>IF(ISNUMBER(O30),O30,"")</f>
        <v>0.35</v>
      </c>
      <c r="Q30" s="56">
        <v>1</v>
      </c>
      <c r="R30" s="56">
        <v>1</v>
      </c>
      <c r="S30" s="56">
        <v>1</v>
      </c>
      <c r="T30" s="10">
        <f>IF(Q30=1,(MIN(Вес3.1,Вес3.2,Вес3.3))*((100/MIN(Вес3.1,Вес3.2,Вес3.3))/Z30*Вес3.3/MIN(Вес3.1,Вес3.2,Вес3.3)),"")</f>
        <v>15</v>
      </c>
      <c r="U30" s="10">
        <f>IF(T30="","не применяется",IF(Q30=0,"не применяется",T30*S30/100))</f>
        <v>0.15</v>
      </c>
      <c r="V30" s="10">
        <f>IF(ISNUMBER(U30),U30,"")</f>
        <v>0.15</v>
      </c>
      <c r="W30" s="10">
        <f>IF(E30=1,Вес3.1/MIN(Вес3.1,Вес3.2,Вес3.3),"")</f>
        <v>3.3333333333333335</v>
      </c>
      <c r="X30" s="10">
        <f>IF(K30=1,Вес3.2/MIN(Вес3.1,Вес3.2,Вес3.3),"")</f>
        <v>2.3333333333333335</v>
      </c>
      <c r="Y30" s="10">
        <f>IF(Q30=1,Вес3.3/MIN(Вес3.1,Вес3.2,Вес3.3),"")</f>
        <v>1</v>
      </c>
      <c r="Z30" s="10">
        <f>SUM(W30:Y30)</f>
        <v>6.666666666666667</v>
      </c>
    </row>
    <row r="31" spans="1:26" ht="25.5" x14ac:dyDescent="0.2">
      <c r="A31" s="1" t="s">
        <v>116</v>
      </c>
      <c r="B31" s="9" t="s">
        <v>34</v>
      </c>
      <c r="C31" s="10">
        <f>IF(D31&lt;&gt;1,"",SUM(J31,P31,V31))</f>
        <v>0.65</v>
      </c>
      <c r="D31" s="10">
        <f>IF(SUM(E31,K31,Q31)=0,0,1)</f>
        <v>1</v>
      </c>
      <c r="E31" s="56">
        <v>1</v>
      </c>
      <c r="F31" s="56">
        <v>0</v>
      </c>
      <c r="G31" s="56">
        <v>1</v>
      </c>
      <c r="H31" s="10">
        <f>IF(E31=1,(MIN(Вес3.1,Вес3.2,Вес3.3))*((100/MIN(Вес3.1,Вес3.2,Вес3.3))/Z31*Вес3.1/MIN(Вес3.1,Вес3.2,Вес3.3)),"")</f>
        <v>50</v>
      </c>
      <c r="I31" s="10">
        <f>IF(H31="","не применяется",IF(E31=0,"не применяется",H31*G31/100))</f>
        <v>0.5</v>
      </c>
      <c r="J31" s="10">
        <f>IF(ISNUMBER(I31),I31,"")</f>
        <v>0.5</v>
      </c>
      <c r="K31" s="56">
        <v>1</v>
      </c>
      <c r="L31" s="56">
        <v>1</v>
      </c>
      <c r="M31" s="56">
        <v>0</v>
      </c>
      <c r="N31" s="10">
        <f>IF(K31=1,(MIN(Вес3.1,Вес3.2,Вес3.3))*((100/MIN(Вес3.1,Вес3.2,Вес3.3))/Z31*Вес3.2/MIN(Вес3.1,Вес3.2,Вес3.3)),"")</f>
        <v>35</v>
      </c>
      <c r="O31" s="10">
        <f>IF(N31="","не применяется",IF(K31=0,"не применяется",N31*M31/100))</f>
        <v>0</v>
      </c>
      <c r="P31" s="10">
        <f>IF(ISNUMBER(O31),O31,"")</f>
        <v>0</v>
      </c>
      <c r="Q31" s="56">
        <v>1</v>
      </c>
      <c r="R31" s="56">
        <v>1</v>
      </c>
      <c r="S31" s="56">
        <v>1</v>
      </c>
      <c r="T31" s="10">
        <f>IF(Q31=1,(MIN(Вес3.1,Вес3.2,Вес3.3))*((100/MIN(Вес3.1,Вес3.2,Вес3.3))/Z31*Вес3.3/MIN(Вес3.1,Вес3.2,Вес3.3)),"")</f>
        <v>15</v>
      </c>
      <c r="U31" s="10">
        <f>IF(T31="","не применяется",IF(Q31=0,"не применяется",T31*S31/100))</f>
        <v>0.15</v>
      </c>
      <c r="V31" s="10">
        <f>IF(ISNUMBER(U31),U31,"")</f>
        <v>0.15</v>
      </c>
      <c r="W31" s="10">
        <f>IF(E31=1,Вес3.1/MIN(Вес3.1,Вес3.2,Вес3.3),"")</f>
        <v>3.3333333333333335</v>
      </c>
      <c r="X31" s="10">
        <f>IF(K31=1,Вес3.2/MIN(Вес3.1,Вес3.2,Вес3.3),"")</f>
        <v>2.3333333333333335</v>
      </c>
      <c r="Y31" s="10">
        <f>IF(Q31=1,Вес3.3/MIN(Вес3.1,Вес3.2,Вес3.3),"")</f>
        <v>1</v>
      </c>
      <c r="Z31" s="10">
        <f>SUM(W31:Y31)</f>
        <v>6.666666666666667</v>
      </c>
    </row>
    <row r="32" spans="1:26" ht="25.5" x14ac:dyDescent="0.2">
      <c r="A32" s="1" t="s">
        <v>117</v>
      </c>
      <c r="B32" s="9" t="s">
        <v>89</v>
      </c>
      <c r="C32" s="10">
        <f>IF(D32&lt;&gt;1,"",SUM(J32,P32,V32))</f>
        <v>0.65</v>
      </c>
      <c r="D32" s="10">
        <f>IF(SUM(E32,K32,Q32)=0,0,1)</f>
        <v>1</v>
      </c>
      <c r="E32" s="56">
        <v>1</v>
      </c>
      <c r="F32" s="56">
        <v>0</v>
      </c>
      <c r="G32" s="56">
        <v>1</v>
      </c>
      <c r="H32" s="10">
        <f>IF(E32=1,(MIN(Вес3.1,Вес3.2,Вес3.3))*((100/MIN(Вес3.1,Вес3.2,Вес3.3))/Z32*Вес3.1/MIN(Вес3.1,Вес3.2,Вес3.3)),"")</f>
        <v>50</v>
      </c>
      <c r="I32" s="10">
        <f>IF(H32="","не применяется",IF(E32=0,"не применяется",H32*G32/100))</f>
        <v>0.5</v>
      </c>
      <c r="J32" s="10">
        <f>IF(ISNUMBER(I32),I32,"")</f>
        <v>0.5</v>
      </c>
      <c r="K32" s="56">
        <v>1</v>
      </c>
      <c r="L32" s="56">
        <v>1</v>
      </c>
      <c r="M32" s="56">
        <v>0</v>
      </c>
      <c r="N32" s="10">
        <f>IF(K32=1,(MIN(Вес3.1,Вес3.2,Вес3.3))*((100/MIN(Вес3.1,Вес3.2,Вес3.3))/Z32*Вес3.2/MIN(Вес3.1,Вес3.2,Вес3.3)),"")</f>
        <v>35</v>
      </c>
      <c r="O32" s="10">
        <f>IF(N32="","не применяется",IF(K32=0,"не применяется",N32*M32/100))</f>
        <v>0</v>
      </c>
      <c r="P32" s="10">
        <f>IF(ISNUMBER(O32),O32,"")</f>
        <v>0</v>
      </c>
      <c r="Q32" s="56">
        <v>1</v>
      </c>
      <c r="R32" s="56">
        <v>1</v>
      </c>
      <c r="S32" s="56">
        <v>1</v>
      </c>
      <c r="T32" s="10">
        <f>IF(Q32=1,(MIN(Вес3.1,Вес3.2,Вес3.3))*((100/MIN(Вес3.1,Вес3.2,Вес3.3))/Z32*Вес3.3/MIN(Вес3.1,Вес3.2,Вес3.3)),"")</f>
        <v>15</v>
      </c>
      <c r="U32" s="10">
        <f>IF(T32="","не применяется",IF(Q32=0,"не применяется",T32*S32/100))</f>
        <v>0.15</v>
      </c>
      <c r="V32" s="10">
        <f>IF(ISNUMBER(U32),U32,"")</f>
        <v>0.15</v>
      </c>
      <c r="W32" s="10">
        <f>IF(E32=1,Вес3.1/MIN(Вес3.1,Вес3.2,Вес3.3),"")</f>
        <v>3.3333333333333335</v>
      </c>
      <c r="X32" s="10">
        <f>IF(K32=1,Вес3.2/MIN(Вес3.1,Вес3.2,Вес3.3),"")</f>
        <v>2.3333333333333335</v>
      </c>
      <c r="Y32" s="10">
        <f>IF(Q32=1,Вес3.3/MIN(Вес3.1,Вес3.2,Вес3.3),"")</f>
        <v>1</v>
      </c>
      <c r="Z32" s="10">
        <f>SUM(W32:Y32)</f>
        <v>6.666666666666667</v>
      </c>
    </row>
    <row r="33" spans="1:26" ht="25.5" x14ac:dyDescent="0.2">
      <c r="A33" s="1" t="s">
        <v>118</v>
      </c>
      <c r="B33" s="9" t="s">
        <v>35</v>
      </c>
      <c r="C33" s="10">
        <f>IF(D33&lt;&gt;1,"",SUM(J33,P33,V33))</f>
        <v>0.65</v>
      </c>
      <c r="D33" s="10">
        <f>IF(SUM(E33,K33,Q33)=0,0,1)</f>
        <v>1</v>
      </c>
      <c r="E33" s="56">
        <v>1</v>
      </c>
      <c r="F33" s="56">
        <v>0</v>
      </c>
      <c r="G33" s="56">
        <v>1</v>
      </c>
      <c r="H33" s="10">
        <f>IF(E33=1,(MIN(Вес3.1,Вес3.2,Вес3.3))*((100/MIN(Вес3.1,Вес3.2,Вес3.3))/Z33*Вес3.1/MIN(Вес3.1,Вес3.2,Вес3.3)),"")</f>
        <v>50</v>
      </c>
      <c r="I33" s="10">
        <f>IF(H33="","не применяется",IF(E33=0,"не применяется",H33*G33/100))</f>
        <v>0.5</v>
      </c>
      <c r="J33" s="10">
        <f>IF(ISNUMBER(I33),I33,"")</f>
        <v>0.5</v>
      </c>
      <c r="K33" s="56">
        <v>1</v>
      </c>
      <c r="L33" s="56">
        <v>1</v>
      </c>
      <c r="M33" s="56">
        <v>0</v>
      </c>
      <c r="N33" s="10">
        <f>IF(K33=1,(MIN(Вес3.1,Вес3.2,Вес3.3))*((100/MIN(Вес3.1,Вес3.2,Вес3.3))/Z33*Вес3.2/MIN(Вес3.1,Вес3.2,Вес3.3)),"")</f>
        <v>35</v>
      </c>
      <c r="O33" s="10">
        <f>IF(N33="","не применяется",IF(K33=0,"не применяется",N33*M33/100))</f>
        <v>0</v>
      </c>
      <c r="P33" s="10">
        <f>IF(ISNUMBER(O33),O33,"")</f>
        <v>0</v>
      </c>
      <c r="Q33" s="56">
        <v>1</v>
      </c>
      <c r="R33" s="56">
        <v>1</v>
      </c>
      <c r="S33" s="56">
        <v>1</v>
      </c>
      <c r="T33" s="10">
        <f>IF(Q33=1,(MIN(Вес3.1,Вес3.2,Вес3.3))*((100/MIN(Вес3.1,Вес3.2,Вес3.3))/Z33*Вес3.3/MIN(Вес3.1,Вес3.2,Вес3.3)),"")</f>
        <v>15</v>
      </c>
      <c r="U33" s="10">
        <f>IF(T33="","не применяется",IF(Q33=0,"не применяется",T33*S33/100))</f>
        <v>0.15</v>
      </c>
      <c r="V33" s="10">
        <f>IF(ISNUMBER(U33),U33,"")</f>
        <v>0.15</v>
      </c>
      <c r="W33" s="10">
        <f>IF(E33=1,Вес3.1/MIN(Вес3.1,Вес3.2,Вес3.3),"")</f>
        <v>3.3333333333333335</v>
      </c>
      <c r="X33" s="10">
        <f>IF(K33=1,Вес3.2/MIN(Вес3.1,Вес3.2,Вес3.3),"")</f>
        <v>2.3333333333333335</v>
      </c>
      <c r="Y33" s="10">
        <f>IF(Q33=1,Вес3.3/MIN(Вес3.1,Вес3.2,Вес3.3),"")</f>
        <v>1</v>
      </c>
      <c r="Z33" s="10">
        <f>SUM(W33:Y33)</f>
        <v>6.666666666666667</v>
      </c>
    </row>
    <row r="34" spans="1:26" x14ac:dyDescent="0.2">
      <c r="A34" s="1" t="s">
        <v>119</v>
      </c>
      <c r="B34" s="9" t="s">
        <v>36</v>
      </c>
      <c r="C34" s="10">
        <f>IF(D34&lt;&gt;1,"",SUM(J34,P34,V34))</f>
        <v>0.65</v>
      </c>
      <c r="D34" s="10">
        <f>IF(SUM(E34,K34,Q34)=0,0,1)</f>
        <v>1</v>
      </c>
      <c r="E34" s="56">
        <v>1</v>
      </c>
      <c r="F34" s="56">
        <v>0</v>
      </c>
      <c r="G34" s="56">
        <v>1</v>
      </c>
      <c r="H34" s="10">
        <f>IF(E34=1,(MIN(Вес3.1,Вес3.2,Вес3.3))*((100/MIN(Вес3.1,Вес3.2,Вес3.3))/Z34*Вес3.1/MIN(Вес3.1,Вес3.2,Вес3.3)),"")</f>
        <v>50</v>
      </c>
      <c r="I34" s="10">
        <f>IF(H34="","не применяется",IF(E34=0,"не применяется",H34*G34/100))</f>
        <v>0.5</v>
      </c>
      <c r="J34" s="10">
        <f>IF(ISNUMBER(I34),I34,"")</f>
        <v>0.5</v>
      </c>
      <c r="K34" s="56">
        <v>1</v>
      </c>
      <c r="L34" s="56">
        <v>1</v>
      </c>
      <c r="M34" s="56">
        <v>0</v>
      </c>
      <c r="N34" s="10">
        <f>IF(K34=1,(MIN(Вес3.1,Вес3.2,Вес3.3))*((100/MIN(Вес3.1,Вес3.2,Вес3.3))/Z34*Вес3.2/MIN(Вес3.1,Вес3.2,Вес3.3)),"")</f>
        <v>35</v>
      </c>
      <c r="O34" s="10">
        <f>IF(N34="","не применяется",IF(K34=0,"не применяется",N34*M34/100))</f>
        <v>0</v>
      </c>
      <c r="P34" s="10">
        <f>IF(ISNUMBER(O34),O34,"")</f>
        <v>0</v>
      </c>
      <c r="Q34" s="56">
        <v>1</v>
      </c>
      <c r="R34" s="56">
        <v>1</v>
      </c>
      <c r="S34" s="56">
        <v>1</v>
      </c>
      <c r="T34" s="10">
        <f>IF(Q34=1,(MIN(Вес3.1,Вес3.2,Вес3.3))*((100/MIN(Вес3.1,Вес3.2,Вес3.3))/Z34*Вес3.3/MIN(Вес3.1,Вес3.2,Вес3.3)),"")</f>
        <v>15</v>
      </c>
      <c r="U34" s="10">
        <f>IF(T34="","не применяется",IF(Q34=0,"не применяется",T34*S34/100))</f>
        <v>0.15</v>
      </c>
      <c r="V34" s="10">
        <f>IF(ISNUMBER(U34),U34,"")</f>
        <v>0.15</v>
      </c>
      <c r="W34" s="10">
        <f>IF(E34=1,Вес3.1/MIN(Вес3.1,Вес3.2,Вес3.3),"")</f>
        <v>3.3333333333333335</v>
      </c>
      <c r="X34" s="10">
        <f>IF(K34=1,Вес3.2/MIN(Вес3.1,Вес3.2,Вес3.3),"")</f>
        <v>2.3333333333333335</v>
      </c>
      <c r="Y34" s="10">
        <f>IF(Q34=1,Вес3.3/MIN(Вес3.1,Вес3.2,Вес3.3),"")</f>
        <v>1</v>
      </c>
      <c r="Z34" s="10">
        <f>SUM(W34:Y34)</f>
        <v>6.666666666666667</v>
      </c>
    </row>
    <row r="48" spans="1:26" ht="30" customHeight="1" x14ac:dyDescent="0.2"/>
  </sheetData>
  <sheetProtection algorithmName="SHA-512" hashValue="WaVGl1xr0kEmG9aZuDNojqmWCF3dC9CdS/MJbnYAeHEKR3fYtzjGyciW04USNMTyzgCyvh1iXue2S8sWjAKWfg==" saltValue="skbIodiIIHJmltBuBmoJgQ==" spinCount="100000" sheet="1" objects="1" scenarios="1" formatCells="0" formatColumns="0" formatRows="0" deleteColumns="0" deleteRows="0"/>
  <protectedRanges>
    <protectedRange sqref="C14:C34" name="krista_tr_47809_0_0"/>
    <protectedRange sqref="D14:D34" name="krista_tr_40531_0_0"/>
    <protectedRange sqref="H14:H34" name="krista_tf_40535_0_0"/>
    <protectedRange sqref="I14:I34" name="krista_tf_40536_0_0"/>
    <protectedRange sqref="J14:J34" name="krista_tr_40537_0_0"/>
    <protectedRange sqref="N14:N34" name="krista_tf_40541_0_0"/>
    <protectedRange sqref="O14:O34" name="krista_tf_40542_0_0"/>
    <protectedRange sqref="P14:P34" name="krista_tr_40543_0_0"/>
    <protectedRange sqref="T14:T34" name="krista_tf_40547_0_0"/>
    <protectedRange sqref="U14:U34" name="krista_tf_40548_0_0"/>
    <protectedRange sqref="V14:V34" name="krista_tr_40549_0_0"/>
    <protectedRange sqref="W14:W34" name="krista_tf_40580_0_0"/>
    <protectedRange sqref="X14:X34" name="krista_tf_40581_0_0"/>
    <protectedRange sqref="Y14:Y34" name="krista_tf_40582_0_0"/>
    <protectedRange sqref="Z14:Z34" name="krista_tf_40588_0_0"/>
  </protectedRanges>
  <mergeCells count="13">
    <mergeCell ref="W12:AB12"/>
    <mergeCell ref="AC12:AH12"/>
    <mergeCell ref="K12:P12"/>
    <mergeCell ref="E12:J12"/>
    <mergeCell ref="A12:A13"/>
    <mergeCell ref="B12:B13"/>
    <mergeCell ref="C12:C13"/>
    <mergeCell ref="D12:D13"/>
    <mergeCell ref="A1:E1"/>
    <mergeCell ref="B8:H8"/>
    <mergeCell ref="B9:H9"/>
    <mergeCell ref="B10:H10"/>
    <mergeCell ref="Q12:V12"/>
  </mergeCells>
  <conditionalFormatting sqref="A8:A11">
    <cfRule type="expression" dxfId="4" priority="2" stopIfTrue="1">
      <formula>"(сумм(A8:F12)&lt;&gt;100"</formula>
    </cfRule>
  </conditionalFormatting>
  <pageMargins left="0.25" right="0.25" top="0.75" bottom="0.75" header="0.3" footer="0.3"/>
  <pageSetup paperSize="8" fitToWidth="0" orientation="landscape" r:id="rId1"/>
  <headerFooter alignWithMargins="0"/>
  <colBreaks count="1" manualBreakCount="1">
    <brk id="27" max="50" man="1"/>
  </colBreaks>
  <customProperties>
    <customPr name="40591" r:id="rId2"/>
    <customPr name="40592" r:id="rId3"/>
    <customPr name="40593" r:id="rId4"/>
    <customPr name="40594" r:id="rId5"/>
    <customPr name="krista_fm_columnsmarkup" r:id="rId6"/>
    <customPr name="krista_fm_consts" r:id="rId7"/>
    <customPr name="krista_fm_Events" r:id="rId8"/>
    <customPr name="krista_fm_metadataXML" r:id="rId9"/>
    <customPr name="krista_fm_rowsaxis" r:id="rId10"/>
    <customPr name="krista_fm_rowsmarkup" r:id="rId11"/>
    <customPr name="krista_SheetHistory" r:id="rId12"/>
    <customPr name="p14" r:id="rId13"/>
    <customPr name="p15" r:id="rId14"/>
    <customPr name="p19" r:id="rId15"/>
  </customProperties>
  <legacy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tabColor rgb="FFFFC000"/>
    <pageSetUpPr fitToPage="1"/>
  </sheetPr>
  <dimension ref="A1:AH49"/>
  <sheetViews>
    <sheetView view="pageBreakPreview" topLeftCell="A10" zoomScale="80" zoomScaleNormal="75" zoomScaleSheetLayoutView="80" workbookViewId="0">
      <selection activeCell="F15" sqref="F15"/>
    </sheetView>
  </sheetViews>
  <sheetFormatPr defaultRowHeight="12.75" x14ac:dyDescent="0.2"/>
  <cols>
    <col min="1" max="1" width="6.28515625" customWidth="1"/>
    <col min="2" max="2" width="52" customWidth="1"/>
    <col min="3" max="3" width="10" customWidth="1"/>
    <col min="4" max="4" width="15.85546875" customWidth="1"/>
    <col min="5" max="5" width="14.7109375" customWidth="1"/>
    <col min="6" max="6" width="12.7109375" customWidth="1"/>
    <col min="7" max="7" width="11.5703125" customWidth="1"/>
    <col min="8" max="9" width="13" customWidth="1"/>
    <col min="10" max="10" width="13.7109375" customWidth="1"/>
    <col min="11" max="11" width="14.42578125" customWidth="1"/>
    <col min="12" max="12" width="12.5703125" customWidth="1"/>
    <col min="13" max="13" width="11.7109375" customWidth="1"/>
    <col min="14" max="14" width="12.5703125" customWidth="1"/>
    <col min="15" max="15" width="12.28515625" customWidth="1"/>
    <col min="16" max="16" width="13.28515625" customWidth="1"/>
    <col min="17" max="17" width="14.7109375" customWidth="1"/>
    <col min="18" max="18" width="11.42578125" customWidth="1"/>
    <col min="19" max="19" width="13" customWidth="1"/>
    <col min="20" max="20" width="13.42578125" customWidth="1"/>
    <col min="21" max="21" width="13.85546875" customWidth="1"/>
    <col min="22" max="22" width="13.28515625" customWidth="1"/>
    <col min="23" max="23" width="14.7109375" customWidth="1"/>
    <col min="24" max="24" width="12.140625" customWidth="1"/>
    <col min="25" max="25" width="11.85546875" customWidth="1"/>
    <col min="26" max="26" width="12.7109375" customWidth="1"/>
    <col min="27" max="27" width="12" customWidth="1"/>
    <col min="28" max="28" width="12.28515625" bestFit="1" customWidth="1"/>
    <col min="29" max="29" width="10.7109375" customWidth="1"/>
    <col min="30" max="30" width="11.85546875" customWidth="1"/>
    <col min="31" max="31" width="13.140625" customWidth="1"/>
    <col min="32" max="32" width="11.28515625" customWidth="1"/>
    <col min="33" max="33" width="16.28515625" customWidth="1"/>
    <col min="34" max="40" width="27.42578125" customWidth="1"/>
    <col min="41" max="41" width="60.85546875" customWidth="1"/>
    <col min="42" max="47" width="27.42578125" customWidth="1"/>
    <col min="48" max="50" width="31.28515625" customWidth="1"/>
    <col min="51" max="51" width="27.42578125" customWidth="1"/>
    <col min="52" max="54" width="34.28515625" customWidth="1"/>
    <col min="55" max="58" width="27.42578125" customWidth="1"/>
    <col min="59" max="59" width="39.42578125" customWidth="1"/>
    <col min="60" max="60" width="41.28515625" customWidth="1"/>
    <col min="61" max="72" width="27.42578125" customWidth="1"/>
    <col min="75" max="75" width="10.28515625" bestFit="1" customWidth="1"/>
    <col min="78" max="78" width="10.28515625" bestFit="1" customWidth="1"/>
    <col min="81" max="81" width="10.28515625" bestFit="1" customWidth="1"/>
    <col min="84" max="84" width="10.28515625" bestFit="1" customWidth="1"/>
    <col min="87" max="87" width="10.28515625" bestFit="1" customWidth="1"/>
    <col min="90" max="90" width="10.28515625" bestFit="1" customWidth="1"/>
    <col min="93" max="93" width="10.28515625" bestFit="1" customWidth="1"/>
    <col min="96" max="96" width="10.28515625" bestFit="1" customWidth="1"/>
    <col min="99" max="99" width="10.28515625" bestFit="1" customWidth="1"/>
    <col min="102" max="102" width="10.28515625" bestFit="1" customWidth="1"/>
    <col min="105" max="105" width="10.28515625" bestFit="1" customWidth="1"/>
    <col min="108" max="108" width="10.28515625" bestFit="1" customWidth="1"/>
    <col min="111" max="111" width="10.28515625" bestFit="1" customWidth="1"/>
    <col min="114" max="114" width="10.28515625" bestFit="1" customWidth="1"/>
    <col min="117" max="117" width="10.28515625" bestFit="1" customWidth="1"/>
    <col min="120" max="120" width="10.28515625" bestFit="1" customWidth="1"/>
    <col min="123" max="123" width="10.28515625" bestFit="1" customWidth="1"/>
    <col min="126" max="126" width="10.28515625" bestFit="1" customWidth="1"/>
    <col min="129" max="129" width="10.28515625" bestFit="1" customWidth="1"/>
    <col min="132" max="132" width="10.28515625" bestFit="1" customWidth="1"/>
    <col min="135" max="135" width="10.28515625" bestFit="1" customWidth="1"/>
    <col min="138" max="138" width="10.28515625" bestFit="1" customWidth="1"/>
    <col min="141" max="141" width="10.28515625" bestFit="1" customWidth="1"/>
    <col min="144" max="144" width="10.28515625" bestFit="1" customWidth="1"/>
    <col min="147" max="147" width="10.28515625" bestFit="1" customWidth="1"/>
    <col min="150" max="150" width="10.28515625" bestFit="1" customWidth="1"/>
    <col min="153" max="153" width="10.28515625" bestFit="1" customWidth="1"/>
    <col min="156" max="156" width="10.28515625" bestFit="1" customWidth="1"/>
    <col min="159" max="159" width="10.28515625" bestFit="1" customWidth="1"/>
    <col min="162" max="162" width="10.28515625" bestFit="1" customWidth="1"/>
    <col min="165" max="165" width="10.28515625" bestFit="1" customWidth="1"/>
    <col min="168" max="168" width="10.28515625" bestFit="1" customWidth="1"/>
    <col min="171" max="171" width="10.28515625" bestFit="1" customWidth="1"/>
    <col min="174" max="174" width="10.28515625" bestFit="1" customWidth="1"/>
    <col min="177" max="177" width="10.28515625" bestFit="1" customWidth="1"/>
    <col min="180" max="180" width="10.28515625" bestFit="1" customWidth="1"/>
    <col min="183" max="183" width="10.28515625" bestFit="1" customWidth="1"/>
    <col min="186" max="186" width="10.28515625" bestFit="1" customWidth="1"/>
    <col min="189" max="189" width="10.28515625" bestFit="1" customWidth="1"/>
    <col min="192" max="192" width="10.28515625" bestFit="1" customWidth="1"/>
    <col min="195" max="195" width="10.28515625" bestFit="1" customWidth="1"/>
    <col min="198" max="198" width="10.28515625" bestFit="1" customWidth="1"/>
    <col min="201" max="201" width="10.28515625" bestFit="1" customWidth="1"/>
    <col min="204" max="204" width="10.28515625" bestFit="1" customWidth="1"/>
    <col min="207" max="207" width="10.28515625" bestFit="1" customWidth="1"/>
    <col min="210" max="210" width="10.28515625" bestFit="1" customWidth="1"/>
    <col min="213" max="213" width="10.28515625" bestFit="1" customWidth="1"/>
  </cols>
  <sheetData>
    <row r="1" spans="1:33" ht="29.25" customHeight="1" x14ac:dyDescent="0.2">
      <c r="A1" s="78" t="s">
        <v>77</v>
      </c>
      <c r="B1" s="79"/>
      <c r="C1" s="79"/>
      <c r="D1" s="79"/>
      <c r="E1" s="79"/>
    </row>
    <row r="3" spans="1:33" x14ac:dyDescent="0.2">
      <c r="A3" s="2" t="s">
        <v>14</v>
      </c>
      <c r="B3" s="2"/>
      <c r="C3" s="2"/>
      <c r="D3" s="2"/>
      <c r="E3" s="2"/>
      <c r="F3" s="2"/>
      <c r="G3" s="2"/>
      <c r="H3" s="2"/>
    </row>
    <row r="4" spans="1:33" x14ac:dyDescent="0.2">
      <c r="A4" s="2" t="s">
        <v>15</v>
      </c>
      <c r="B4" s="2"/>
      <c r="C4" s="2"/>
      <c r="D4" s="2"/>
      <c r="E4" s="2"/>
      <c r="F4" s="2"/>
      <c r="G4" s="2"/>
      <c r="H4" s="2"/>
    </row>
    <row r="5" spans="1:33" x14ac:dyDescent="0.2">
      <c r="A5" s="2" t="s">
        <v>1</v>
      </c>
      <c r="B5" s="2"/>
      <c r="C5" s="2"/>
      <c r="D5" s="2"/>
      <c r="E5" s="2"/>
      <c r="F5" s="2"/>
      <c r="G5" s="2"/>
      <c r="H5" s="2"/>
    </row>
    <row r="6" spans="1:33" x14ac:dyDescent="0.2">
      <c r="A6" s="2" t="s">
        <v>7</v>
      </c>
      <c r="B6" s="2"/>
      <c r="C6" s="2"/>
      <c r="D6" s="2"/>
      <c r="E6" s="2"/>
      <c r="F6" s="2"/>
      <c r="G6" s="2"/>
      <c r="H6" s="2"/>
    </row>
    <row r="7" spans="1:33" ht="19.5" customHeight="1" thickBot="1" x14ac:dyDescent="0.25">
      <c r="A7" s="53" t="s">
        <v>2</v>
      </c>
      <c r="B7" s="4"/>
      <c r="C7" s="4"/>
      <c r="D7" s="4"/>
      <c r="E7" s="4"/>
      <c r="F7" s="4"/>
      <c r="G7" s="4"/>
      <c r="H7" s="4"/>
    </row>
    <row r="8" spans="1:33" ht="27.75" customHeight="1" thickBot="1" x14ac:dyDescent="0.25">
      <c r="A8" s="5">
        <v>30</v>
      </c>
      <c r="B8" s="70" t="s">
        <v>78</v>
      </c>
      <c r="C8" s="71"/>
      <c r="D8" s="71"/>
      <c r="E8" s="71"/>
      <c r="F8" s="71"/>
      <c r="G8" s="71"/>
      <c r="H8" s="71"/>
    </row>
    <row r="9" spans="1:33" ht="30" customHeight="1" thickBot="1" x14ac:dyDescent="0.25">
      <c r="A9" s="5">
        <v>30</v>
      </c>
      <c r="B9" s="70" t="s">
        <v>79</v>
      </c>
      <c r="C9" s="71"/>
      <c r="D9" s="71"/>
      <c r="E9" s="71"/>
      <c r="F9" s="72"/>
      <c r="G9" s="72"/>
      <c r="H9" s="72"/>
    </row>
    <row r="10" spans="1:33" ht="30.75" customHeight="1" thickBot="1" x14ac:dyDescent="0.25">
      <c r="A10" s="5">
        <v>30</v>
      </c>
      <c r="B10" s="70" t="s">
        <v>80</v>
      </c>
      <c r="C10" s="71"/>
      <c r="D10" s="71"/>
      <c r="E10" s="71"/>
      <c r="F10" s="72"/>
      <c r="G10" s="72"/>
      <c r="H10" s="72"/>
    </row>
    <row r="11" spans="1:33" ht="31.5" customHeight="1" thickBot="1" x14ac:dyDescent="0.25">
      <c r="A11" s="5">
        <v>10</v>
      </c>
      <c r="B11" s="117" t="s">
        <v>81</v>
      </c>
      <c r="C11" s="118"/>
      <c r="D11" s="118"/>
      <c r="E11" s="118"/>
      <c r="F11" s="119"/>
      <c r="G11" s="119"/>
      <c r="H11" s="119"/>
    </row>
    <row r="12" spans="1:33" ht="20.25" customHeight="1" thickBot="1" x14ac:dyDescent="0.25">
      <c r="A12" s="19"/>
      <c r="B12" s="22"/>
      <c r="C12" s="23"/>
      <c r="D12" s="23"/>
      <c r="E12" s="23"/>
      <c r="F12" s="17"/>
      <c r="G12" s="17"/>
      <c r="H12" s="17"/>
    </row>
    <row r="13" spans="1:33" ht="64.5" customHeight="1" x14ac:dyDescent="0.2">
      <c r="A13" s="111" t="s">
        <v>9</v>
      </c>
      <c r="B13" s="113" t="s">
        <v>8</v>
      </c>
      <c r="C13" s="113" t="s">
        <v>19</v>
      </c>
      <c r="D13" s="115" t="s">
        <v>90</v>
      </c>
      <c r="E13" s="94" t="s">
        <v>78</v>
      </c>
      <c r="F13" s="90"/>
      <c r="G13" s="90"/>
      <c r="H13" s="90"/>
      <c r="I13" s="90"/>
      <c r="J13" s="93"/>
      <c r="K13" s="89" t="s">
        <v>79</v>
      </c>
      <c r="L13" s="97"/>
      <c r="M13" s="97"/>
      <c r="N13" s="97"/>
      <c r="O13" s="97"/>
      <c r="P13" s="98"/>
      <c r="Q13" s="89" t="s">
        <v>80</v>
      </c>
      <c r="R13" s="90"/>
      <c r="S13" s="90"/>
      <c r="T13" s="90"/>
      <c r="U13" s="90"/>
      <c r="V13" s="93"/>
      <c r="W13" s="89" t="s">
        <v>81</v>
      </c>
      <c r="X13" s="90"/>
      <c r="Y13" s="90"/>
      <c r="Z13" s="90"/>
      <c r="AA13" s="90"/>
      <c r="AB13" s="90"/>
      <c r="AC13" s="120" t="s">
        <v>5</v>
      </c>
      <c r="AD13" s="120"/>
      <c r="AE13" s="120"/>
      <c r="AF13" s="120"/>
      <c r="AG13" s="120"/>
    </row>
    <row r="14" spans="1:33" ht="79.5" customHeight="1" thickBot="1" x14ac:dyDescent="0.25">
      <c r="A14" s="112"/>
      <c r="B14" s="114"/>
      <c r="C14" s="114"/>
      <c r="D14" s="116"/>
      <c r="E14" s="32" t="s">
        <v>38</v>
      </c>
      <c r="F14" s="26" t="s">
        <v>46</v>
      </c>
      <c r="G14" s="26" t="s">
        <v>17</v>
      </c>
      <c r="H14" s="26" t="s">
        <v>37</v>
      </c>
      <c r="I14" s="26" t="s">
        <v>48</v>
      </c>
      <c r="J14" s="33" t="s">
        <v>39</v>
      </c>
      <c r="K14" s="32" t="s">
        <v>38</v>
      </c>
      <c r="L14" s="26" t="s">
        <v>46</v>
      </c>
      <c r="M14" s="26" t="s">
        <v>17</v>
      </c>
      <c r="N14" s="26" t="s">
        <v>37</v>
      </c>
      <c r="O14" s="26" t="s">
        <v>48</v>
      </c>
      <c r="P14" s="33" t="s">
        <v>39</v>
      </c>
      <c r="Q14" s="32" t="s">
        <v>38</v>
      </c>
      <c r="R14" s="26" t="s">
        <v>46</v>
      </c>
      <c r="S14" s="26" t="s">
        <v>17</v>
      </c>
      <c r="T14" s="26" t="s">
        <v>37</v>
      </c>
      <c r="U14" s="26" t="s">
        <v>48</v>
      </c>
      <c r="V14" s="33" t="s">
        <v>39</v>
      </c>
      <c r="W14" s="32" t="s">
        <v>38</v>
      </c>
      <c r="X14" s="26" t="s">
        <v>46</v>
      </c>
      <c r="Y14" s="26" t="s">
        <v>17</v>
      </c>
      <c r="Z14" s="26" t="s">
        <v>37</v>
      </c>
      <c r="AA14" s="26" t="s">
        <v>48</v>
      </c>
      <c r="AB14" s="33" t="s">
        <v>39</v>
      </c>
      <c r="AC14" s="34">
        <v>1</v>
      </c>
      <c r="AD14" s="24">
        <v>2</v>
      </c>
      <c r="AE14" s="24">
        <v>3</v>
      </c>
      <c r="AF14" s="24">
        <v>4</v>
      </c>
      <c r="AG14" s="25" t="s">
        <v>45</v>
      </c>
    </row>
    <row r="15" spans="1:33" ht="25.5" x14ac:dyDescent="0.2">
      <c r="A15" s="1" t="s">
        <v>100</v>
      </c>
      <c r="B15" s="9" t="s">
        <v>20</v>
      </c>
      <c r="C15" s="10">
        <f>IF(D15&lt;&gt;1,"",SUM(J15,P15,V15,AB15))</f>
        <v>1</v>
      </c>
      <c r="D15" s="10">
        <f>IF(SUM(E15,K15,Q15,W15)=0,0,1)</f>
        <v>1</v>
      </c>
      <c r="E15" s="56">
        <v>1</v>
      </c>
      <c r="F15" s="56">
        <v>100</v>
      </c>
      <c r="G15" s="56">
        <v>1</v>
      </c>
      <c r="H15" s="10">
        <f>IF(E15=1,(MIN(Вес4.1,Вес4.2,Вес4.3,Вес4.4))*((100/MIN(Вес4.1,Вес4.2,Вес4.3,Вес4.4))/AG15*Вес4.1/MIN(Вес4.1,Вес4.2,Вес4.3,Вес4.4)),"")</f>
        <v>33.333333333333336</v>
      </c>
      <c r="I15" s="10">
        <f>IF(H15="","не применяется",IF(E15=0,"не применяется",H15*G15/100))</f>
        <v>0.33333333333333337</v>
      </c>
      <c r="J15" s="10">
        <f>IF(ISNUMBER(I15),I15,"")</f>
        <v>0.33333333333333337</v>
      </c>
      <c r="K15" s="56">
        <v>1</v>
      </c>
      <c r="L15" s="56">
        <v>1</v>
      </c>
      <c r="M15" s="56">
        <v>1</v>
      </c>
      <c r="N15" s="10">
        <f>IF(K15=1,(MIN(Вес4.1,Вес4.2,Вес4.3,Вес4.4))*((100/MIN(Вес4.1,Вес4.2,Вес4.3,Вес4.4))/AG15*Вес4.2/MIN(Вес4.1,Вес4.2,Вес4.3,Вес4.4)),"")</f>
        <v>33.333333333333336</v>
      </c>
      <c r="O15" s="10">
        <f>IF(N15="","не применяется",IF(K15=0,"не применяется",N15*M15/100))</f>
        <v>0.33333333333333337</v>
      </c>
      <c r="P15" s="10">
        <f>IF(ISNUMBER(O15),O15,"")</f>
        <v>0.33333333333333337</v>
      </c>
      <c r="Q15" s="56">
        <v>1</v>
      </c>
      <c r="R15" s="56">
        <v>1</v>
      </c>
      <c r="S15" s="56">
        <v>1</v>
      </c>
      <c r="T15" s="10">
        <f>IF(Q15=1,(MIN(Вес4.1,Вес4.2,Вес4.3,Вес4.4))*((100/MIN(Вес4.1,Вес4.2,Вес4.3,Вес4.4))/AG15*Вес4.3/MIN(Вес4.1,Вес4.2,Вес4.3,Вес4.4)),"")</f>
        <v>33.333333333333336</v>
      </c>
      <c r="U15" s="10">
        <f>IF(T15="","не применяется",IF(Q15=0,"не применяется",T15*S15/100))</f>
        <v>0.33333333333333337</v>
      </c>
      <c r="V15" s="10">
        <f>IF(ISNUMBER(U15),U15,"")</f>
        <v>0.33333333333333337</v>
      </c>
      <c r="W15" s="56">
        <v>0</v>
      </c>
      <c r="X15" s="56">
        <v>0</v>
      </c>
      <c r="Y15" s="56">
        <v>0</v>
      </c>
      <c r="Z15" s="10" t="str">
        <f>IF(W15=1,(MIN(Вес4.1,Вес4.2,Вес4.3,Вес4.4))*((100/MIN(Вес4.1,Вес4.2,Вес4.3,Вес4.4))/AG15*Вес4.4/MIN(Вес4.1,Вес4.2,Вес4.3,Вес4.4)),"")</f>
        <v/>
      </c>
      <c r="AA15" s="10" t="str">
        <f>IF(Z15="","не применяется",IF(W15=0,"не применяется",Y15*Z15/100))</f>
        <v>не применяется</v>
      </c>
      <c r="AB15" s="10" t="str">
        <f>IF(ISNUMBER(AA15),AA15,"")</f>
        <v/>
      </c>
      <c r="AC15" s="10">
        <f>IF(E15=1,Вес4.1/MIN(Вес4.1,Вес4.2,Вес4.3,Вес4.4),"")</f>
        <v>3</v>
      </c>
      <c r="AD15" s="10">
        <f>IF(K15=1,Вес4.2/MIN(Вес4.1,Вес4.2,Вес4.3,Вес4.4),"")</f>
        <v>3</v>
      </c>
      <c r="AE15" s="10">
        <f>IF(Q15=1,Вес4.3/MIN(Вес4.1,Вес4.2,Вес4.3,Вес4.4),"")</f>
        <v>3</v>
      </c>
      <c r="AF15" s="10" t="str">
        <f>IF(W15=1,Вес4.4/MIN(Вес4.1,Вес4.2,Вес4.3,Вес4.4),"")</f>
        <v/>
      </c>
      <c r="AG15" s="10">
        <f>SUM(AC15:AF15)</f>
        <v>9</v>
      </c>
    </row>
    <row r="16" spans="1:33" ht="25.5" x14ac:dyDescent="0.2">
      <c r="A16" s="1" t="s">
        <v>101</v>
      </c>
      <c r="B16" s="9" t="s">
        <v>52</v>
      </c>
      <c r="C16" s="10">
        <f>IF(D16&lt;&gt;1,"",SUM(J16,P16,V16,AB16))</f>
        <v>0.99999999999999989</v>
      </c>
      <c r="D16" s="10">
        <f>IF(SUM(E16,K16,Q16,W16)=0,0,1)</f>
        <v>1</v>
      </c>
      <c r="E16" s="56">
        <v>1</v>
      </c>
      <c r="F16" s="56">
        <v>100</v>
      </c>
      <c r="G16" s="56">
        <v>1</v>
      </c>
      <c r="H16" s="10">
        <f>IF(E16=1,(MIN(Вес4.1,Вес4.2,Вес4.3,Вес4.4))*((100/MIN(Вес4.1,Вес4.2,Вес4.3,Вес4.4))/AG16*Вес4.1/MIN(Вес4.1,Вес4.2,Вес4.3,Вес4.4)),"")</f>
        <v>30</v>
      </c>
      <c r="I16" s="10">
        <f>IF(H16="","не применяется",IF(E16=0,"не применяется",H16*G16/100))</f>
        <v>0.3</v>
      </c>
      <c r="J16" s="10">
        <f>IF(ISNUMBER(I16),I16,"")</f>
        <v>0.3</v>
      </c>
      <c r="K16" s="56">
        <v>1</v>
      </c>
      <c r="L16" s="56">
        <v>1</v>
      </c>
      <c r="M16" s="56">
        <v>1</v>
      </c>
      <c r="N16" s="10">
        <f>IF(K16=1,(MIN(Вес4.1,Вес4.2,Вес4.3,Вес4.4))*((100/MIN(Вес4.1,Вес4.2,Вес4.3,Вес4.4))/AG16*Вес4.2/MIN(Вес4.1,Вес4.2,Вес4.3,Вес4.4)),"")</f>
        <v>30</v>
      </c>
      <c r="O16" s="10">
        <f>IF(N16="","не применяется",IF(K16=0,"не применяется",N16*M16/100))</f>
        <v>0.3</v>
      </c>
      <c r="P16" s="10">
        <f>IF(ISNUMBER(O16),O16,"")</f>
        <v>0.3</v>
      </c>
      <c r="Q16" s="56">
        <v>1</v>
      </c>
      <c r="R16" s="56">
        <v>1</v>
      </c>
      <c r="S16" s="56">
        <v>1</v>
      </c>
      <c r="T16" s="10">
        <f>IF(Q16=1,(MIN(Вес4.1,Вес4.2,Вес4.3,Вес4.4))*((100/MIN(Вес4.1,Вес4.2,Вес4.3,Вес4.4))/AG16*Вес4.3/MIN(Вес4.1,Вес4.2,Вес4.3,Вес4.4)),"")</f>
        <v>30</v>
      </c>
      <c r="U16" s="10">
        <f>IF(T16="","не применяется",IF(Q16=0,"не применяется",T16*S16/100))</f>
        <v>0.3</v>
      </c>
      <c r="V16" s="10">
        <f>IF(ISNUMBER(U16),U16,"")</f>
        <v>0.3</v>
      </c>
      <c r="W16" s="56">
        <v>1</v>
      </c>
      <c r="X16" s="56">
        <v>100</v>
      </c>
      <c r="Y16" s="56">
        <v>1</v>
      </c>
      <c r="Z16" s="10">
        <f>IF(W16=1,(MIN(Вес4.1,Вес4.2,Вес4.3,Вес4.4))*((100/MIN(Вес4.1,Вес4.2,Вес4.3,Вес4.4))/AG16*Вес4.4/MIN(Вес4.1,Вес4.2,Вес4.3,Вес4.4)),"")</f>
        <v>10</v>
      </c>
      <c r="AA16" s="10">
        <f>IF(Z16="","не применяется",IF(W16=0,"не применяется",Y16*Z16/100))</f>
        <v>0.1</v>
      </c>
      <c r="AB16" s="10">
        <f>IF(ISNUMBER(AA16),AA16,"")</f>
        <v>0.1</v>
      </c>
      <c r="AC16" s="10">
        <f>IF(E16=1,Вес4.1/MIN(Вес4.1,Вес4.2,Вес4.3,Вес4.4),"")</f>
        <v>3</v>
      </c>
      <c r="AD16" s="10">
        <f>IF(K16=1,Вес4.2/MIN(Вес4.1,Вес4.2,Вес4.3,Вес4.4),"")</f>
        <v>3</v>
      </c>
      <c r="AE16" s="10">
        <f>IF(Q16=1,Вес4.3/MIN(Вес4.1,Вес4.2,Вес4.3,Вес4.4),"")</f>
        <v>3</v>
      </c>
      <c r="AF16" s="10">
        <f>IF(W16=1,Вес4.4/MIN(Вес4.1,Вес4.2,Вес4.3,Вес4.4),"")</f>
        <v>1</v>
      </c>
      <c r="AG16" s="10">
        <f>SUM(AC16:AF16)</f>
        <v>10</v>
      </c>
    </row>
    <row r="17" spans="1:33" ht="25.5" x14ac:dyDescent="0.2">
      <c r="A17" s="1" t="s">
        <v>102</v>
      </c>
      <c r="B17" s="9" t="s">
        <v>21</v>
      </c>
      <c r="C17" s="10">
        <f>IF(D17&lt;&gt;1,"",SUM(J17,P17,V17,AB17))</f>
        <v>0.66666666666666674</v>
      </c>
      <c r="D17" s="10">
        <f>IF(SUM(E17,K17,Q17,W17)=0,0,1)</f>
        <v>1</v>
      </c>
      <c r="E17" s="56">
        <v>1</v>
      </c>
      <c r="F17" s="56">
        <v>0.5</v>
      </c>
      <c r="G17" s="56">
        <v>0</v>
      </c>
      <c r="H17" s="10">
        <f>IF(E17=1,(MIN(Вес4.1,Вес4.2,Вес4.3,Вес4.4))*((100/MIN(Вес4.1,Вес4.2,Вес4.3,Вес4.4))/AG17*Вес4.1/MIN(Вес4.1,Вес4.2,Вес4.3,Вес4.4)),"")</f>
        <v>33.333333333333336</v>
      </c>
      <c r="I17" s="10">
        <f>IF(H17="","не применяется",IF(E17=0,"не применяется",H17*G17/100))</f>
        <v>0</v>
      </c>
      <c r="J17" s="10">
        <f>IF(ISNUMBER(I17),I17,"")</f>
        <v>0</v>
      </c>
      <c r="K17" s="56">
        <v>1</v>
      </c>
      <c r="L17" s="56">
        <v>1</v>
      </c>
      <c r="M17" s="56">
        <v>1</v>
      </c>
      <c r="N17" s="10">
        <f>IF(K17=1,(MIN(Вес4.1,Вес4.2,Вес4.3,Вес4.4))*((100/MIN(Вес4.1,Вес4.2,Вес4.3,Вес4.4))/AG17*Вес4.2/MIN(Вес4.1,Вес4.2,Вес4.3,Вес4.4)),"")</f>
        <v>33.333333333333336</v>
      </c>
      <c r="O17" s="10">
        <f>IF(N17="","не применяется",IF(K17=0,"не применяется",N17*M17/100))</f>
        <v>0.33333333333333337</v>
      </c>
      <c r="P17" s="10">
        <f>IF(ISNUMBER(O17),O17,"")</f>
        <v>0.33333333333333337</v>
      </c>
      <c r="Q17" s="56">
        <v>1</v>
      </c>
      <c r="R17" s="56">
        <v>1</v>
      </c>
      <c r="S17" s="56">
        <v>1</v>
      </c>
      <c r="T17" s="10">
        <f>IF(Q17=1,(MIN(Вес4.1,Вес4.2,Вес4.3,Вес4.4))*((100/MIN(Вес4.1,Вес4.2,Вес4.3,Вес4.4))/AG17*Вес4.3/MIN(Вес4.1,Вес4.2,Вес4.3,Вес4.4)),"")</f>
        <v>33.333333333333336</v>
      </c>
      <c r="U17" s="10">
        <f>IF(T17="","не применяется",IF(Q17=0,"не применяется",T17*S17/100))</f>
        <v>0.33333333333333337</v>
      </c>
      <c r="V17" s="10">
        <f>IF(ISNUMBER(U17),U17,"")</f>
        <v>0.33333333333333337</v>
      </c>
      <c r="W17" s="56">
        <v>0</v>
      </c>
      <c r="X17" s="56">
        <v>0</v>
      </c>
      <c r="Y17" s="56">
        <v>0</v>
      </c>
      <c r="Z17" s="10" t="str">
        <f>IF(W17=1,(MIN(Вес4.1,Вес4.2,Вес4.3,Вес4.4))*((100/MIN(Вес4.1,Вес4.2,Вес4.3,Вес4.4))/AG17*Вес4.4/MIN(Вес4.1,Вес4.2,Вес4.3,Вес4.4)),"")</f>
        <v/>
      </c>
      <c r="AA17" s="10" t="str">
        <f>IF(Z17="","не применяется",IF(W17=0,"не применяется",Y17*Z17/100))</f>
        <v>не применяется</v>
      </c>
      <c r="AB17" s="10" t="str">
        <f>IF(ISNUMBER(AA17),AA17,"")</f>
        <v/>
      </c>
      <c r="AC17" s="10">
        <f>IF(E17=1,Вес4.1/MIN(Вес4.1,Вес4.2,Вес4.3,Вес4.4),"")</f>
        <v>3</v>
      </c>
      <c r="AD17" s="10">
        <f>IF(K17=1,Вес4.2/MIN(Вес4.1,Вес4.2,Вес4.3,Вес4.4),"")</f>
        <v>3</v>
      </c>
      <c r="AE17" s="10">
        <f>IF(Q17=1,Вес4.3/MIN(Вес4.1,Вес4.2,Вес4.3,Вес4.4),"")</f>
        <v>3</v>
      </c>
      <c r="AF17" s="10" t="str">
        <f>IF(W17=1,Вес4.4/MIN(Вес4.1,Вес4.2,Вес4.3,Вес4.4),"")</f>
        <v/>
      </c>
      <c r="AG17" s="10">
        <f>SUM(AC17:AF17)</f>
        <v>9</v>
      </c>
    </row>
    <row r="18" spans="1:33" ht="25.5" x14ac:dyDescent="0.2">
      <c r="A18" s="1" t="s">
        <v>103</v>
      </c>
      <c r="B18" s="9" t="s">
        <v>22</v>
      </c>
      <c r="C18" s="10">
        <f>IF(D18&lt;&gt;1,"",SUM(J18,P18,V18,AB18))</f>
        <v>1</v>
      </c>
      <c r="D18" s="10">
        <f>IF(SUM(E18,K18,Q18,W18)=0,0,1)</f>
        <v>1</v>
      </c>
      <c r="E18" s="56">
        <v>1</v>
      </c>
      <c r="F18" s="56">
        <v>100</v>
      </c>
      <c r="G18" s="56">
        <v>1</v>
      </c>
      <c r="H18" s="10">
        <f>IF(E18=1,(MIN(Вес4.1,Вес4.2,Вес4.3,Вес4.4))*((100/MIN(Вес4.1,Вес4.2,Вес4.3,Вес4.4))/AG18*Вес4.1/MIN(Вес4.1,Вес4.2,Вес4.3,Вес4.4)),"")</f>
        <v>33.333333333333336</v>
      </c>
      <c r="I18" s="10">
        <f>IF(H18="","не применяется",IF(E18=0,"не применяется",H18*G18/100))</f>
        <v>0.33333333333333337</v>
      </c>
      <c r="J18" s="10">
        <f>IF(ISNUMBER(I18),I18,"")</f>
        <v>0.33333333333333337</v>
      </c>
      <c r="K18" s="56">
        <v>1</v>
      </c>
      <c r="L18" s="56">
        <v>1</v>
      </c>
      <c r="M18" s="56">
        <v>1</v>
      </c>
      <c r="N18" s="10">
        <f>IF(K18=1,(MIN(Вес4.1,Вес4.2,Вес4.3,Вес4.4))*((100/MIN(Вес4.1,Вес4.2,Вес4.3,Вес4.4))/AG18*Вес4.2/MIN(Вес4.1,Вес4.2,Вес4.3,Вес4.4)),"")</f>
        <v>33.333333333333336</v>
      </c>
      <c r="O18" s="10">
        <f>IF(N18="","не применяется",IF(K18=0,"не применяется",N18*M18/100))</f>
        <v>0.33333333333333337</v>
      </c>
      <c r="P18" s="10">
        <f>IF(ISNUMBER(O18),O18,"")</f>
        <v>0.33333333333333337</v>
      </c>
      <c r="Q18" s="56">
        <v>1</v>
      </c>
      <c r="R18" s="56">
        <v>1</v>
      </c>
      <c r="S18" s="56">
        <v>1</v>
      </c>
      <c r="T18" s="10">
        <f>IF(Q18=1,(MIN(Вес4.1,Вес4.2,Вес4.3,Вес4.4))*((100/MIN(Вес4.1,Вес4.2,Вес4.3,Вес4.4))/AG18*Вес4.3/MIN(Вес4.1,Вес4.2,Вес4.3,Вес4.4)),"")</f>
        <v>33.333333333333336</v>
      </c>
      <c r="U18" s="10">
        <f>IF(T18="","не применяется",IF(Q18=0,"не применяется",T18*S18/100))</f>
        <v>0.33333333333333337</v>
      </c>
      <c r="V18" s="10">
        <f>IF(ISNUMBER(U18),U18,"")</f>
        <v>0.33333333333333337</v>
      </c>
      <c r="W18" s="56">
        <v>0</v>
      </c>
      <c r="X18" s="56">
        <v>0</v>
      </c>
      <c r="Y18" s="56">
        <v>0</v>
      </c>
      <c r="Z18" s="10" t="str">
        <f>IF(W18=1,(MIN(Вес4.1,Вес4.2,Вес4.3,Вес4.4))*((100/MIN(Вес4.1,Вес4.2,Вес4.3,Вес4.4))/AG18*Вес4.4/MIN(Вес4.1,Вес4.2,Вес4.3,Вес4.4)),"")</f>
        <v/>
      </c>
      <c r="AA18" s="10" t="str">
        <f>IF(Z18="","не применяется",IF(W18=0,"не применяется",Y18*Z18/100))</f>
        <v>не применяется</v>
      </c>
      <c r="AB18" s="10" t="str">
        <f>IF(ISNUMBER(AA18),AA18,"")</f>
        <v/>
      </c>
      <c r="AC18" s="10">
        <f>IF(E18=1,Вес4.1/MIN(Вес4.1,Вес4.2,Вес4.3,Вес4.4),"")</f>
        <v>3</v>
      </c>
      <c r="AD18" s="10">
        <f>IF(K18=1,Вес4.2/MIN(Вес4.1,Вес4.2,Вес4.3,Вес4.4),"")</f>
        <v>3</v>
      </c>
      <c r="AE18" s="10">
        <f>IF(Q18=1,Вес4.3/MIN(Вес4.1,Вес4.2,Вес4.3,Вес4.4),"")</f>
        <v>3</v>
      </c>
      <c r="AF18" s="10" t="str">
        <f>IF(W18=1,Вес4.4/MIN(Вес4.1,Вес4.2,Вес4.3,Вес4.4),"")</f>
        <v/>
      </c>
      <c r="AG18" s="10">
        <f>SUM(AC18:AF18)</f>
        <v>9</v>
      </c>
    </row>
    <row r="19" spans="1:33" ht="38.25" x14ac:dyDescent="0.2">
      <c r="A19" s="1" t="s">
        <v>104</v>
      </c>
      <c r="B19" s="9" t="s">
        <v>23</v>
      </c>
      <c r="C19" s="10">
        <f>IF(D19&lt;&gt;1,"",SUM(J19,P19,V19,AB19))</f>
        <v>0.7</v>
      </c>
      <c r="D19" s="10">
        <f>IF(SUM(E19,K19,Q19,W19)=0,0,1)</f>
        <v>1</v>
      </c>
      <c r="E19" s="56">
        <v>1</v>
      </c>
      <c r="F19" s="56">
        <v>0.66669999999999996</v>
      </c>
      <c r="G19" s="56">
        <v>0</v>
      </c>
      <c r="H19" s="10">
        <f>IF(E19=1,(MIN(Вес4.1,Вес4.2,Вес4.3,Вес4.4))*((100/MIN(Вес4.1,Вес4.2,Вес4.3,Вес4.4))/AG19*Вес4.1/MIN(Вес4.1,Вес4.2,Вес4.3,Вес4.4)),"")</f>
        <v>30</v>
      </c>
      <c r="I19" s="10">
        <f>IF(H19="","не применяется",IF(E19=0,"не применяется",H19*G19/100))</f>
        <v>0</v>
      </c>
      <c r="J19" s="10">
        <f>IF(ISNUMBER(I19),I19,"")</f>
        <v>0</v>
      </c>
      <c r="K19" s="56">
        <v>1</v>
      </c>
      <c r="L19" s="56">
        <v>1</v>
      </c>
      <c r="M19" s="56">
        <v>1</v>
      </c>
      <c r="N19" s="10">
        <f>IF(K19=1,(MIN(Вес4.1,Вес4.2,Вес4.3,Вес4.4))*((100/MIN(Вес4.1,Вес4.2,Вес4.3,Вес4.4))/AG19*Вес4.2/MIN(Вес4.1,Вес4.2,Вес4.3,Вес4.4)),"")</f>
        <v>30</v>
      </c>
      <c r="O19" s="10">
        <f>IF(N19="","не применяется",IF(K19=0,"не применяется",N19*M19/100))</f>
        <v>0.3</v>
      </c>
      <c r="P19" s="10">
        <f>IF(ISNUMBER(O19),O19,"")</f>
        <v>0.3</v>
      </c>
      <c r="Q19" s="56">
        <v>1</v>
      </c>
      <c r="R19" s="56">
        <v>1</v>
      </c>
      <c r="S19" s="56">
        <v>1</v>
      </c>
      <c r="T19" s="10">
        <f>IF(Q19=1,(MIN(Вес4.1,Вес4.2,Вес4.3,Вес4.4))*((100/MIN(Вес4.1,Вес4.2,Вес4.3,Вес4.4))/AG19*Вес4.3/MIN(Вес4.1,Вес4.2,Вес4.3,Вес4.4)),"")</f>
        <v>30</v>
      </c>
      <c r="U19" s="10">
        <f>IF(T19="","не применяется",IF(Q19=0,"не применяется",T19*S19/100))</f>
        <v>0.3</v>
      </c>
      <c r="V19" s="10">
        <f>IF(ISNUMBER(U19),U19,"")</f>
        <v>0.3</v>
      </c>
      <c r="W19" s="56">
        <v>1</v>
      </c>
      <c r="X19" s="56">
        <v>100</v>
      </c>
      <c r="Y19" s="56">
        <v>1</v>
      </c>
      <c r="Z19" s="10">
        <f>IF(W19=1,(MIN(Вес4.1,Вес4.2,Вес4.3,Вес4.4))*((100/MIN(Вес4.1,Вес4.2,Вес4.3,Вес4.4))/AG19*Вес4.4/MIN(Вес4.1,Вес4.2,Вес4.3,Вес4.4)),"")</f>
        <v>10</v>
      </c>
      <c r="AA19" s="10">
        <f>IF(Z19="","не применяется",IF(W19=0,"не применяется",Y19*Z19/100))</f>
        <v>0.1</v>
      </c>
      <c r="AB19" s="10">
        <f>IF(ISNUMBER(AA19),AA19,"")</f>
        <v>0.1</v>
      </c>
      <c r="AC19" s="10">
        <f>IF(E19=1,Вес4.1/MIN(Вес4.1,Вес4.2,Вес4.3,Вес4.4),"")</f>
        <v>3</v>
      </c>
      <c r="AD19" s="10">
        <f>IF(K19=1,Вес4.2/MIN(Вес4.1,Вес4.2,Вес4.3,Вес4.4),"")</f>
        <v>3</v>
      </c>
      <c r="AE19" s="10">
        <f>IF(Q19=1,Вес4.3/MIN(Вес4.1,Вес4.2,Вес4.3,Вес4.4),"")</f>
        <v>3</v>
      </c>
      <c r="AF19" s="10">
        <f>IF(W19=1,Вес4.4/MIN(Вес4.1,Вес4.2,Вес4.3,Вес4.4),"")</f>
        <v>1</v>
      </c>
      <c r="AG19" s="10">
        <f>SUM(AC19:AF19)</f>
        <v>10</v>
      </c>
    </row>
    <row r="20" spans="1:33" ht="25.5" x14ac:dyDescent="0.2">
      <c r="A20" s="1" t="s">
        <v>105</v>
      </c>
      <c r="B20" s="9" t="s">
        <v>24</v>
      </c>
      <c r="C20" s="10">
        <f>IF(D20&lt;&gt;1,"",SUM(J20,P20,V20,AB20))</f>
        <v>0.1</v>
      </c>
      <c r="D20" s="10">
        <f>IF(SUM(E20,K20,Q20,W20)=0,0,1)</f>
        <v>1</v>
      </c>
      <c r="E20" s="56">
        <v>1</v>
      </c>
      <c r="F20" s="56">
        <v>0</v>
      </c>
      <c r="G20" s="56">
        <v>0</v>
      </c>
      <c r="H20" s="10">
        <f>IF(E20=1,(MIN(Вес4.1,Вес4.2,Вес4.3,Вес4.4))*((100/MIN(Вес4.1,Вес4.2,Вес4.3,Вес4.4))/AG20*Вес4.1/MIN(Вес4.1,Вес4.2,Вес4.3,Вес4.4)),"")</f>
        <v>30</v>
      </c>
      <c r="I20" s="10">
        <f>IF(H20="","не применяется",IF(E20=0,"не применяется",H20*G20/100))</f>
        <v>0</v>
      </c>
      <c r="J20" s="10">
        <f>IF(ISNUMBER(I20),I20,"")</f>
        <v>0</v>
      </c>
      <c r="K20" s="56">
        <v>1</v>
      </c>
      <c r="L20" s="56">
        <v>0</v>
      </c>
      <c r="M20" s="56">
        <v>0</v>
      </c>
      <c r="N20" s="10">
        <f>IF(K20=1,(MIN(Вес4.1,Вес4.2,Вес4.3,Вес4.4))*((100/MIN(Вес4.1,Вес4.2,Вес4.3,Вес4.4))/AG20*Вес4.2/MIN(Вес4.1,Вес4.2,Вес4.3,Вес4.4)),"")</f>
        <v>30</v>
      </c>
      <c r="O20" s="10">
        <f>IF(N20="","не применяется",IF(K20=0,"не применяется",N20*M20/100))</f>
        <v>0</v>
      </c>
      <c r="P20" s="10">
        <f>IF(ISNUMBER(O20),O20,"")</f>
        <v>0</v>
      </c>
      <c r="Q20" s="56">
        <v>1</v>
      </c>
      <c r="R20" s="56">
        <v>0</v>
      </c>
      <c r="S20" s="56">
        <v>0</v>
      </c>
      <c r="T20" s="10">
        <f>IF(Q20=1,(MIN(Вес4.1,Вес4.2,Вес4.3,Вес4.4))*((100/MIN(Вес4.1,Вес4.2,Вес4.3,Вес4.4))/AG20*Вес4.3/MIN(Вес4.1,Вес4.2,Вес4.3,Вес4.4)),"")</f>
        <v>30</v>
      </c>
      <c r="U20" s="10">
        <f>IF(T20="","не применяется",IF(Q20=0,"не применяется",T20*S20/100))</f>
        <v>0</v>
      </c>
      <c r="V20" s="10">
        <f>IF(ISNUMBER(U20),U20,"")</f>
        <v>0</v>
      </c>
      <c r="W20" s="56">
        <v>1</v>
      </c>
      <c r="X20" s="56">
        <v>100</v>
      </c>
      <c r="Y20" s="56">
        <v>1</v>
      </c>
      <c r="Z20" s="10">
        <f>IF(W20=1,(MIN(Вес4.1,Вес4.2,Вес4.3,Вес4.4))*((100/MIN(Вес4.1,Вес4.2,Вес4.3,Вес4.4))/AG20*Вес4.4/MIN(Вес4.1,Вес4.2,Вес4.3,Вес4.4)),"")</f>
        <v>10</v>
      </c>
      <c r="AA20" s="10">
        <f>IF(Z20="","не применяется",IF(W20=0,"не применяется",Y20*Z20/100))</f>
        <v>0.1</v>
      </c>
      <c r="AB20" s="10">
        <f>IF(ISNUMBER(AA20),AA20,"")</f>
        <v>0.1</v>
      </c>
      <c r="AC20" s="10">
        <f>IF(E20=1,Вес4.1/MIN(Вес4.1,Вес4.2,Вес4.3,Вес4.4),"")</f>
        <v>3</v>
      </c>
      <c r="AD20" s="10">
        <f>IF(K20=1,Вес4.2/MIN(Вес4.1,Вес4.2,Вес4.3,Вес4.4),"")</f>
        <v>3</v>
      </c>
      <c r="AE20" s="10">
        <f>IF(Q20=1,Вес4.3/MIN(Вес4.1,Вес4.2,Вес4.3,Вес4.4),"")</f>
        <v>3</v>
      </c>
      <c r="AF20" s="10">
        <f>IF(W20=1,Вес4.4/MIN(Вес4.1,Вес4.2,Вес4.3,Вес4.4),"")</f>
        <v>1</v>
      </c>
      <c r="AG20" s="10">
        <f>SUM(AC20:AF20)</f>
        <v>10</v>
      </c>
    </row>
    <row r="21" spans="1:33" ht="25.5" x14ac:dyDescent="0.2">
      <c r="A21" s="1" t="s">
        <v>106</v>
      </c>
      <c r="B21" s="9" t="s">
        <v>25</v>
      </c>
      <c r="C21" s="10">
        <f>IF(D21&lt;&gt;1,"",SUM(J21,P21,V21,AB21))</f>
        <v>0.7</v>
      </c>
      <c r="D21" s="10">
        <f>IF(SUM(E21,K21,Q21,W21)=0,0,1)</f>
        <v>1</v>
      </c>
      <c r="E21" s="56">
        <v>1</v>
      </c>
      <c r="F21" s="56">
        <v>0.66669999999999996</v>
      </c>
      <c r="G21" s="56">
        <v>0</v>
      </c>
      <c r="H21" s="10">
        <f>IF(E21=1,(MIN(Вес4.1,Вес4.2,Вес4.3,Вес4.4))*((100/MIN(Вес4.1,Вес4.2,Вес4.3,Вес4.4))/AG21*Вес4.1/MIN(Вес4.1,Вес4.2,Вес4.3,Вес4.4)),"")</f>
        <v>30</v>
      </c>
      <c r="I21" s="10">
        <f>IF(H21="","не применяется",IF(E21=0,"не применяется",H21*G21/100))</f>
        <v>0</v>
      </c>
      <c r="J21" s="10">
        <f>IF(ISNUMBER(I21),I21,"")</f>
        <v>0</v>
      </c>
      <c r="K21" s="56">
        <v>1</v>
      </c>
      <c r="L21" s="56">
        <v>1</v>
      </c>
      <c r="M21" s="56">
        <v>1</v>
      </c>
      <c r="N21" s="10">
        <f>IF(K21=1,(MIN(Вес4.1,Вес4.2,Вес4.3,Вес4.4))*((100/MIN(Вес4.1,Вес4.2,Вес4.3,Вес4.4))/AG21*Вес4.2/MIN(Вес4.1,Вес4.2,Вес4.3,Вес4.4)),"")</f>
        <v>30</v>
      </c>
      <c r="O21" s="10">
        <f>IF(N21="","не применяется",IF(K21=0,"не применяется",N21*M21/100))</f>
        <v>0.3</v>
      </c>
      <c r="P21" s="10">
        <f>IF(ISNUMBER(O21),O21,"")</f>
        <v>0.3</v>
      </c>
      <c r="Q21" s="56">
        <v>1</v>
      </c>
      <c r="R21" s="56">
        <v>1</v>
      </c>
      <c r="S21" s="56">
        <v>1</v>
      </c>
      <c r="T21" s="10">
        <f>IF(Q21=1,(MIN(Вес4.1,Вес4.2,Вес4.3,Вес4.4))*((100/MIN(Вес4.1,Вес4.2,Вес4.3,Вес4.4))/AG21*Вес4.3/MIN(Вес4.1,Вес4.2,Вес4.3,Вес4.4)),"")</f>
        <v>30</v>
      </c>
      <c r="U21" s="10">
        <f>IF(T21="","не применяется",IF(Q21=0,"не применяется",T21*S21/100))</f>
        <v>0.3</v>
      </c>
      <c r="V21" s="10">
        <f>IF(ISNUMBER(U21),U21,"")</f>
        <v>0.3</v>
      </c>
      <c r="W21" s="56">
        <v>1</v>
      </c>
      <c r="X21" s="56">
        <v>100</v>
      </c>
      <c r="Y21" s="56">
        <v>1</v>
      </c>
      <c r="Z21" s="10">
        <f>IF(W21=1,(MIN(Вес4.1,Вес4.2,Вес4.3,Вес4.4))*((100/MIN(Вес4.1,Вес4.2,Вес4.3,Вес4.4))/AG21*Вес4.4/MIN(Вес4.1,Вес4.2,Вес4.3,Вес4.4)),"")</f>
        <v>10</v>
      </c>
      <c r="AA21" s="10">
        <f>IF(Z21="","не применяется",IF(W21=0,"не применяется",Y21*Z21/100))</f>
        <v>0.1</v>
      </c>
      <c r="AB21" s="10">
        <f>IF(ISNUMBER(AA21),AA21,"")</f>
        <v>0.1</v>
      </c>
      <c r="AC21" s="10">
        <f>IF(E21=1,Вес4.1/MIN(Вес4.1,Вес4.2,Вес4.3,Вес4.4),"")</f>
        <v>3</v>
      </c>
      <c r="AD21" s="10">
        <f>IF(K21=1,Вес4.2/MIN(Вес4.1,Вес4.2,Вес4.3,Вес4.4),"")</f>
        <v>3</v>
      </c>
      <c r="AE21" s="10">
        <f>IF(Q21=1,Вес4.3/MIN(Вес4.1,Вес4.2,Вес4.3,Вес4.4),"")</f>
        <v>3</v>
      </c>
      <c r="AF21" s="10">
        <f>IF(W21=1,Вес4.4/MIN(Вес4.1,Вес4.2,Вес4.3,Вес4.4),"")</f>
        <v>1</v>
      </c>
      <c r="AG21" s="10">
        <f>SUM(AC21:AF21)</f>
        <v>10</v>
      </c>
    </row>
    <row r="22" spans="1:33" ht="38.25" x14ac:dyDescent="0.2">
      <c r="A22" s="1" t="s">
        <v>107</v>
      </c>
      <c r="B22" s="9" t="s">
        <v>26</v>
      </c>
      <c r="C22" s="10">
        <f>IF(D22&lt;&gt;1,"",SUM(J22,P22,V22,AB22))</f>
        <v>0.89999999999999991</v>
      </c>
      <c r="D22" s="10">
        <f>IF(SUM(E22,K22,Q22,W22)=0,0,1)</f>
        <v>1</v>
      </c>
      <c r="E22" s="56">
        <v>1</v>
      </c>
      <c r="F22" s="56">
        <v>100</v>
      </c>
      <c r="G22" s="56">
        <v>1</v>
      </c>
      <c r="H22" s="10">
        <f>IF(E22=1,(MIN(Вес4.1,Вес4.2,Вес4.3,Вес4.4))*((100/MIN(Вес4.1,Вес4.2,Вес4.3,Вес4.4))/AG22*Вес4.1/MIN(Вес4.1,Вес4.2,Вес4.3,Вес4.4)),"")</f>
        <v>30</v>
      </c>
      <c r="I22" s="10">
        <f>IF(H22="","не применяется",IF(E22=0,"не применяется",H22*G22/100))</f>
        <v>0.3</v>
      </c>
      <c r="J22" s="10">
        <f>IF(ISNUMBER(I22),I22,"")</f>
        <v>0.3</v>
      </c>
      <c r="K22" s="56">
        <v>1</v>
      </c>
      <c r="L22" s="56">
        <v>1</v>
      </c>
      <c r="M22" s="56">
        <v>1</v>
      </c>
      <c r="N22" s="10">
        <f>IF(K22=1,(MIN(Вес4.1,Вес4.2,Вес4.3,Вес4.4))*((100/MIN(Вес4.1,Вес4.2,Вес4.3,Вес4.4))/AG22*Вес4.2/MIN(Вес4.1,Вес4.2,Вес4.3,Вес4.4)),"")</f>
        <v>30</v>
      </c>
      <c r="O22" s="10">
        <f>IF(N22="","не применяется",IF(K22=0,"не применяется",N22*M22/100))</f>
        <v>0.3</v>
      </c>
      <c r="P22" s="10">
        <f>IF(ISNUMBER(O22),O22,"")</f>
        <v>0.3</v>
      </c>
      <c r="Q22" s="56">
        <v>1</v>
      </c>
      <c r="R22" s="56">
        <v>1</v>
      </c>
      <c r="S22" s="56">
        <v>1</v>
      </c>
      <c r="T22" s="10">
        <f>IF(Q22=1,(MIN(Вес4.1,Вес4.2,Вес4.3,Вес4.4))*((100/MIN(Вес4.1,Вес4.2,Вес4.3,Вес4.4))/AG22*Вес4.3/MIN(Вес4.1,Вес4.2,Вес4.3,Вес4.4)),"")</f>
        <v>30</v>
      </c>
      <c r="U22" s="10">
        <f>IF(T22="","не применяется",IF(Q22=0,"не применяется",T22*S22/100))</f>
        <v>0.3</v>
      </c>
      <c r="V22" s="10">
        <f>IF(ISNUMBER(U22),U22,"")</f>
        <v>0.3</v>
      </c>
      <c r="W22" s="56">
        <v>1</v>
      </c>
      <c r="X22" s="56">
        <v>50</v>
      </c>
      <c r="Y22" s="56">
        <v>0</v>
      </c>
      <c r="Z22" s="10">
        <f>IF(W22=1,(MIN(Вес4.1,Вес4.2,Вес4.3,Вес4.4))*((100/MIN(Вес4.1,Вес4.2,Вес4.3,Вес4.4))/AG22*Вес4.4/MIN(Вес4.1,Вес4.2,Вес4.3,Вес4.4)),"")</f>
        <v>10</v>
      </c>
      <c r="AA22" s="10">
        <f>IF(Z22="","не применяется",IF(W22=0,"не применяется",Y22*Z22/100))</f>
        <v>0</v>
      </c>
      <c r="AB22" s="10">
        <f>IF(ISNUMBER(AA22),AA22,"")</f>
        <v>0</v>
      </c>
      <c r="AC22" s="10">
        <f>IF(E22=1,Вес4.1/MIN(Вес4.1,Вес4.2,Вес4.3,Вес4.4),"")</f>
        <v>3</v>
      </c>
      <c r="AD22" s="10">
        <f>IF(K22=1,Вес4.2/MIN(Вес4.1,Вес4.2,Вес4.3,Вес4.4),"")</f>
        <v>3</v>
      </c>
      <c r="AE22" s="10">
        <f>IF(Q22=1,Вес4.3/MIN(Вес4.1,Вес4.2,Вес4.3,Вес4.4),"")</f>
        <v>3</v>
      </c>
      <c r="AF22" s="10">
        <f>IF(W22=1,Вес4.4/MIN(Вес4.1,Вес4.2,Вес4.3,Вес4.4),"")</f>
        <v>1</v>
      </c>
      <c r="AG22" s="10">
        <f>SUM(AC22:AF22)</f>
        <v>10</v>
      </c>
    </row>
    <row r="23" spans="1:33" ht="38.25" x14ac:dyDescent="0.2">
      <c r="A23" s="1" t="s">
        <v>108</v>
      </c>
      <c r="B23" s="9" t="s">
        <v>51</v>
      </c>
      <c r="C23" s="10">
        <f>IF(D23&lt;&gt;1,"",SUM(J23,P23,V23,AB23))</f>
        <v>0.89999999999999991</v>
      </c>
      <c r="D23" s="10">
        <f>IF(SUM(E23,K23,Q23,W23)=0,0,1)</f>
        <v>1</v>
      </c>
      <c r="E23" s="56">
        <v>1</v>
      </c>
      <c r="F23" s="56">
        <v>100</v>
      </c>
      <c r="G23" s="56">
        <v>1</v>
      </c>
      <c r="H23" s="10">
        <f>IF(E23=1,(MIN(Вес4.1,Вес4.2,Вес4.3,Вес4.4))*((100/MIN(Вес4.1,Вес4.2,Вес4.3,Вес4.4))/AG23*Вес4.1/MIN(Вес4.1,Вес4.2,Вес4.3,Вес4.4)),"")</f>
        <v>30</v>
      </c>
      <c r="I23" s="10">
        <f>IF(H23="","не применяется",IF(E23=0,"не применяется",H23*G23/100))</f>
        <v>0.3</v>
      </c>
      <c r="J23" s="10">
        <f>IF(ISNUMBER(I23),I23,"")</f>
        <v>0.3</v>
      </c>
      <c r="K23" s="56">
        <v>1</v>
      </c>
      <c r="L23" s="56">
        <v>1</v>
      </c>
      <c r="M23" s="56">
        <v>1</v>
      </c>
      <c r="N23" s="10">
        <f>IF(K23=1,(MIN(Вес4.1,Вес4.2,Вес4.3,Вес4.4))*((100/MIN(Вес4.1,Вес4.2,Вес4.3,Вес4.4))/AG23*Вес4.2/MIN(Вес4.1,Вес4.2,Вес4.3,Вес4.4)),"")</f>
        <v>30</v>
      </c>
      <c r="O23" s="10">
        <f>IF(N23="","не применяется",IF(K23=0,"не применяется",N23*M23/100))</f>
        <v>0.3</v>
      </c>
      <c r="P23" s="10">
        <f>IF(ISNUMBER(O23),O23,"")</f>
        <v>0.3</v>
      </c>
      <c r="Q23" s="56">
        <v>1</v>
      </c>
      <c r="R23" s="56">
        <v>1</v>
      </c>
      <c r="S23" s="56">
        <v>1</v>
      </c>
      <c r="T23" s="10">
        <f>IF(Q23=1,(MIN(Вес4.1,Вес4.2,Вес4.3,Вес4.4))*((100/MIN(Вес4.1,Вес4.2,Вес4.3,Вес4.4))/AG23*Вес4.3/MIN(Вес4.1,Вес4.2,Вес4.3,Вес4.4)),"")</f>
        <v>30</v>
      </c>
      <c r="U23" s="10">
        <f>IF(T23="","не применяется",IF(Q23=0,"не применяется",T23*S23/100))</f>
        <v>0.3</v>
      </c>
      <c r="V23" s="10">
        <f>IF(ISNUMBER(U23),U23,"")</f>
        <v>0.3</v>
      </c>
      <c r="W23" s="56">
        <v>1</v>
      </c>
      <c r="X23" s="56">
        <v>42.857100000000003</v>
      </c>
      <c r="Y23" s="56">
        <v>0</v>
      </c>
      <c r="Z23" s="10">
        <f>IF(W23=1,(MIN(Вес4.1,Вес4.2,Вес4.3,Вес4.4))*((100/MIN(Вес4.1,Вес4.2,Вес4.3,Вес4.4))/AG23*Вес4.4/MIN(Вес4.1,Вес4.2,Вес4.3,Вес4.4)),"")</f>
        <v>10</v>
      </c>
      <c r="AA23" s="10">
        <f>IF(Z23="","не применяется",IF(W23=0,"не применяется",Y23*Z23/100))</f>
        <v>0</v>
      </c>
      <c r="AB23" s="10">
        <f>IF(ISNUMBER(AA23),AA23,"")</f>
        <v>0</v>
      </c>
      <c r="AC23" s="10">
        <f>IF(E23=1,Вес4.1/MIN(Вес4.1,Вес4.2,Вес4.3,Вес4.4),"")</f>
        <v>3</v>
      </c>
      <c r="AD23" s="10">
        <f>IF(K23=1,Вес4.2/MIN(Вес4.1,Вес4.2,Вес4.3,Вес4.4),"")</f>
        <v>3</v>
      </c>
      <c r="AE23" s="10">
        <f>IF(Q23=1,Вес4.3/MIN(Вес4.1,Вес4.2,Вес4.3,Вес4.4),"")</f>
        <v>3</v>
      </c>
      <c r="AF23" s="10">
        <f>IF(W23=1,Вес4.4/MIN(Вес4.1,Вес4.2,Вес4.3,Вес4.4),"")</f>
        <v>1</v>
      </c>
      <c r="AG23" s="10">
        <f>SUM(AC23:AF23)</f>
        <v>10</v>
      </c>
    </row>
    <row r="24" spans="1:33" ht="25.5" x14ac:dyDescent="0.2">
      <c r="A24" s="1" t="s">
        <v>109</v>
      </c>
      <c r="B24" s="9" t="s">
        <v>27</v>
      </c>
      <c r="C24" s="10">
        <f>IF(D24&lt;&gt;1,"",SUM(J24,P24,V24,AB24))</f>
        <v>0.99999999999999989</v>
      </c>
      <c r="D24" s="10">
        <f>IF(SUM(E24,K24,Q24,W24)=0,0,1)</f>
        <v>1</v>
      </c>
      <c r="E24" s="56">
        <v>1</v>
      </c>
      <c r="F24" s="56">
        <v>100</v>
      </c>
      <c r="G24" s="56">
        <v>1</v>
      </c>
      <c r="H24" s="10">
        <f>IF(E24=1,(MIN(Вес4.1,Вес4.2,Вес4.3,Вес4.4))*((100/MIN(Вес4.1,Вес4.2,Вес4.3,Вес4.4))/AG24*Вес4.1/MIN(Вес4.1,Вес4.2,Вес4.3,Вес4.4)),"")</f>
        <v>30</v>
      </c>
      <c r="I24" s="10">
        <f>IF(H24="","не применяется",IF(E24=0,"не применяется",H24*G24/100))</f>
        <v>0.3</v>
      </c>
      <c r="J24" s="10">
        <f>IF(ISNUMBER(I24),I24,"")</f>
        <v>0.3</v>
      </c>
      <c r="K24" s="56">
        <v>1</v>
      </c>
      <c r="L24" s="56">
        <v>1</v>
      </c>
      <c r="M24" s="56">
        <v>1</v>
      </c>
      <c r="N24" s="10">
        <f>IF(K24=1,(MIN(Вес4.1,Вес4.2,Вес4.3,Вес4.4))*((100/MIN(Вес4.1,Вес4.2,Вес4.3,Вес4.4))/AG24*Вес4.2/MIN(Вес4.1,Вес4.2,Вес4.3,Вес4.4)),"")</f>
        <v>30</v>
      </c>
      <c r="O24" s="10">
        <f>IF(N24="","не применяется",IF(K24=0,"не применяется",N24*M24/100))</f>
        <v>0.3</v>
      </c>
      <c r="P24" s="10">
        <f>IF(ISNUMBER(O24),O24,"")</f>
        <v>0.3</v>
      </c>
      <c r="Q24" s="56">
        <v>1</v>
      </c>
      <c r="R24" s="56">
        <v>1</v>
      </c>
      <c r="S24" s="56">
        <v>1</v>
      </c>
      <c r="T24" s="10">
        <f>IF(Q24=1,(MIN(Вес4.1,Вес4.2,Вес4.3,Вес4.4))*((100/MIN(Вес4.1,Вес4.2,Вес4.3,Вес4.4))/AG24*Вес4.3/MIN(Вес4.1,Вес4.2,Вес4.3,Вес4.4)),"")</f>
        <v>30</v>
      </c>
      <c r="U24" s="10">
        <f>IF(T24="","не применяется",IF(Q24=0,"не применяется",T24*S24/100))</f>
        <v>0.3</v>
      </c>
      <c r="V24" s="10">
        <f>IF(ISNUMBER(U24),U24,"")</f>
        <v>0.3</v>
      </c>
      <c r="W24" s="56">
        <v>1</v>
      </c>
      <c r="X24" s="56">
        <v>100</v>
      </c>
      <c r="Y24" s="56">
        <v>1</v>
      </c>
      <c r="Z24" s="10">
        <f>IF(W24=1,(MIN(Вес4.1,Вес4.2,Вес4.3,Вес4.4))*((100/MIN(Вес4.1,Вес4.2,Вес4.3,Вес4.4))/AG24*Вес4.4/MIN(Вес4.1,Вес4.2,Вес4.3,Вес4.4)),"")</f>
        <v>10</v>
      </c>
      <c r="AA24" s="10">
        <f>IF(Z24="","не применяется",IF(W24=0,"не применяется",Y24*Z24/100))</f>
        <v>0.1</v>
      </c>
      <c r="AB24" s="10">
        <f>IF(ISNUMBER(AA24),AA24,"")</f>
        <v>0.1</v>
      </c>
      <c r="AC24" s="10">
        <f>IF(E24=1,Вес4.1/MIN(Вес4.1,Вес4.2,Вес4.3,Вес4.4),"")</f>
        <v>3</v>
      </c>
      <c r="AD24" s="10">
        <f>IF(K24=1,Вес4.2/MIN(Вес4.1,Вес4.2,Вес4.3,Вес4.4),"")</f>
        <v>3</v>
      </c>
      <c r="AE24" s="10">
        <f>IF(Q24=1,Вес4.3/MIN(Вес4.1,Вес4.2,Вес4.3,Вес4.4),"")</f>
        <v>3</v>
      </c>
      <c r="AF24" s="10">
        <f>IF(W24=1,Вес4.4/MIN(Вес4.1,Вес4.2,Вес4.3,Вес4.4),"")</f>
        <v>1</v>
      </c>
      <c r="AG24" s="10">
        <f>SUM(AC24:AF24)</f>
        <v>10</v>
      </c>
    </row>
    <row r="25" spans="1:33" ht="25.5" x14ac:dyDescent="0.2">
      <c r="A25" s="1" t="s">
        <v>110</v>
      </c>
      <c r="B25" s="9" t="s">
        <v>28</v>
      </c>
      <c r="C25" s="10">
        <f>IF(D25&lt;&gt;1,"",SUM(J25,P25,V25,AB25))</f>
        <v>0.96250000000000002</v>
      </c>
      <c r="D25" s="10">
        <f>IF(SUM(E25,K25,Q25,W25)=0,0,1)</f>
        <v>1</v>
      </c>
      <c r="E25" s="56">
        <v>1</v>
      </c>
      <c r="F25" s="56">
        <v>100</v>
      </c>
      <c r="G25" s="56">
        <v>1</v>
      </c>
      <c r="H25" s="10">
        <f>IF(E25=1,(MIN(Вес4.1,Вес4.2,Вес4.3,Вес4.4))*((100/MIN(Вес4.1,Вес4.2,Вес4.3,Вес4.4))/AG25*Вес4.1/MIN(Вес4.1,Вес4.2,Вес4.3,Вес4.4)),"")</f>
        <v>30</v>
      </c>
      <c r="I25" s="10">
        <f>IF(H25="","не применяется",IF(E25=0,"не применяется",H25*G25/100))</f>
        <v>0.3</v>
      </c>
      <c r="J25" s="10">
        <f>IF(ISNUMBER(I25),I25,"")</f>
        <v>0.3</v>
      </c>
      <c r="K25" s="56">
        <v>1</v>
      </c>
      <c r="L25" s="56">
        <v>0.875</v>
      </c>
      <c r="M25" s="56">
        <v>0.875</v>
      </c>
      <c r="N25" s="10">
        <f>IF(K25=1,(MIN(Вес4.1,Вес4.2,Вес4.3,Вес4.4))*((100/MIN(Вес4.1,Вес4.2,Вес4.3,Вес4.4))/AG25*Вес4.2/MIN(Вес4.1,Вес4.2,Вес4.3,Вес4.4)),"")</f>
        <v>30</v>
      </c>
      <c r="O25" s="10">
        <f>IF(N25="","не применяется",IF(K25=0,"не применяется",N25*M25/100))</f>
        <v>0.26250000000000001</v>
      </c>
      <c r="P25" s="10">
        <f>IF(ISNUMBER(O25),O25,"")</f>
        <v>0.26250000000000001</v>
      </c>
      <c r="Q25" s="56">
        <v>1</v>
      </c>
      <c r="R25" s="56">
        <v>1</v>
      </c>
      <c r="S25" s="56">
        <v>1</v>
      </c>
      <c r="T25" s="10">
        <f>IF(Q25=1,(MIN(Вес4.1,Вес4.2,Вес4.3,Вес4.4))*((100/MIN(Вес4.1,Вес4.2,Вес4.3,Вес4.4))/AG25*Вес4.3/MIN(Вес4.1,Вес4.2,Вес4.3,Вес4.4)),"")</f>
        <v>30</v>
      </c>
      <c r="U25" s="10">
        <f>IF(T25="","не применяется",IF(Q25=0,"не применяется",T25*S25/100))</f>
        <v>0.3</v>
      </c>
      <c r="V25" s="10">
        <f>IF(ISNUMBER(U25),U25,"")</f>
        <v>0.3</v>
      </c>
      <c r="W25" s="56">
        <v>1</v>
      </c>
      <c r="X25" s="56">
        <v>100</v>
      </c>
      <c r="Y25" s="56">
        <v>1</v>
      </c>
      <c r="Z25" s="10">
        <f>IF(W25=1,(MIN(Вес4.1,Вес4.2,Вес4.3,Вес4.4))*((100/MIN(Вес4.1,Вес4.2,Вес4.3,Вес4.4))/AG25*Вес4.4/MIN(Вес4.1,Вес4.2,Вес4.3,Вес4.4)),"")</f>
        <v>10</v>
      </c>
      <c r="AA25" s="10">
        <f>IF(Z25="","не применяется",IF(W25=0,"не применяется",Y25*Z25/100))</f>
        <v>0.1</v>
      </c>
      <c r="AB25" s="10">
        <f>IF(ISNUMBER(AA25),AA25,"")</f>
        <v>0.1</v>
      </c>
      <c r="AC25" s="10">
        <f>IF(E25=1,Вес4.1/MIN(Вес4.1,Вес4.2,Вес4.3,Вес4.4),"")</f>
        <v>3</v>
      </c>
      <c r="AD25" s="10">
        <f>IF(K25=1,Вес4.2/MIN(Вес4.1,Вес4.2,Вес4.3,Вес4.4),"")</f>
        <v>3</v>
      </c>
      <c r="AE25" s="10">
        <f>IF(Q25=1,Вес4.3/MIN(Вес4.1,Вес4.2,Вес4.3,Вес4.4),"")</f>
        <v>3</v>
      </c>
      <c r="AF25" s="10">
        <f>IF(W25=1,Вес4.4/MIN(Вес4.1,Вес4.2,Вес4.3,Вес4.4),"")</f>
        <v>1</v>
      </c>
      <c r="AG25" s="10">
        <f>SUM(AC25:AF25)</f>
        <v>10</v>
      </c>
    </row>
    <row r="26" spans="1:33" ht="38.25" x14ac:dyDescent="0.2">
      <c r="A26" s="1" t="s">
        <v>121</v>
      </c>
      <c r="B26" s="9" t="s">
        <v>120</v>
      </c>
      <c r="C26" s="10">
        <f>IF(D26&lt;&gt;1,"",SUM(J26,P26,V26,AB26))</f>
        <v>0.99999999999999989</v>
      </c>
      <c r="D26" s="10">
        <f>IF(SUM(E26,K26,Q26,W26)=0,0,1)</f>
        <v>1</v>
      </c>
      <c r="E26" s="56">
        <v>1</v>
      </c>
      <c r="F26" s="56">
        <v>100</v>
      </c>
      <c r="G26" s="56">
        <v>1</v>
      </c>
      <c r="H26" s="10">
        <f>IF(E26=1,(MIN(Вес4.1,Вес4.2,Вес4.3,Вес4.4))*((100/MIN(Вес4.1,Вес4.2,Вес4.3,Вес4.4))/AG26*Вес4.1/MIN(Вес4.1,Вес4.2,Вес4.3,Вес4.4)),"")</f>
        <v>30</v>
      </c>
      <c r="I26" s="10">
        <f>IF(H26="","не применяется",IF(E26=0,"не применяется",H26*G26/100))</f>
        <v>0.3</v>
      </c>
      <c r="J26" s="10">
        <f>IF(ISNUMBER(I26),I26,"")</f>
        <v>0.3</v>
      </c>
      <c r="K26" s="56">
        <v>1</v>
      </c>
      <c r="L26" s="56">
        <v>1</v>
      </c>
      <c r="M26" s="56">
        <v>1</v>
      </c>
      <c r="N26" s="10">
        <f>IF(K26=1,(MIN(Вес4.1,Вес4.2,Вес4.3,Вес4.4))*((100/MIN(Вес4.1,Вес4.2,Вес4.3,Вес4.4))/AG26*Вес4.2/MIN(Вес4.1,Вес4.2,Вес4.3,Вес4.4)),"")</f>
        <v>30</v>
      </c>
      <c r="O26" s="10">
        <f>IF(N26="","не применяется",IF(K26=0,"не применяется",N26*M26/100))</f>
        <v>0.3</v>
      </c>
      <c r="P26" s="10">
        <f>IF(ISNUMBER(O26),O26,"")</f>
        <v>0.3</v>
      </c>
      <c r="Q26" s="56">
        <v>1</v>
      </c>
      <c r="R26" s="56">
        <v>1</v>
      </c>
      <c r="S26" s="56">
        <v>1</v>
      </c>
      <c r="T26" s="10">
        <f>IF(Q26=1,(MIN(Вес4.1,Вес4.2,Вес4.3,Вес4.4))*((100/MIN(Вес4.1,Вес4.2,Вес4.3,Вес4.4))/AG26*Вес4.3/MIN(Вес4.1,Вес4.2,Вес4.3,Вес4.4)),"")</f>
        <v>30</v>
      </c>
      <c r="U26" s="10">
        <f>IF(T26="","не применяется",IF(Q26=0,"не применяется",T26*S26/100))</f>
        <v>0.3</v>
      </c>
      <c r="V26" s="10">
        <f>IF(ISNUMBER(U26),U26,"")</f>
        <v>0.3</v>
      </c>
      <c r="W26" s="56">
        <v>1</v>
      </c>
      <c r="X26" s="56">
        <v>100</v>
      </c>
      <c r="Y26" s="56">
        <v>1</v>
      </c>
      <c r="Z26" s="10">
        <f>IF(W26=1,(MIN(Вес4.1,Вес4.2,Вес4.3,Вес4.4))*((100/MIN(Вес4.1,Вес4.2,Вес4.3,Вес4.4))/AG26*Вес4.4/MIN(Вес4.1,Вес4.2,Вес4.3,Вес4.4)),"")</f>
        <v>10</v>
      </c>
      <c r="AA26" s="10">
        <f>IF(Z26="","не применяется",IF(W26=0,"не применяется",Y26*Z26/100))</f>
        <v>0.1</v>
      </c>
      <c r="AB26" s="10">
        <f>IF(ISNUMBER(AA26),AA26,"")</f>
        <v>0.1</v>
      </c>
      <c r="AC26" s="10">
        <f>IF(E26=1,Вес4.1/MIN(Вес4.1,Вес4.2,Вес4.3,Вес4.4),"")</f>
        <v>3</v>
      </c>
      <c r="AD26" s="10">
        <f>IF(K26=1,Вес4.2/MIN(Вес4.1,Вес4.2,Вес4.3,Вес4.4),"")</f>
        <v>3</v>
      </c>
      <c r="AE26" s="10">
        <f>IF(Q26=1,Вес4.3/MIN(Вес4.1,Вес4.2,Вес4.3,Вес4.4),"")</f>
        <v>3</v>
      </c>
      <c r="AF26" s="10">
        <f>IF(W26=1,Вес4.4/MIN(Вес4.1,Вес4.2,Вес4.3,Вес4.4),"")</f>
        <v>1</v>
      </c>
      <c r="AG26" s="10">
        <f>SUM(AC26:AF26)</f>
        <v>10</v>
      </c>
    </row>
    <row r="27" spans="1:33" ht="25.5" x14ac:dyDescent="0.2">
      <c r="A27" s="1" t="s">
        <v>111</v>
      </c>
      <c r="B27" s="9" t="s">
        <v>29</v>
      </c>
      <c r="C27" s="10">
        <f>IF(D27&lt;&gt;1,"",SUM(J27,P27,V27,AB27))</f>
        <v>1</v>
      </c>
      <c r="D27" s="10">
        <f>IF(SUM(E27,K27,Q27,W27)=0,0,1)</f>
        <v>1</v>
      </c>
      <c r="E27" s="56">
        <v>1</v>
      </c>
      <c r="F27" s="56">
        <v>100</v>
      </c>
      <c r="G27" s="56">
        <v>1</v>
      </c>
      <c r="H27" s="10">
        <f>IF(E27=1,(MIN(Вес4.1,Вес4.2,Вес4.3,Вес4.4))*((100/MIN(Вес4.1,Вес4.2,Вес4.3,Вес4.4))/AG27*Вес4.1/MIN(Вес4.1,Вес4.2,Вес4.3,Вес4.4)),"")</f>
        <v>33.333333333333336</v>
      </c>
      <c r="I27" s="10">
        <f>IF(H27="","не применяется",IF(E27=0,"не применяется",H27*G27/100))</f>
        <v>0.33333333333333337</v>
      </c>
      <c r="J27" s="10">
        <f>IF(ISNUMBER(I27),I27,"")</f>
        <v>0.33333333333333337</v>
      </c>
      <c r="K27" s="56">
        <v>1</v>
      </c>
      <c r="L27" s="56">
        <v>1</v>
      </c>
      <c r="M27" s="56">
        <v>1</v>
      </c>
      <c r="N27" s="10">
        <f>IF(K27=1,(MIN(Вес4.1,Вес4.2,Вес4.3,Вес4.4))*((100/MIN(Вес4.1,Вес4.2,Вес4.3,Вес4.4))/AG27*Вес4.2/MIN(Вес4.1,Вес4.2,Вес4.3,Вес4.4)),"")</f>
        <v>33.333333333333336</v>
      </c>
      <c r="O27" s="10">
        <f>IF(N27="","не применяется",IF(K27=0,"не применяется",N27*M27/100))</f>
        <v>0.33333333333333337</v>
      </c>
      <c r="P27" s="10">
        <f>IF(ISNUMBER(O27),O27,"")</f>
        <v>0.33333333333333337</v>
      </c>
      <c r="Q27" s="56">
        <v>1</v>
      </c>
      <c r="R27" s="56">
        <v>1</v>
      </c>
      <c r="S27" s="56">
        <v>1</v>
      </c>
      <c r="T27" s="10">
        <f>IF(Q27=1,(MIN(Вес4.1,Вес4.2,Вес4.3,Вес4.4))*((100/MIN(Вес4.1,Вес4.2,Вес4.3,Вес4.4))/AG27*Вес4.3/MIN(Вес4.1,Вес4.2,Вес4.3,Вес4.4)),"")</f>
        <v>33.333333333333336</v>
      </c>
      <c r="U27" s="10">
        <f>IF(T27="","не применяется",IF(Q27=0,"не применяется",T27*S27/100))</f>
        <v>0.33333333333333337</v>
      </c>
      <c r="V27" s="10">
        <f>IF(ISNUMBER(U27),U27,"")</f>
        <v>0.33333333333333337</v>
      </c>
      <c r="W27" s="56">
        <v>0</v>
      </c>
      <c r="X27" s="56">
        <v>0</v>
      </c>
      <c r="Y27" s="56">
        <v>0</v>
      </c>
      <c r="Z27" s="10" t="str">
        <f>IF(W27=1,(MIN(Вес4.1,Вес4.2,Вес4.3,Вес4.4))*((100/MIN(Вес4.1,Вес4.2,Вес4.3,Вес4.4))/AG27*Вес4.4/MIN(Вес4.1,Вес4.2,Вес4.3,Вес4.4)),"")</f>
        <v/>
      </c>
      <c r="AA27" s="10" t="str">
        <f>IF(Z27="","не применяется",IF(W27=0,"не применяется",Y27*Z27/100))</f>
        <v>не применяется</v>
      </c>
      <c r="AB27" s="10" t="str">
        <f>IF(ISNUMBER(AA27),AA27,"")</f>
        <v/>
      </c>
      <c r="AC27" s="10">
        <f>IF(E27=1,Вес4.1/MIN(Вес4.1,Вес4.2,Вес4.3,Вес4.4),"")</f>
        <v>3</v>
      </c>
      <c r="AD27" s="10">
        <f>IF(K27=1,Вес4.2/MIN(Вес4.1,Вес4.2,Вес4.3,Вес4.4),"")</f>
        <v>3</v>
      </c>
      <c r="AE27" s="10">
        <f>IF(Q27=1,Вес4.3/MIN(Вес4.1,Вес4.2,Вес4.3,Вес4.4),"")</f>
        <v>3</v>
      </c>
      <c r="AF27" s="10" t="str">
        <f>IF(W27=1,Вес4.4/MIN(Вес4.1,Вес4.2,Вес4.3,Вес4.4),"")</f>
        <v/>
      </c>
      <c r="AG27" s="10">
        <f>SUM(AC27:AF27)</f>
        <v>9</v>
      </c>
    </row>
    <row r="28" spans="1:33" ht="25.5" x14ac:dyDescent="0.2">
      <c r="A28" s="1" t="s">
        <v>112</v>
      </c>
      <c r="B28" s="9" t="s">
        <v>30</v>
      </c>
      <c r="C28" s="10">
        <f>IF(D28&lt;&gt;1,"",SUM(J28,P28,V28,AB28))</f>
        <v>1</v>
      </c>
      <c r="D28" s="10">
        <f>IF(SUM(E28,K28,Q28,W28)=0,0,1)</f>
        <v>1</v>
      </c>
      <c r="E28" s="56">
        <v>1</v>
      </c>
      <c r="F28" s="56">
        <v>100</v>
      </c>
      <c r="G28" s="56">
        <v>1</v>
      </c>
      <c r="H28" s="10">
        <f>IF(E28=1,(MIN(Вес4.1,Вес4.2,Вес4.3,Вес4.4))*((100/MIN(Вес4.1,Вес4.2,Вес4.3,Вес4.4))/AG28*Вес4.1/MIN(Вес4.1,Вес4.2,Вес4.3,Вес4.4)),"")</f>
        <v>33.333333333333336</v>
      </c>
      <c r="I28" s="10">
        <f>IF(H28="","не применяется",IF(E28=0,"не применяется",H28*G28/100))</f>
        <v>0.33333333333333337</v>
      </c>
      <c r="J28" s="10">
        <f>IF(ISNUMBER(I28),I28,"")</f>
        <v>0.33333333333333337</v>
      </c>
      <c r="K28" s="56">
        <v>1</v>
      </c>
      <c r="L28" s="56">
        <v>1</v>
      </c>
      <c r="M28" s="56">
        <v>1</v>
      </c>
      <c r="N28" s="10">
        <f>IF(K28=1,(MIN(Вес4.1,Вес4.2,Вес4.3,Вес4.4))*((100/MIN(Вес4.1,Вес4.2,Вес4.3,Вес4.4))/AG28*Вес4.2/MIN(Вес4.1,Вес4.2,Вес4.3,Вес4.4)),"")</f>
        <v>33.333333333333336</v>
      </c>
      <c r="O28" s="10">
        <f>IF(N28="","не применяется",IF(K28=0,"не применяется",N28*M28/100))</f>
        <v>0.33333333333333337</v>
      </c>
      <c r="P28" s="10">
        <f>IF(ISNUMBER(O28),O28,"")</f>
        <v>0.33333333333333337</v>
      </c>
      <c r="Q28" s="56">
        <v>1</v>
      </c>
      <c r="R28" s="56">
        <v>1</v>
      </c>
      <c r="S28" s="56">
        <v>1</v>
      </c>
      <c r="T28" s="10">
        <f>IF(Q28=1,(MIN(Вес4.1,Вес4.2,Вес4.3,Вес4.4))*((100/MIN(Вес4.1,Вес4.2,Вес4.3,Вес4.4))/AG28*Вес4.3/MIN(Вес4.1,Вес4.2,Вес4.3,Вес4.4)),"")</f>
        <v>33.333333333333336</v>
      </c>
      <c r="U28" s="10">
        <f>IF(T28="","не применяется",IF(Q28=0,"не применяется",T28*S28/100))</f>
        <v>0.33333333333333337</v>
      </c>
      <c r="V28" s="10">
        <f>IF(ISNUMBER(U28),U28,"")</f>
        <v>0.33333333333333337</v>
      </c>
      <c r="W28" s="56">
        <v>0</v>
      </c>
      <c r="X28" s="56">
        <v>0</v>
      </c>
      <c r="Y28" s="56">
        <v>0</v>
      </c>
      <c r="Z28" s="10" t="str">
        <f>IF(W28=1,(MIN(Вес4.1,Вес4.2,Вес4.3,Вес4.4))*((100/MIN(Вес4.1,Вес4.2,Вес4.3,Вес4.4))/AG28*Вес4.4/MIN(Вес4.1,Вес4.2,Вес4.3,Вес4.4)),"")</f>
        <v/>
      </c>
      <c r="AA28" s="10" t="str">
        <f>IF(Z28="","не применяется",IF(W28=0,"не применяется",Y28*Z28/100))</f>
        <v>не применяется</v>
      </c>
      <c r="AB28" s="10" t="str">
        <f>IF(ISNUMBER(AA28),AA28,"")</f>
        <v/>
      </c>
      <c r="AC28" s="10">
        <f>IF(E28=1,Вес4.1/MIN(Вес4.1,Вес4.2,Вес4.3,Вес4.4),"")</f>
        <v>3</v>
      </c>
      <c r="AD28" s="10">
        <f>IF(K28=1,Вес4.2/MIN(Вес4.1,Вес4.2,Вес4.3,Вес4.4),"")</f>
        <v>3</v>
      </c>
      <c r="AE28" s="10">
        <f>IF(Q28=1,Вес4.3/MIN(Вес4.1,Вес4.2,Вес4.3,Вес4.4),"")</f>
        <v>3</v>
      </c>
      <c r="AF28" s="10" t="str">
        <f>IF(W28=1,Вес4.4/MIN(Вес4.1,Вес4.2,Вес4.3,Вес4.4),"")</f>
        <v/>
      </c>
      <c r="AG28" s="10">
        <f>SUM(AC28:AF28)</f>
        <v>9</v>
      </c>
    </row>
    <row r="29" spans="1:33" ht="25.5" x14ac:dyDescent="0.2">
      <c r="A29" s="1" t="s">
        <v>113</v>
      </c>
      <c r="B29" s="9" t="s">
        <v>31</v>
      </c>
      <c r="C29" s="10">
        <f>IF(D29&lt;&gt;1,"",SUM(J29,P29,V29,AB29))</f>
        <v>1</v>
      </c>
      <c r="D29" s="10">
        <f>IF(SUM(E29,K29,Q29,W29)=0,0,1)</f>
        <v>1</v>
      </c>
      <c r="E29" s="56">
        <v>1</v>
      </c>
      <c r="F29" s="56">
        <v>100</v>
      </c>
      <c r="G29" s="56">
        <v>1</v>
      </c>
      <c r="H29" s="10">
        <f>IF(E29=1,(MIN(Вес4.1,Вес4.2,Вес4.3,Вес4.4))*((100/MIN(Вес4.1,Вес4.2,Вес4.3,Вес4.4))/AG29*Вес4.1/MIN(Вес4.1,Вес4.2,Вес4.3,Вес4.4)),"")</f>
        <v>33.333333333333336</v>
      </c>
      <c r="I29" s="10">
        <f>IF(H29="","не применяется",IF(E29=0,"не применяется",H29*G29/100))</f>
        <v>0.33333333333333337</v>
      </c>
      <c r="J29" s="10">
        <f>IF(ISNUMBER(I29),I29,"")</f>
        <v>0.33333333333333337</v>
      </c>
      <c r="K29" s="56">
        <v>1</v>
      </c>
      <c r="L29" s="56">
        <v>1</v>
      </c>
      <c r="M29" s="56">
        <v>1</v>
      </c>
      <c r="N29" s="10">
        <f>IF(K29=1,(MIN(Вес4.1,Вес4.2,Вес4.3,Вес4.4))*((100/MIN(Вес4.1,Вес4.2,Вес4.3,Вес4.4))/AG29*Вес4.2/MIN(Вес4.1,Вес4.2,Вес4.3,Вес4.4)),"")</f>
        <v>33.333333333333336</v>
      </c>
      <c r="O29" s="10">
        <f>IF(N29="","не применяется",IF(K29=0,"не применяется",N29*M29/100))</f>
        <v>0.33333333333333337</v>
      </c>
      <c r="P29" s="10">
        <f>IF(ISNUMBER(O29),O29,"")</f>
        <v>0.33333333333333337</v>
      </c>
      <c r="Q29" s="56">
        <v>1</v>
      </c>
      <c r="R29" s="56">
        <v>1</v>
      </c>
      <c r="S29" s="56">
        <v>1</v>
      </c>
      <c r="T29" s="10">
        <f>IF(Q29=1,(MIN(Вес4.1,Вес4.2,Вес4.3,Вес4.4))*((100/MIN(Вес4.1,Вес4.2,Вес4.3,Вес4.4))/AG29*Вес4.3/MIN(Вес4.1,Вес4.2,Вес4.3,Вес4.4)),"")</f>
        <v>33.333333333333336</v>
      </c>
      <c r="U29" s="10">
        <f>IF(T29="","не применяется",IF(Q29=0,"не применяется",T29*S29/100))</f>
        <v>0.33333333333333337</v>
      </c>
      <c r="V29" s="10">
        <f>IF(ISNUMBER(U29),U29,"")</f>
        <v>0.33333333333333337</v>
      </c>
      <c r="W29" s="56">
        <v>0</v>
      </c>
      <c r="X29" s="56">
        <v>0</v>
      </c>
      <c r="Y29" s="56">
        <v>0</v>
      </c>
      <c r="Z29" s="10" t="str">
        <f>IF(W29=1,(MIN(Вес4.1,Вес4.2,Вес4.3,Вес4.4))*((100/MIN(Вес4.1,Вес4.2,Вес4.3,Вес4.4))/AG29*Вес4.4/MIN(Вес4.1,Вес4.2,Вес4.3,Вес4.4)),"")</f>
        <v/>
      </c>
      <c r="AA29" s="10" t="str">
        <f>IF(Z29="","не применяется",IF(W29=0,"не применяется",Y29*Z29/100))</f>
        <v>не применяется</v>
      </c>
      <c r="AB29" s="10" t="str">
        <f>IF(ISNUMBER(AA29),AA29,"")</f>
        <v/>
      </c>
      <c r="AC29" s="10">
        <f>IF(E29=1,Вес4.1/MIN(Вес4.1,Вес4.2,Вес4.3,Вес4.4),"")</f>
        <v>3</v>
      </c>
      <c r="AD29" s="10">
        <f>IF(K29=1,Вес4.2/MIN(Вес4.1,Вес4.2,Вес4.3,Вес4.4),"")</f>
        <v>3</v>
      </c>
      <c r="AE29" s="10">
        <f>IF(Q29=1,Вес4.3/MIN(Вес4.1,Вес4.2,Вес4.3,Вес4.4),"")</f>
        <v>3</v>
      </c>
      <c r="AF29" s="10" t="str">
        <f>IF(W29=1,Вес4.4/MIN(Вес4.1,Вес4.2,Вес4.3,Вес4.4),"")</f>
        <v/>
      </c>
      <c r="AG29" s="10">
        <f>SUM(AC29:AF29)</f>
        <v>9</v>
      </c>
    </row>
    <row r="30" spans="1:33" ht="25.5" x14ac:dyDescent="0.2">
      <c r="A30" s="1" t="s">
        <v>114</v>
      </c>
      <c r="B30" s="9" t="s">
        <v>32</v>
      </c>
      <c r="C30" s="10">
        <f>IF(D30&lt;&gt;1,"",SUM(J30,P30,V30,AB30))</f>
        <v>1</v>
      </c>
      <c r="D30" s="10">
        <f>IF(SUM(E30,K30,Q30,W30)=0,0,1)</f>
        <v>1</v>
      </c>
      <c r="E30" s="56">
        <v>1</v>
      </c>
      <c r="F30" s="56">
        <v>100</v>
      </c>
      <c r="G30" s="56">
        <v>1</v>
      </c>
      <c r="H30" s="10">
        <f>IF(E30=1,(MIN(Вес4.1,Вес4.2,Вес4.3,Вес4.4))*((100/MIN(Вес4.1,Вес4.2,Вес4.3,Вес4.4))/AG30*Вес4.1/MIN(Вес4.1,Вес4.2,Вес4.3,Вес4.4)),"")</f>
        <v>33.333333333333336</v>
      </c>
      <c r="I30" s="10">
        <f>IF(H30="","не применяется",IF(E30=0,"не применяется",H30*G30/100))</f>
        <v>0.33333333333333337</v>
      </c>
      <c r="J30" s="10">
        <f>IF(ISNUMBER(I30),I30,"")</f>
        <v>0.33333333333333337</v>
      </c>
      <c r="K30" s="56">
        <v>1</v>
      </c>
      <c r="L30" s="56">
        <v>1</v>
      </c>
      <c r="M30" s="56">
        <v>1</v>
      </c>
      <c r="N30" s="10">
        <f>IF(K30=1,(MIN(Вес4.1,Вес4.2,Вес4.3,Вес4.4))*((100/MIN(Вес4.1,Вес4.2,Вес4.3,Вес4.4))/AG30*Вес4.2/MIN(Вес4.1,Вес4.2,Вес4.3,Вес4.4)),"")</f>
        <v>33.333333333333336</v>
      </c>
      <c r="O30" s="10">
        <f>IF(N30="","не применяется",IF(K30=0,"не применяется",N30*M30/100))</f>
        <v>0.33333333333333337</v>
      </c>
      <c r="P30" s="10">
        <f>IF(ISNUMBER(O30),O30,"")</f>
        <v>0.33333333333333337</v>
      </c>
      <c r="Q30" s="56">
        <v>1</v>
      </c>
      <c r="R30" s="56">
        <v>1</v>
      </c>
      <c r="S30" s="56">
        <v>1</v>
      </c>
      <c r="T30" s="10">
        <f>IF(Q30=1,(MIN(Вес4.1,Вес4.2,Вес4.3,Вес4.4))*((100/MIN(Вес4.1,Вес4.2,Вес4.3,Вес4.4))/AG30*Вес4.3/MIN(Вес4.1,Вес4.2,Вес4.3,Вес4.4)),"")</f>
        <v>33.333333333333336</v>
      </c>
      <c r="U30" s="10">
        <f>IF(T30="","не применяется",IF(Q30=0,"не применяется",T30*S30/100))</f>
        <v>0.33333333333333337</v>
      </c>
      <c r="V30" s="10">
        <f>IF(ISNUMBER(U30),U30,"")</f>
        <v>0.33333333333333337</v>
      </c>
      <c r="W30" s="56">
        <v>0</v>
      </c>
      <c r="X30" s="56">
        <v>0</v>
      </c>
      <c r="Y30" s="56">
        <v>0</v>
      </c>
      <c r="Z30" s="10" t="str">
        <f>IF(W30=1,(MIN(Вес4.1,Вес4.2,Вес4.3,Вес4.4))*((100/MIN(Вес4.1,Вес4.2,Вес4.3,Вес4.4))/AG30*Вес4.4/MIN(Вес4.1,Вес4.2,Вес4.3,Вес4.4)),"")</f>
        <v/>
      </c>
      <c r="AA30" s="10" t="str">
        <f>IF(Z30="","не применяется",IF(W30=0,"не применяется",Y30*Z30/100))</f>
        <v>не применяется</v>
      </c>
      <c r="AB30" s="10" t="str">
        <f>IF(ISNUMBER(AA30),AA30,"")</f>
        <v/>
      </c>
      <c r="AC30" s="10">
        <f>IF(E30=1,Вес4.1/MIN(Вес4.1,Вес4.2,Вес4.3,Вес4.4),"")</f>
        <v>3</v>
      </c>
      <c r="AD30" s="10">
        <f>IF(K30=1,Вес4.2/MIN(Вес4.1,Вес4.2,Вес4.3,Вес4.4),"")</f>
        <v>3</v>
      </c>
      <c r="AE30" s="10">
        <f>IF(Q30=1,Вес4.3/MIN(Вес4.1,Вес4.2,Вес4.3,Вес4.4),"")</f>
        <v>3</v>
      </c>
      <c r="AF30" s="10" t="str">
        <f>IF(W30=1,Вес4.4/MIN(Вес4.1,Вес4.2,Вес4.3,Вес4.4),"")</f>
        <v/>
      </c>
      <c r="AG30" s="10">
        <f>SUM(AC30:AF30)</f>
        <v>9</v>
      </c>
    </row>
    <row r="31" spans="1:33" ht="25.5" x14ac:dyDescent="0.2">
      <c r="A31" s="1" t="s">
        <v>115</v>
      </c>
      <c r="B31" s="9" t="s">
        <v>33</v>
      </c>
      <c r="C31" s="10">
        <f>IF(D31&lt;&gt;1,"",SUM(J31,P31,V31,AB31))</f>
        <v>0.99999999999999989</v>
      </c>
      <c r="D31" s="10">
        <f>IF(SUM(E31,K31,Q31,W31)=0,0,1)</f>
        <v>1</v>
      </c>
      <c r="E31" s="56">
        <v>1</v>
      </c>
      <c r="F31" s="56">
        <v>100</v>
      </c>
      <c r="G31" s="56">
        <v>1</v>
      </c>
      <c r="H31" s="10">
        <f>IF(E31=1,(MIN(Вес4.1,Вес4.2,Вес4.3,Вес4.4))*((100/MIN(Вес4.1,Вес4.2,Вес4.3,Вес4.4))/AG31*Вес4.1/MIN(Вес4.1,Вес4.2,Вес4.3,Вес4.4)),"")</f>
        <v>30</v>
      </c>
      <c r="I31" s="10">
        <f>IF(H31="","не применяется",IF(E31=0,"не применяется",H31*G31/100))</f>
        <v>0.3</v>
      </c>
      <c r="J31" s="10">
        <f>IF(ISNUMBER(I31),I31,"")</f>
        <v>0.3</v>
      </c>
      <c r="K31" s="56">
        <v>1</v>
      </c>
      <c r="L31" s="56">
        <v>1</v>
      </c>
      <c r="M31" s="56">
        <v>1</v>
      </c>
      <c r="N31" s="10">
        <f>IF(K31=1,(MIN(Вес4.1,Вес4.2,Вес4.3,Вес4.4))*((100/MIN(Вес4.1,Вес4.2,Вес4.3,Вес4.4))/AG31*Вес4.2/MIN(Вес4.1,Вес4.2,Вес4.3,Вес4.4)),"")</f>
        <v>30</v>
      </c>
      <c r="O31" s="10">
        <f>IF(N31="","не применяется",IF(K31=0,"не применяется",N31*M31/100))</f>
        <v>0.3</v>
      </c>
      <c r="P31" s="10">
        <f>IF(ISNUMBER(O31),O31,"")</f>
        <v>0.3</v>
      </c>
      <c r="Q31" s="56">
        <v>1</v>
      </c>
      <c r="R31" s="56">
        <v>1</v>
      </c>
      <c r="S31" s="56">
        <v>1</v>
      </c>
      <c r="T31" s="10">
        <f>IF(Q31=1,(MIN(Вес4.1,Вес4.2,Вес4.3,Вес4.4))*((100/MIN(Вес4.1,Вес4.2,Вес4.3,Вес4.4))/AG31*Вес4.3/MIN(Вес4.1,Вес4.2,Вес4.3,Вес4.4)),"")</f>
        <v>30</v>
      </c>
      <c r="U31" s="10">
        <f>IF(T31="","не применяется",IF(Q31=0,"не применяется",T31*S31/100))</f>
        <v>0.3</v>
      </c>
      <c r="V31" s="10">
        <f>IF(ISNUMBER(U31),U31,"")</f>
        <v>0.3</v>
      </c>
      <c r="W31" s="56">
        <v>1</v>
      </c>
      <c r="X31" s="56">
        <v>100</v>
      </c>
      <c r="Y31" s="56">
        <v>1</v>
      </c>
      <c r="Z31" s="10">
        <f>IF(W31=1,(MIN(Вес4.1,Вес4.2,Вес4.3,Вес4.4))*((100/MIN(Вес4.1,Вес4.2,Вес4.3,Вес4.4))/AG31*Вес4.4/MIN(Вес4.1,Вес4.2,Вес4.3,Вес4.4)),"")</f>
        <v>10</v>
      </c>
      <c r="AA31" s="10">
        <f>IF(Z31="","не применяется",IF(W31=0,"не применяется",Y31*Z31/100))</f>
        <v>0.1</v>
      </c>
      <c r="AB31" s="10">
        <f>IF(ISNUMBER(AA31),AA31,"")</f>
        <v>0.1</v>
      </c>
      <c r="AC31" s="10">
        <f>IF(E31=1,Вес4.1/MIN(Вес4.1,Вес4.2,Вес4.3,Вес4.4),"")</f>
        <v>3</v>
      </c>
      <c r="AD31" s="10">
        <f>IF(K31=1,Вес4.2/MIN(Вес4.1,Вес4.2,Вес4.3,Вес4.4),"")</f>
        <v>3</v>
      </c>
      <c r="AE31" s="10">
        <f>IF(Q31=1,Вес4.3/MIN(Вес4.1,Вес4.2,Вес4.3,Вес4.4),"")</f>
        <v>3</v>
      </c>
      <c r="AF31" s="10">
        <f>IF(W31=1,Вес4.4/MIN(Вес4.1,Вес4.2,Вес4.3,Вес4.4),"")</f>
        <v>1</v>
      </c>
      <c r="AG31" s="10">
        <f>SUM(AC31:AF31)</f>
        <v>10</v>
      </c>
    </row>
    <row r="32" spans="1:33" ht="25.5" x14ac:dyDescent="0.2">
      <c r="A32" s="1" t="s">
        <v>116</v>
      </c>
      <c r="B32" s="9" t="s">
        <v>34</v>
      </c>
      <c r="C32" s="10">
        <f>IF(D32&lt;&gt;1,"",SUM(J32,P32,V32,AB32))</f>
        <v>0.52500000000000002</v>
      </c>
      <c r="D32" s="10">
        <f>IF(SUM(E32,K32,Q32,W32)=0,0,1)</f>
        <v>1</v>
      </c>
      <c r="E32" s="56">
        <v>1</v>
      </c>
      <c r="F32" s="56">
        <v>0.33329999999999999</v>
      </c>
      <c r="G32" s="56">
        <v>0</v>
      </c>
      <c r="H32" s="10">
        <f>IF(E32=1,(MIN(Вес4.1,Вес4.2,Вес4.3,Вес4.4))*((100/MIN(Вес4.1,Вес4.2,Вес4.3,Вес4.4))/AG32*Вес4.1/MIN(Вес4.1,Вес4.2,Вес4.3,Вес4.4)),"")</f>
        <v>30</v>
      </c>
      <c r="I32" s="10">
        <f>IF(H32="","не применяется",IF(E32=0,"не применяется",H32*G32/100))</f>
        <v>0</v>
      </c>
      <c r="J32" s="10">
        <f>IF(ISNUMBER(I32),I32,"")</f>
        <v>0</v>
      </c>
      <c r="K32" s="56">
        <v>1</v>
      </c>
      <c r="L32" s="56">
        <v>0.75</v>
      </c>
      <c r="M32" s="56">
        <v>0.75</v>
      </c>
      <c r="N32" s="10">
        <f>IF(K32=1,(MIN(Вес4.1,Вес4.2,Вес4.3,Вес4.4))*((100/MIN(Вес4.1,Вес4.2,Вес4.3,Вес4.4))/AG32*Вес4.2/MIN(Вес4.1,Вес4.2,Вес4.3,Вес4.4)),"")</f>
        <v>30</v>
      </c>
      <c r="O32" s="10">
        <f>IF(N32="","не применяется",IF(K32=0,"не применяется",N32*M32/100))</f>
        <v>0.22500000000000001</v>
      </c>
      <c r="P32" s="10">
        <f>IF(ISNUMBER(O32),O32,"")</f>
        <v>0.22500000000000001</v>
      </c>
      <c r="Q32" s="56">
        <v>1</v>
      </c>
      <c r="R32" s="56">
        <v>1</v>
      </c>
      <c r="S32" s="56">
        <v>1</v>
      </c>
      <c r="T32" s="10">
        <f>IF(Q32=1,(MIN(Вес4.1,Вес4.2,Вес4.3,Вес4.4))*((100/MIN(Вес4.1,Вес4.2,Вес4.3,Вес4.4))/AG32*Вес4.3/MIN(Вес4.1,Вес4.2,Вес4.3,Вес4.4)),"")</f>
        <v>30</v>
      </c>
      <c r="U32" s="10">
        <f>IF(T32="","не применяется",IF(Q32=0,"не применяется",T32*S32/100))</f>
        <v>0.3</v>
      </c>
      <c r="V32" s="10">
        <f>IF(ISNUMBER(U32),U32,"")</f>
        <v>0.3</v>
      </c>
      <c r="W32" s="56">
        <v>1</v>
      </c>
      <c r="X32" s="56">
        <v>50</v>
      </c>
      <c r="Y32" s="56">
        <v>0</v>
      </c>
      <c r="Z32" s="10">
        <f>IF(W32=1,(MIN(Вес4.1,Вес4.2,Вес4.3,Вес4.4))*((100/MIN(Вес4.1,Вес4.2,Вес4.3,Вес4.4))/AG32*Вес4.4/MIN(Вес4.1,Вес4.2,Вес4.3,Вес4.4)),"")</f>
        <v>10</v>
      </c>
      <c r="AA32" s="10">
        <f>IF(Z32="","не применяется",IF(W32=0,"не применяется",Y32*Z32/100))</f>
        <v>0</v>
      </c>
      <c r="AB32" s="10">
        <f>IF(ISNUMBER(AA32),AA32,"")</f>
        <v>0</v>
      </c>
      <c r="AC32" s="10">
        <f>IF(E32=1,Вес4.1/MIN(Вес4.1,Вес4.2,Вес4.3,Вес4.4),"")</f>
        <v>3</v>
      </c>
      <c r="AD32" s="10">
        <f>IF(K32=1,Вес4.2/MIN(Вес4.1,Вес4.2,Вес4.3,Вес4.4),"")</f>
        <v>3</v>
      </c>
      <c r="AE32" s="10">
        <f>IF(Q32=1,Вес4.3/MIN(Вес4.1,Вес4.2,Вес4.3,Вес4.4),"")</f>
        <v>3</v>
      </c>
      <c r="AF32" s="10">
        <f>IF(W32=1,Вес4.4/MIN(Вес4.1,Вес4.2,Вес4.3,Вес4.4),"")</f>
        <v>1</v>
      </c>
      <c r="AG32" s="10">
        <f>SUM(AC32:AF32)</f>
        <v>10</v>
      </c>
    </row>
    <row r="33" spans="1:34" ht="38.25" x14ac:dyDescent="0.2">
      <c r="A33" s="1" t="s">
        <v>117</v>
      </c>
      <c r="B33" s="9" t="s">
        <v>89</v>
      </c>
      <c r="C33" s="10">
        <f>IF(D33&lt;&gt;1,"",SUM(J33,P33,V33,AB33))</f>
        <v>0.7</v>
      </c>
      <c r="D33" s="10">
        <f>IF(SUM(E33,K33,Q33,W33)=0,0,1)</f>
        <v>1</v>
      </c>
      <c r="E33" s="56">
        <v>1</v>
      </c>
      <c r="F33" s="56">
        <v>0.33329999999999999</v>
      </c>
      <c r="G33" s="56">
        <v>0</v>
      </c>
      <c r="H33" s="10">
        <f>IF(E33=1,(MIN(Вес4.1,Вес4.2,Вес4.3,Вес4.4))*((100/MIN(Вес4.1,Вес4.2,Вес4.3,Вес4.4))/AG33*Вес4.1/MIN(Вес4.1,Вес4.2,Вес4.3,Вес4.4)),"")</f>
        <v>30</v>
      </c>
      <c r="I33" s="10">
        <f>IF(H33="","не применяется",IF(E33=0,"не применяется",H33*G33/100))</f>
        <v>0</v>
      </c>
      <c r="J33" s="10">
        <f>IF(ISNUMBER(I33),I33,"")</f>
        <v>0</v>
      </c>
      <c r="K33" s="56">
        <v>1</v>
      </c>
      <c r="L33" s="56">
        <v>1</v>
      </c>
      <c r="M33" s="56">
        <v>1</v>
      </c>
      <c r="N33" s="10">
        <f>IF(K33=1,(MIN(Вес4.1,Вес4.2,Вес4.3,Вес4.4))*((100/MIN(Вес4.1,Вес4.2,Вес4.3,Вес4.4))/AG33*Вес4.2/MIN(Вес4.1,Вес4.2,Вес4.3,Вес4.4)),"")</f>
        <v>30</v>
      </c>
      <c r="O33" s="10">
        <f>IF(N33="","не применяется",IF(K33=0,"не применяется",N33*M33/100))</f>
        <v>0.3</v>
      </c>
      <c r="P33" s="10">
        <f>IF(ISNUMBER(O33),O33,"")</f>
        <v>0.3</v>
      </c>
      <c r="Q33" s="56">
        <v>1</v>
      </c>
      <c r="R33" s="56">
        <v>1</v>
      </c>
      <c r="S33" s="56">
        <v>1</v>
      </c>
      <c r="T33" s="10">
        <f>IF(Q33=1,(MIN(Вес4.1,Вес4.2,Вес4.3,Вес4.4))*((100/MIN(Вес4.1,Вес4.2,Вес4.3,Вес4.4))/AG33*Вес4.3/MIN(Вес4.1,Вес4.2,Вес4.3,Вес4.4)),"")</f>
        <v>30</v>
      </c>
      <c r="U33" s="10">
        <f>IF(T33="","не применяется",IF(Q33=0,"не применяется",T33*S33/100))</f>
        <v>0.3</v>
      </c>
      <c r="V33" s="10">
        <f>IF(ISNUMBER(U33),U33,"")</f>
        <v>0.3</v>
      </c>
      <c r="W33" s="56">
        <v>1</v>
      </c>
      <c r="X33" s="56">
        <v>100</v>
      </c>
      <c r="Y33" s="56">
        <v>1</v>
      </c>
      <c r="Z33" s="10">
        <f>IF(W33=1,(MIN(Вес4.1,Вес4.2,Вес4.3,Вес4.4))*((100/MIN(Вес4.1,Вес4.2,Вес4.3,Вес4.4))/AG33*Вес4.4/MIN(Вес4.1,Вес4.2,Вес4.3,Вес4.4)),"")</f>
        <v>10</v>
      </c>
      <c r="AA33" s="10">
        <f>IF(Z33="","не применяется",IF(W33=0,"не применяется",Y33*Z33/100))</f>
        <v>0.1</v>
      </c>
      <c r="AB33" s="10">
        <f>IF(ISNUMBER(AA33),AA33,"")</f>
        <v>0.1</v>
      </c>
      <c r="AC33" s="10">
        <f>IF(E33=1,Вес4.1/MIN(Вес4.1,Вес4.2,Вес4.3,Вес4.4),"")</f>
        <v>3</v>
      </c>
      <c r="AD33" s="10">
        <f>IF(K33=1,Вес4.2/MIN(Вес4.1,Вес4.2,Вес4.3,Вес4.4),"")</f>
        <v>3</v>
      </c>
      <c r="AE33" s="10">
        <f>IF(Q33=1,Вес4.3/MIN(Вес4.1,Вес4.2,Вес4.3,Вес4.4),"")</f>
        <v>3</v>
      </c>
      <c r="AF33" s="10">
        <f>IF(W33=1,Вес4.4/MIN(Вес4.1,Вес4.2,Вес4.3,Вес4.4),"")</f>
        <v>1</v>
      </c>
      <c r="AG33" s="10">
        <f>SUM(AC33:AF33)</f>
        <v>10</v>
      </c>
    </row>
    <row r="34" spans="1:34" ht="38.25" x14ac:dyDescent="0.2">
      <c r="A34" s="1" t="s">
        <v>118</v>
      </c>
      <c r="B34" s="9" t="s">
        <v>35</v>
      </c>
      <c r="C34" s="10">
        <f>IF(D34&lt;&gt;1,"",SUM(J34,P34,V34,AB34))</f>
        <v>1</v>
      </c>
      <c r="D34" s="10">
        <f>IF(SUM(E34,K34,Q34,W34)=0,0,1)</f>
        <v>1</v>
      </c>
      <c r="E34" s="56">
        <v>1</v>
      </c>
      <c r="F34" s="56">
        <v>100</v>
      </c>
      <c r="G34" s="56">
        <v>1</v>
      </c>
      <c r="H34" s="10">
        <f>IF(E34=1,(MIN(Вес4.1,Вес4.2,Вес4.3,Вес4.4))*((100/MIN(Вес4.1,Вес4.2,Вес4.3,Вес4.4))/AG34*Вес4.1/MIN(Вес4.1,Вес4.2,Вес4.3,Вес4.4)),"")</f>
        <v>33.333333333333336</v>
      </c>
      <c r="I34" s="10">
        <f>IF(H34="","не применяется",IF(E34=0,"не применяется",H34*G34/100))</f>
        <v>0.33333333333333337</v>
      </c>
      <c r="J34" s="10">
        <f>IF(ISNUMBER(I34),I34,"")</f>
        <v>0.33333333333333337</v>
      </c>
      <c r="K34" s="56">
        <v>1</v>
      </c>
      <c r="L34" s="56">
        <v>1</v>
      </c>
      <c r="M34" s="56">
        <v>1</v>
      </c>
      <c r="N34" s="10">
        <f>IF(K34=1,(MIN(Вес4.1,Вес4.2,Вес4.3,Вес4.4))*((100/MIN(Вес4.1,Вес4.2,Вес4.3,Вес4.4))/AG34*Вес4.2/MIN(Вес4.1,Вес4.2,Вес4.3,Вес4.4)),"")</f>
        <v>33.333333333333336</v>
      </c>
      <c r="O34" s="10">
        <f>IF(N34="","не применяется",IF(K34=0,"не применяется",N34*M34/100))</f>
        <v>0.33333333333333337</v>
      </c>
      <c r="P34" s="10">
        <f>IF(ISNUMBER(O34),O34,"")</f>
        <v>0.33333333333333337</v>
      </c>
      <c r="Q34" s="56">
        <v>1</v>
      </c>
      <c r="R34" s="56">
        <v>1</v>
      </c>
      <c r="S34" s="56">
        <v>1</v>
      </c>
      <c r="T34" s="10">
        <f>IF(Q34=1,(MIN(Вес4.1,Вес4.2,Вес4.3,Вес4.4))*((100/MIN(Вес4.1,Вес4.2,Вес4.3,Вес4.4))/AG34*Вес4.3/MIN(Вес4.1,Вес4.2,Вес4.3,Вес4.4)),"")</f>
        <v>33.333333333333336</v>
      </c>
      <c r="U34" s="10">
        <f>IF(T34="","не применяется",IF(Q34=0,"не применяется",T34*S34/100))</f>
        <v>0.33333333333333337</v>
      </c>
      <c r="V34" s="10">
        <f>IF(ISNUMBER(U34),U34,"")</f>
        <v>0.33333333333333337</v>
      </c>
      <c r="W34" s="56">
        <v>0</v>
      </c>
      <c r="X34" s="56">
        <v>0</v>
      </c>
      <c r="Y34" s="56">
        <v>0</v>
      </c>
      <c r="Z34" s="10" t="str">
        <f>IF(W34=1,(MIN(Вес4.1,Вес4.2,Вес4.3,Вес4.4))*((100/MIN(Вес4.1,Вес4.2,Вес4.3,Вес4.4))/AG34*Вес4.4/MIN(Вес4.1,Вес4.2,Вес4.3,Вес4.4)),"")</f>
        <v/>
      </c>
      <c r="AA34" s="10" t="str">
        <f>IF(Z34="","не применяется",IF(W34=0,"не применяется",Y34*Z34/100))</f>
        <v>не применяется</v>
      </c>
      <c r="AB34" s="10" t="str">
        <f>IF(ISNUMBER(AA34),AA34,"")</f>
        <v/>
      </c>
      <c r="AC34" s="10">
        <f>IF(E34=1,Вес4.1/MIN(Вес4.1,Вес4.2,Вес4.3,Вес4.4),"")</f>
        <v>3</v>
      </c>
      <c r="AD34" s="10">
        <f>IF(K34=1,Вес4.2/MIN(Вес4.1,Вес4.2,Вес4.3,Вес4.4),"")</f>
        <v>3</v>
      </c>
      <c r="AE34" s="10">
        <f>IF(Q34=1,Вес4.3/MIN(Вес4.1,Вес4.2,Вес4.3,Вес4.4),"")</f>
        <v>3</v>
      </c>
      <c r="AF34" s="10" t="str">
        <f>IF(W34=1,Вес4.4/MIN(Вес4.1,Вес4.2,Вес4.3,Вес4.4),"")</f>
        <v/>
      </c>
      <c r="AG34" s="10">
        <f>SUM(AC34:AF34)</f>
        <v>9</v>
      </c>
    </row>
    <row r="35" spans="1:34" ht="25.5" x14ac:dyDescent="0.2">
      <c r="A35" s="1" t="s">
        <v>119</v>
      </c>
      <c r="B35" s="9" t="s">
        <v>36</v>
      </c>
      <c r="C35" s="10">
        <f>IF(D35&lt;&gt;1,"",SUM(J35,P35,V35,AB35))</f>
        <v>0.66666666666666674</v>
      </c>
      <c r="D35" s="10">
        <f>IF(SUM(E35,K35,Q35,W35)=0,0,1)</f>
        <v>1</v>
      </c>
      <c r="E35" s="56">
        <v>1</v>
      </c>
      <c r="F35" s="56">
        <v>0.5</v>
      </c>
      <c r="G35" s="56">
        <v>0</v>
      </c>
      <c r="H35" s="10">
        <f>IF(E35=1,(MIN(Вес4.1,Вес4.2,Вес4.3,Вес4.4))*((100/MIN(Вес4.1,Вес4.2,Вес4.3,Вес4.4))/AG35*Вес4.1/MIN(Вес4.1,Вес4.2,Вес4.3,Вес4.4)),"")</f>
        <v>33.333333333333336</v>
      </c>
      <c r="I35" s="10">
        <f>IF(H35="","не применяется",IF(E35=0,"не применяется",H35*G35/100))</f>
        <v>0</v>
      </c>
      <c r="J35" s="10">
        <f>IF(ISNUMBER(I35),I35,"")</f>
        <v>0</v>
      </c>
      <c r="K35" s="56">
        <v>1</v>
      </c>
      <c r="L35" s="56">
        <v>1</v>
      </c>
      <c r="M35" s="56">
        <v>1</v>
      </c>
      <c r="N35" s="10">
        <f>IF(K35=1,(MIN(Вес4.1,Вес4.2,Вес4.3,Вес4.4))*((100/MIN(Вес4.1,Вес4.2,Вес4.3,Вес4.4))/AG35*Вес4.2/MIN(Вес4.1,Вес4.2,Вес4.3,Вес4.4)),"")</f>
        <v>33.333333333333336</v>
      </c>
      <c r="O35" s="10">
        <f>IF(N35="","не применяется",IF(K35=0,"не применяется",N35*M35/100))</f>
        <v>0.33333333333333337</v>
      </c>
      <c r="P35" s="10">
        <f>IF(ISNUMBER(O35),O35,"")</f>
        <v>0.33333333333333337</v>
      </c>
      <c r="Q35" s="56">
        <v>1</v>
      </c>
      <c r="R35" s="56">
        <v>1</v>
      </c>
      <c r="S35" s="56">
        <v>1</v>
      </c>
      <c r="T35" s="10">
        <f>IF(Q35=1,(MIN(Вес4.1,Вес4.2,Вес4.3,Вес4.4))*((100/MIN(Вес4.1,Вес4.2,Вес4.3,Вес4.4))/AG35*Вес4.3/MIN(Вес4.1,Вес4.2,Вес4.3,Вес4.4)),"")</f>
        <v>33.333333333333336</v>
      </c>
      <c r="U35" s="10">
        <f>IF(T35="","не применяется",IF(Q35=0,"не применяется",T35*S35/100))</f>
        <v>0.33333333333333337</v>
      </c>
      <c r="V35" s="10">
        <f>IF(ISNUMBER(U35),U35,"")</f>
        <v>0.33333333333333337</v>
      </c>
      <c r="W35" s="56">
        <v>0</v>
      </c>
      <c r="X35" s="56">
        <v>0</v>
      </c>
      <c r="Y35" s="56">
        <v>0</v>
      </c>
      <c r="Z35" s="10" t="str">
        <f>IF(W35=1,(MIN(Вес4.1,Вес4.2,Вес4.3,Вес4.4))*((100/MIN(Вес4.1,Вес4.2,Вес4.3,Вес4.4))/AG35*Вес4.4/MIN(Вес4.1,Вес4.2,Вес4.3,Вес4.4)),"")</f>
        <v/>
      </c>
      <c r="AA35" s="10" t="str">
        <f>IF(Z35="","не применяется",IF(W35=0,"не применяется",Y35*Z35/100))</f>
        <v>не применяется</v>
      </c>
      <c r="AB35" s="10" t="str">
        <f>IF(ISNUMBER(AA35),AA35,"")</f>
        <v/>
      </c>
      <c r="AC35" s="10">
        <f>IF(E35=1,Вес4.1/MIN(Вес4.1,Вес4.2,Вес4.3,Вес4.4),"")</f>
        <v>3</v>
      </c>
      <c r="AD35" s="10">
        <f>IF(K35=1,Вес4.2/MIN(Вес4.1,Вес4.2,Вес4.3,Вес4.4),"")</f>
        <v>3</v>
      </c>
      <c r="AE35" s="10">
        <f>IF(Q35=1,Вес4.3/MIN(Вес4.1,Вес4.2,Вес4.3,Вес4.4),"")</f>
        <v>3</v>
      </c>
      <c r="AF35" s="10" t="str">
        <f>IF(W35=1,Вес4.4/MIN(Вес4.1,Вес4.2,Вес4.3,Вес4.4),"")</f>
        <v/>
      </c>
      <c r="AG35" s="10">
        <f>SUM(AC35:AF35)</f>
        <v>9</v>
      </c>
    </row>
    <row r="36" spans="1:34" x14ac:dyDescent="0.2">
      <c r="AH36" s="8"/>
    </row>
    <row r="37" spans="1:34" x14ac:dyDescent="0.2">
      <c r="AH37" s="8"/>
    </row>
    <row r="38" spans="1:34" x14ac:dyDescent="0.2">
      <c r="AH38" s="8"/>
    </row>
    <row r="39" spans="1:34" x14ac:dyDescent="0.2">
      <c r="AH39" s="8"/>
    </row>
    <row r="40" spans="1:34" x14ac:dyDescent="0.2">
      <c r="AH40" s="8"/>
    </row>
    <row r="41" spans="1:34" x14ac:dyDescent="0.2">
      <c r="AH41" s="8"/>
    </row>
    <row r="42" spans="1:34" x14ac:dyDescent="0.2">
      <c r="AH42" s="8"/>
    </row>
    <row r="43" spans="1:34" x14ac:dyDescent="0.2">
      <c r="AH43" s="8"/>
    </row>
    <row r="44" spans="1:34" x14ac:dyDescent="0.2">
      <c r="AH44" s="8"/>
    </row>
    <row r="45" spans="1:34" x14ac:dyDescent="0.2">
      <c r="AH45" s="8"/>
    </row>
    <row r="46" spans="1:34" x14ac:dyDescent="0.2">
      <c r="AH46" s="8"/>
    </row>
    <row r="47" spans="1:34" x14ac:dyDescent="0.2">
      <c r="AH47" s="8"/>
    </row>
    <row r="48" spans="1:34" x14ac:dyDescent="0.2">
      <c r="AH48" s="8"/>
    </row>
    <row r="49" ht="30" customHeight="1" x14ac:dyDescent="0.2"/>
  </sheetData>
  <sheetProtection algorithmName="SHA-512" hashValue="aVz1Dh+vvauIXnABqUDE5w2IJlo35NJNpl7xI0gEyGlGngJhifcrYxqEIeJGxVKKp16c8qwcP2a208UG23M2bw==" saltValue="N4SQBqHQFvnKs4ctir4fKA==" spinCount="100000" sheet="1" objects="1" scenarios="1" formatCells="0" formatColumns="0" formatRows="0" deleteColumns="0" deleteRows="0"/>
  <protectedRanges>
    <protectedRange sqref="C15:C35" name="krista_tr_48286_0_0"/>
    <protectedRange sqref="D15:D35" name="krista_tr_40531_0_0"/>
    <protectedRange sqref="H15:H35" name="krista_tf_40535_0_0"/>
    <protectedRange sqref="I15:I35" name="krista_tf_40536_0_0"/>
    <protectedRange sqref="J15:J35" name="krista_tr_40537_0_0"/>
    <protectedRange sqref="N15:N35" name="krista_tf_40541_0_0"/>
    <protectedRange sqref="O15:O35" name="krista_tf_40542_0_0"/>
    <protectedRange sqref="P15:P35" name="krista_tr_40543_0_0"/>
    <protectedRange sqref="T15:T35" name="krista_tf_40547_0_0"/>
    <protectedRange sqref="U15:U35" name="krista_tf_40548_0_0"/>
    <protectedRange sqref="V15:V35" name="krista_tr_40549_0_0"/>
    <protectedRange sqref="Z15:Z35" name="krista_tf_40553_0_0"/>
    <protectedRange sqref="AA15:AA35" name="krista_tf_40554_0_0"/>
    <protectedRange sqref="AB15:AB35" name="krista_tr_40555_0_0"/>
    <protectedRange sqref="AC15:AC35" name="krista_tf_40580_0_0"/>
    <protectedRange sqref="AD15:AD35" name="krista_tf_40581_0_0"/>
    <protectedRange sqref="AE15:AE35" name="krista_tf_40582_0_0"/>
    <protectedRange sqref="AF15:AF35" name="krista_tf_40583_0_0"/>
    <protectedRange sqref="AG15:AG35" name="krista_tf_40588_0_0"/>
  </protectedRanges>
  <mergeCells count="14">
    <mergeCell ref="Q13:V13"/>
    <mergeCell ref="W13:AB13"/>
    <mergeCell ref="E13:J13"/>
    <mergeCell ref="K13:P13"/>
    <mergeCell ref="AC13:AG13"/>
    <mergeCell ref="A13:A14"/>
    <mergeCell ref="B13:B14"/>
    <mergeCell ref="C13:C14"/>
    <mergeCell ref="D13:D14"/>
    <mergeCell ref="A1:E1"/>
    <mergeCell ref="B8:H8"/>
    <mergeCell ref="B9:H9"/>
    <mergeCell ref="B10:H10"/>
    <mergeCell ref="B11:H11"/>
  </mergeCells>
  <conditionalFormatting sqref="A8:A12">
    <cfRule type="expression" dxfId="3" priority="4" stopIfTrue="1">
      <formula>"(сумм(A8:F12)&lt;&gt;100"</formula>
    </cfRule>
  </conditionalFormatting>
  <pageMargins left="0.7" right="0.7" top="0.75" bottom="0.75" header="0.3" footer="0.3"/>
  <pageSetup paperSize="8" scale="74" fitToWidth="0" orientation="landscape" r:id="rId1"/>
  <headerFooter alignWithMargins="0"/>
  <colBreaks count="1" manualBreakCount="1">
    <brk id="23" max="35" man="1"/>
  </colBreaks>
  <customProperties>
    <customPr name="40591" r:id="rId2"/>
    <customPr name="40592" r:id="rId3"/>
    <customPr name="40593" r:id="rId4"/>
    <customPr name="40594" r:id="rId5"/>
    <customPr name="40595" r:id="rId6"/>
    <customPr name="krista_fm_columnsmarkup" r:id="rId7"/>
    <customPr name="krista_fm_consts" r:id="rId8"/>
    <customPr name="krista_fm_Events" r:id="rId9"/>
    <customPr name="krista_fm_metadataXML" r:id="rId10"/>
    <customPr name="krista_fm_rowsaxis" r:id="rId11"/>
    <customPr name="krista_fm_rowsmarkup" r:id="rId12"/>
    <customPr name="krista_SheetHistory" r:id="rId13"/>
    <customPr name="p14" r:id="rId14"/>
    <customPr name="p15" r:id="rId15"/>
    <customPr name="p19" r:id="rId16"/>
  </customProperties>
  <legacyDrawing r:id="rId1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rgb="FFFFC000"/>
    <pageSetUpPr fitToPage="1"/>
  </sheetPr>
  <dimension ref="A1:S52"/>
  <sheetViews>
    <sheetView view="pageBreakPreview" topLeftCell="A7" zoomScale="80" zoomScaleNormal="75" zoomScaleSheetLayoutView="80" workbookViewId="0">
      <selection activeCell="A11" sqref="A11:A12"/>
    </sheetView>
  </sheetViews>
  <sheetFormatPr defaultRowHeight="12.75" x14ac:dyDescent="0.2"/>
  <cols>
    <col min="1" max="1" width="6.28515625" customWidth="1"/>
    <col min="2" max="2" width="81.42578125" customWidth="1"/>
    <col min="3" max="3" width="14.140625" customWidth="1"/>
    <col min="4" max="4" width="18.140625" customWidth="1"/>
    <col min="5" max="5" width="14.5703125" customWidth="1"/>
    <col min="6" max="6" width="12.7109375" customWidth="1"/>
    <col min="7" max="7" width="11.5703125" customWidth="1"/>
    <col min="8" max="8" width="13" customWidth="1"/>
    <col min="9" max="9" width="13.85546875" customWidth="1"/>
    <col min="10" max="10" width="11" customWidth="1"/>
    <col min="11" max="11" width="14.7109375" customWidth="1"/>
    <col min="12" max="12" width="12.5703125" customWidth="1"/>
    <col min="13" max="13" width="11.7109375" customWidth="1"/>
    <col min="14" max="15" width="13.140625" customWidth="1"/>
    <col min="16" max="16" width="13.28515625" customWidth="1"/>
    <col min="17" max="17" width="11.7109375" customWidth="1"/>
    <col min="18" max="18" width="11.42578125" customWidth="1"/>
    <col min="19" max="19" width="13" customWidth="1"/>
    <col min="20" max="27" width="27.42578125" customWidth="1"/>
    <col min="28" max="28" width="60.85546875" customWidth="1"/>
    <col min="29" max="34" width="27.42578125" customWidth="1"/>
    <col min="35" max="37" width="31.28515625" customWidth="1"/>
    <col min="38" max="38" width="27.42578125" customWidth="1"/>
    <col min="39" max="41" width="34.28515625" customWidth="1"/>
    <col min="42" max="45" width="27.42578125" customWidth="1"/>
    <col min="46" max="46" width="39.42578125" customWidth="1"/>
    <col min="47" max="47" width="41.28515625" customWidth="1"/>
    <col min="48" max="59" width="27.42578125" customWidth="1"/>
    <col min="62" max="62" width="10.28515625" bestFit="1" customWidth="1"/>
    <col min="65" max="65" width="10.28515625" bestFit="1" customWidth="1"/>
    <col min="68" max="68" width="10.28515625" bestFit="1" customWidth="1"/>
    <col min="71" max="71" width="10.28515625" bestFit="1" customWidth="1"/>
    <col min="74" max="74" width="10.28515625" bestFit="1" customWidth="1"/>
    <col min="77" max="77" width="10.28515625" bestFit="1" customWidth="1"/>
    <col min="80" max="80" width="10.28515625" bestFit="1" customWidth="1"/>
    <col min="83" max="83" width="10.28515625" bestFit="1" customWidth="1"/>
    <col min="86" max="86" width="10.28515625" bestFit="1" customWidth="1"/>
    <col min="89" max="89" width="10.28515625" bestFit="1" customWidth="1"/>
    <col min="92" max="92" width="10.28515625" bestFit="1" customWidth="1"/>
    <col min="95" max="95" width="10.28515625" bestFit="1" customWidth="1"/>
    <col min="98" max="98" width="10.28515625" bestFit="1" customWidth="1"/>
    <col min="101" max="101" width="10.28515625" bestFit="1" customWidth="1"/>
    <col min="104" max="104" width="10.28515625" bestFit="1" customWidth="1"/>
    <col min="107" max="107" width="10.28515625" bestFit="1" customWidth="1"/>
    <col min="110" max="110" width="10.28515625" bestFit="1" customWidth="1"/>
    <col min="113" max="113" width="10.28515625" bestFit="1" customWidth="1"/>
    <col min="116" max="116" width="10.28515625" bestFit="1" customWidth="1"/>
    <col min="119" max="119" width="10.28515625" bestFit="1" customWidth="1"/>
    <col min="122" max="122" width="10.28515625" bestFit="1" customWidth="1"/>
    <col min="125" max="125" width="10.28515625" bestFit="1" customWidth="1"/>
    <col min="128" max="128" width="10.28515625" bestFit="1" customWidth="1"/>
    <col min="131" max="131" width="10.28515625" bestFit="1" customWidth="1"/>
    <col min="134" max="134" width="10.28515625" bestFit="1" customWidth="1"/>
    <col min="137" max="137" width="10.28515625" bestFit="1" customWidth="1"/>
    <col min="140" max="140" width="10.28515625" bestFit="1" customWidth="1"/>
    <col min="143" max="143" width="10.28515625" bestFit="1" customWidth="1"/>
    <col min="146" max="146" width="10.28515625" bestFit="1" customWidth="1"/>
    <col min="149" max="149" width="10.28515625" bestFit="1" customWidth="1"/>
    <col min="152" max="152" width="10.28515625" bestFit="1" customWidth="1"/>
    <col min="155" max="155" width="10.28515625" bestFit="1" customWidth="1"/>
    <col min="158" max="158" width="10.28515625" bestFit="1" customWidth="1"/>
    <col min="161" max="161" width="10.28515625" bestFit="1" customWidth="1"/>
    <col min="164" max="164" width="10.28515625" bestFit="1" customWidth="1"/>
    <col min="167" max="167" width="10.28515625" bestFit="1" customWidth="1"/>
    <col min="170" max="170" width="10.28515625" bestFit="1" customWidth="1"/>
    <col min="173" max="173" width="10.28515625" bestFit="1" customWidth="1"/>
    <col min="176" max="176" width="10.28515625" bestFit="1" customWidth="1"/>
    <col min="179" max="179" width="10.28515625" bestFit="1" customWidth="1"/>
    <col min="182" max="182" width="10.28515625" bestFit="1" customWidth="1"/>
    <col min="185" max="185" width="10.28515625" bestFit="1" customWidth="1"/>
    <col min="188" max="188" width="10.28515625" bestFit="1" customWidth="1"/>
    <col min="191" max="191" width="10.28515625" bestFit="1" customWidth="1"/>
    <col min="194" max="194" width="10.28515625" bestFit="1" customWidth="1"/>
    <col min="197" max="197" width="10.28515625" bestFit="1" customWidth="1"/>
    <col min="200" max="200" width="10.28515625" bestFit="1" customWidth="1"/>
  </cols>
  <sheetData>
    <row r="1" spans="1:19" ht="30.75" customHeight="1" x14ac:dyDescent="0.2">
      <c r="A1" s="78" t="s">
        <v>82</v>
      </c>
      <c r="B1" s="79"/>
      <c r="C1" s="79"/>
      <c r="D1" s="79"/>
      <c r="E1" s="79"/>
    </row>
    <row r="3" spans="1:19" x14ac:dyDescent="0.2">
      <c r="A3" s="2" t="s">
        <v>14</v>
      </c>
      <c r="B3" s="2"/>
      <c r="C3" s="2"/>
      <c r="D3" s="2"/>
      <c r="E3" s="2"/>
      <c r="F3" s="2"/>
      <c r="G3" s="2"/>
      <c r="H3" s="2"/>
    </row>
    <row r="4" spans="1:19" x14ac:dyDescent="0.2">
      <c r="A4" s="2" t="s">
        <v>15</v>
      </c>
      <c r="B4" s="2"/>
      <c r="C4" s="2"/>
      <c r="D4" s="2"/>
      <c r="E4" s="2"/>
      <c r="F4" s="2"/>
      <c r="G4" s="2"/>
      <c r="H4" s="2"/>
    </row>
    <row r="5" spans="1:19" x14ac:dyDescent="0.2">
      <c r="A5" s="2" t="s">
        <v>1</v>
      </c>
      <c r="B5" s="2"/>
      <c r="C5" s="2"/>
      <c r="D5" s="2"/>
      <c r="E5" s="2"/>
      <c r="F5" s="2"/>
      <c r="G5" s="2"/>
      <c r="H5" s="2"/>
    </row>
    <row r="6" spans="1:19" x14ac:dyDescent="0.2">
      <c r="A6" s="2" t="s">
        <v>7</v>
      </c>
      <c r="B6" s="2"/>
      <c r="C6" s="2"/>
      <c r="D6" s="2"/>
      <c r="E6" s="2"/>
      <c r="F6" s="2"/>
      <c r="G6" s="2"/>
      <c r="H6" s="2"/>
    </row>
    <row r="7" spans="1:19" ht="19.5" customHeight="1" thickBot="1" x14ac:dyDescent="0.25">
      <c r="A7" s="53" t="s">
        <v>2</v>
      </c>
      <c r="B7" s="4"/>
      <c r="C7" s="4"/>
      <c r="D7" s="4"/>
      <c r="E7" s="4"/>
      <c r="F7" s="4"/>
      <c r="G7" s="4"/>
      <c r="H7" s="4"/>
    </row>
    <row r="8" spans="1:19" ht="27" customHeight="1" thickBot="1" x14ac:dyDescent="0.25">
      <c r="A8" s="5">
        <v>50</v>
      </c>
      <c r="B8" s="70" t="s">
        <v>83</v>
      </c>
      <c r="C8" s="71"/>
      <c r="D8" s="71"/>
      <c r="E8" s="71"/>
      <c r="F8" s="71"/>
      <c r="G8" s="71"/>
      <c r="H8" s="71"/>
    </row>
    <row r="9" spans="1:19" ht="29.25" customHeight="1" thickBot="1" x14ac:dyDescent="0.25">
      <c r="A9" s="5">
        <v>50</v>
      </c>
      <c r="B9" s="70" t="s">
        <v>84</v>
      </c>
      <c r="C9" s="71"/>
      <c r="D9" s="71"/>
      <c r="E9" s="71"/>
      <c r="F9" s="72"/>
      <c r="G9" s="72"/>
      <c r="H9" s="72"/>
    </row>
    <row r="10" spans="1:19" s="8" customFormat="1" ht="21" customHeight="1" thickBot="1" x14ac:dyDescent="0.25">
      <c r="A10" s="19"/>
      <c r="B10" s="22"/>
      <c r="C10" s="23"/>
      <c r="D10" s="23"/>
      <c r="E10" s="23"/>
      <c r="F10" s="23"/>
      <c r="G10" s="23"/>
      <c r="H10" s="23"/>
    </row>
    <row r="11" spans="1:19" ht="60" customHeight="1" x14ac:dyDescent="0.2">
      <c r="A11" s="123" t="s">
        <v>9</v>
      </c>
      <c r="B11" s="124" t="s">
        <v>8</v>
      </c>
      <c r="C11" s="125" t="s">
        <v>19</v>
      </c>
      <c r="D11" s="95" t="s">
        <v>90</v>
      </c>
      <c r="E11" s="94" t="s">
        <v>83</v>
      </c>
      <c r="F11" s="90"/>
      <c r="G11" s="90"/>
      <c r="H11" s="90"/>
      <c r="I11" s="90"/>
      <c r="J11" s="93"/>
      <c r="K11" s="97" t="s">
        <v>84</v>
      </c>
      <c r="L11" s="97"/>
      <c r="M11" s="97"/>
      <c r="N11" s="97"/>
      <c r="O11" s="97"/>
      <c r="P11" s="97"/>
      <c r="Q11" s="121" t="s">
        <v>5</v>
      </c>
      <c r="R11" s="122"/>
      <c r="S11" s="122"/>
    </row>
    <row r="12" spans="1:19" ht="58.5" customHeight="1" thickBot="1" x14ac:dyDescent="0.25">
      <c r="A12" s="123"/>
      <c r="B12" s="124"/>
      <c r="C12" s="126"/>
      <c r="D12" s="96"/>
      <c r="E12" s="32" t="s">
        <v>38</v>
      </c>
      <c r="F12" s="26" t="s">
        <v>46</v>
      </c>
      <c r="G12" s="26" t="s">
        <v>17</v>
      </c>
      <c r="H12" s="26" t="s">
        <v>37</v>
      </c>
      <c r="I12" s="26" t="s">
        <v>48</v>
      </c>
      <c r="J12" s="33" t="s">
        <v>39</v>
      </c>
      <c r="K12" s="31" t="s">
        <v>38</v>
      </c>
      <c r="L12" s="26" t="s">
        <v>46</v>
      </c>
      <c r="M12" s="26" t="s">
        <v>17</v>
      </c>
      <c r="N12" s="26" t="s">
        <v>37</v>
      </c>
      <c r="O12" s="26" t="s">
        <v>48</v>
      </c>
      <c r="P12" s="30" t="s">
        <v>39</v>
      </c>
      <c r="Q12" s="34">
        <v>1</v>
      </c>
      <c r="R12" s="24">
        <v>2</v>
      </c>
      <c r="S12" s="24" t="s">
        <v>17</v>
      </c>
    </row>
    <row r="13" spans="1:19" x14ac:dyDescent="0.2">
      <c r="A13" s="1" t="s">
        <v>100</v>
      </c>
      <c r="B13" s="9" t="s">
        <v>20</v>
      </c>
      <c r="C13" s="10">
        <f>IF(D13&lt;&gt;1,"",SUM(J13,P13))</f>
        <v>1</v>
      </c>
      <c r="D13" s="10">
        <f>IF(SUM(E13,K13)=0,0,1)</f>
        <v>1</v>
      </c>
      <c r="E13" s="56">
        <v>1</v>
      </c>
      <c r="F13" s="56">
        <v>1</v>
      </c>
      <c r="G13" s="56">
        <v>1</v>
      </c>
      <c r="H13" s="10">
        <f>IF(E13=1,(MIN(Вес5.1,Вес5.2))*((100/MIN(Вес5.1,Вес5.2))/S13*Вес5.1/MIN(Вес5.1,Вес5.2)),"")</f>
        <v>50</v>
      </c>
      <c r="I13" s="10">
        <f>IF(H13="","не применяется",IF(E13=0,"не применяется",H13*G13/100))</f>
        <v>0.5</v>
      </c>
      <c r="J13" s="10">
        <f>IF(ISNUMBER(I13),I13,"")</f>
        <v>0.5</v>
      </c>
      <c r="K13" s="56">
        <v>1</v>
      </c>
      <c r="L13" s="56">
        <v>1</v>
      </c>
      <c r="M13" s="56">
        <v>1</v>
      </c>
      <c r="N13" s="10">
        <f>IF(K13=1,(MIN(Вес5.1,Вес5.2))*((100/MIN(Вес5.1,Вес5.2))/S13*Вес5.2/MIN(Вес5.1,Вес5.2)),"")</f>
        <v>50</v>
      </c>
      <c r="O13" s="10">
        <f>IF(N13="","не применяется",IF(K13=0,"не применяется",N13*M13/100))</f>
        <v>0.5</v>
      </c>
      <c r="P13" s="10">
        <f>IF(ISNUMBER(O13),O13,"")</f>
        <v>0.5</v>
      </c>
      <c r="Q13" s="10">
        <f>IF(E13=1,Вес5.1/MIN(Вес5.1,Вес5.2),"")</f>
        <v>1</v>
      </c>
      <c r="R13" s="10">
        <f>IF(K13=1,Вес5.2/MIN(Вес5.1,Вес5.2),"")</f>
        <v>1</v>
      </c>
      <c r="S13" s="10">
        <f>SUM(Q13:R13)</f>
        <v>2</v>
      </c>
    </row>
    <row r="14" spans="1:19" x14ac:dyDescent="0.2">
      <c r="A14" s="1" t="s">
        <v>101</v>
      </c>
      <c r="B14" s="9" t="s">
        <v>52</v>
      </c>
      <c r="C14" s="10">
        <f>IF(D14&lt;&gt;1,"",SUM(J14,P14))</f>
        <v>0.75</v>
      </c>
      <c r="D14" s="10">
        <f>IF(SUM(E14,K14)=0,0,1)</f>
        <v>1</v>
      </c>
      <c r="E14" s="56">
        <v>1</v>
      </c>
      <c r="F14" s="56">
        <v>0.5</v>
      </c>
      <c r="G14" s="56">
        <v>0.5</v>
      </c>
      <c r="H14" s="10">
        <f>IF(E14=1,(MIN(Вес5.1,Вес5.2))*((100/MIN(Вес5.1,Вес5.2))/S14*Вес5.1/MIN(Вес5.1,Вес5.2)),"")</f>
        <v>50</v>
      </c>
      <c r="I14" s="10">
        <f>IF(H14="","не применяется",IF(E14=0,"не применяется",H14*G14/100))</f>
        <v>0.25</v>
      </c>
      <c r="J14" s="10">
        <f>IF(ISNUMBER(I14),I14,"")</f>
        <v>0.25</v>
      </c>
      <c r="K14" s="56">
        <v>1</v>
      </c>
      <c r="L14" s="56">
        <v>1</v>
      </c>
      <c r="M14" s="56">
        <v>1</v>
      </c>
      <c r="N14" s="10">
        <f>IF(K14=1,(MIN(Вес5.1,Вес5.2))*((100/MIN(Вес5.1,Вес5.2))/S14*Вес5.2/MIN(Вес5.1,Вес5.2)),"")</f>
        <v>50</v>
      </c>
      <c r="O14" s="10">
        <f>IF(N14="","не применяется",IF(K14=0,"не применяется",N14*M14/100))</f>
        <v>0.5</v>
      </c>
      <c r="P14" s="10">
        <f>IF(ISNUMBER(O14),O14,"")</f>
        <v>0.5</v>
      </c>
      <c r="Q14" s="10">
        <f>IF(E14=1,Вес5.1/MIN(Вес5.1,Вес5.2),"")</f>
        <v>1</v>
      </c>
      <c r="R14" s="10">
        <f>IF(K14=1,Вес5.2/MIN(Вес5.1,Вес5.2),"")</f>
        <v>1</v>
      </c>
      <c r="S14" s="10">
        <f>SUM(Q14:R14)</f>
        <v>2</v>
      </c>
    </row>
    <row r="15" spans="1:19" x14ac:dyDescent="0.2">
      <c r="A15" s="1" t="s">
        <v>102</v>
      </c>
      <c r="B15" s="9" t="s">
        <v>21</v>
      </c>
      <c r="C15" s="10">
        <f>IF(D15&lt;&gt;1,"",SUM(J15,P15))</f>
        <v>1</v>
      </c>
      <c r="D15" s="10">
        <f>IF(SUM(E15,K15)=0,0,1)</f>
        <v>1</v>
      </c>
      <c r="E15" s="56">
        <v>1</v>
      </c>
      <c r="F15" s="56">
        <v>1</v>
      </c>
      <c r="G15" s="56">
        <v>1</v>
      </c>
      <c r="H15" s="10">
        <f>IF(E15=1,(MIN(Вес5.1,Вес5.2))*((100/MIN(Вес5.1,Вес5.2))/S15*Вес5.1/MIN(Вес5.1,Вес5.2)),"")</f>
        <v>50</v>
      </c>
      <c r="I15" s="10">
        <f>IF(H15="","не применяется",IF(E15=0,"не применяется",H15*G15/100))</f>
        <v>0.5</v>
      </c>
      <c r="J15" s="10">
        <f>IF(ISNUMBER(I15),I15,"")</f>
        <v>0.5</v>
      </c>
      <c r="K15" s="56">
        <v>1</v>
      </c>
      <c r="L15" s="56">
        <v>1</v>
      </c>
      <c r="M15" s="56">
        <v>1</v>
      </c>
      <c r="N15" s="10">
        <f>IF(K15=1,(MIN(Вес5.1,Вес5.2))*((100/MIN(Вес5.1,Вес5.2))/S15*Вес5.2/MIN(Вес5.1,Вес5.2)),"")</f>
        <v>50</v>
      </c>
      <c r="O15" s="10">
        <f>IF(N15="","не применяется",IF(K15=0,"не применяется",N15*M15/100))</f>
        <v>0.5</v>
      </c>
      <c r="P15" s="10">
        <f>IF(ISNUMBER(O15),O15,"")</f>
        <v>0.5</v>
      </c>
      <c r="Q15" s="10">
        <f>IF(E15=1,Вес5.1/MIN(Вес5.1,Вес5.2),"")</f>
        <v>1</v>
      </c>
      <c r="R15" s="10">
        <f>IF(K15=1,Вес5.2/MIN(Вес5.1,Вес5.2),"")</f>
        <v>1</v>
      </c>
      <c r="S15" s="10">
        <f>SUM(Q15:R15)</f>
        <v>2</v>
      </c>
    </row>
    <row r="16" spans="1:19" x14ac:dyDescent="0.2">
      <c r="A16" s="1" t="s">
        <v>103</v>
      </c>
      <c r="B16" s="9" t="s">
        <v>22</v>
      </c>
      <c r="C16" s="10">
        <f>IF(D16&lt;&gt;1,"",SUM(J16,P16))</f>
        <v>1</v>
      </c>
      <c r="D16" s="10">
        <f>IF(SUM(E16,K16)=0,0,1)</f>
        <v>1</v>
      </c>
      <c r="E16" s="56">
        <v>1</v>
      </c>
      <c r="F16" s="56">
        <v>1</v>
      </c>
      <c r="G16" s="56">
        <v>1</v>
      </c>
      <c r="H16" s="10">
        <f>IF(E16=1,(MIN(Вес5.1,Вес5.2))*((100/MIN(Вес5.1,Вес5.2))/S16*Вес5.1/MIN(Вес5.1,Вес5.2)),"")</f>
        <v>50</v>
      </c>
      <c r="I16" s="10">
        <f>IF(H16="","не применяется",IF(E16=0,"не применяется",H16*G16/100))</f>
        <v>0.5</v>
      </c>
      <c r="J16" s="10">
        <f>IF(ISNUMBER(I16),I16,"")</f>
        <v>0.5</v>
      </c>
      <c r="K16" s="56">
        <v>1</v>
      </c>
      <c r="L16" s="56">
        <v>1</v>
      </c>
      <c r="M16" s="56">
        <v>1</v>
      </c>
      <c r="N16" s="10">
        <f>IF(K16=1,(MIN(Вес5.1,Вес5.2))*((100/MIN(Вес5.1,Вес5.2))/S16*Вес5.2/MIN(Вес5.1,Вес5.2)),"")</f>
        <v>50</v>
      </c>
      <c r="O16" s="10">
        <f>IF(N16="","не применяется",IF(K16=0,"не применяется",N16*M16/100))</f>
        <v>0.5</v>
      </c>
      <c r="P16" s="10">
        <f>IF(ISNUMBER(O16),O16,"")</f>
        <v>0.5</v>
      </c>
      <c r="Q16" s="10">
        <f>IF(E16=1,Вес5.1/MIN(Вес5.1,Вес5.2),"")</f>
        <v>1</v>
      </c>
      <c r="R16" s="10">
        <f>IF(K16=1,Вес5.2/MIN(Вес5.1,Вес5.2),"")</f>
        <v>1</v>
      </c>
      <c r="S16" s="10">
        <f>SUM(Q16:R16)</f>
        <v>2</v>
      </c>
    </row>
    <row r="17" spans="1:19" ht="25.5" x14ac:dyDescent="0.2">
      <c r="A17" s="1" t="s">
        <v>104</v>
      </c>
      <c r="B17" s="9" t="s">
        <v>23</v>
      </c>
      <c r="C17" s="10">
        <f>IF(D17&lt;&gt;1,"",SUM(J17,P17))</f>
        <v>1</v>
      </c>
      <c r="D17" s="10">
        <f>IF(SUM(E17,K17)=0,0,1)</f>
        <v>1</v>
      </c>
      <c r="E17" s="56">
        <v>1</v>
      </c>
      <c r="F17" s="56">
        <v>1</v>
      </c>
      <c r="G17" s="56">
        <v>1</v>
      </c>
      <c r="H17" s="10">
        <f>IF(E17=1,(MIN(Вес5.1,Вес5.2))*((100/MIN(Вес5.1,Вес5.2))/S17*Вес5.1/MIN(Вес5.1,Вес5.2)),"")</f>
        <v>50</v>
      </c>
      <c r="I17" s="10">
        <f>IF(H17="","не применяется",IF(E17=0,"не применяется",H17*G17/100))</f>
        <v>0.5</v>
      </c>
      <c r="J17" s="10">
        <f>IF(ISNUMBER(I17),I17,"")</f>
        <v>0.5</v>
      </c>
      <c r="K17" s="56">
        <v>1</v>
      </c>
      <c r="L17" s="56">
        <v>1</v>
      </c>
      <c r="M17" s="56">
        <v>1</v>
      </c>
      <c r="N17" s="10">
        <f>IF(K17=1,(MIN(Вес5.1,Вес5.2))*((100/MIN(Вес5.1,Вес5.2))/S17*Вес5.2/MIN(Вес5.1,Вес5.2)),"")</f>
        <v>50</v>
      </c>
      <c r="O17" s="10">
        <f>IF(N17="","не применяется",IF(K17=0,"не применяется",N17*M17/100))</f>
        <v>0.5</v>
      </c>
      <c r="P17" s="10">
        <f>IF(ISNUMBER(O17),O17,"")</f>
        <v>0.5</v>
      </c>
      <c r="Q17" s="10">
        <f>IF(E17=1,Вес5.1/MIN(Вес5.1,Вес5.2),"")</f>
        <v>1</v>
      </c>
      <c r="R17" s="10">
        <f>IF(K17=1,Вес5.2/MIN(Вес5.1,Вес5.2),"")</f>
        <v>1</v>
      </c>
      <c r="S17" s="10">
        <f>SUM(Q17:R17)</f>
        <v>2</v>
      </c>
    </row>
    <row r="18" spans="1:19" ht="25.5" x14ac:dyDescent="0.2">
      <c r="A18" s="1" t="s">
        <v>105</v>
      </c>
      <c r="B18" s="9" t="s">
        <v>24</v>
      </c>
      <c r="C18" s="10">
        <f>IF(D18&lt;&gt;1,"",SUM(J18,P18))</f>
        <v>1</v>
      </c>
      <c r="D18" s="10">
        <f>IF(SUM(E18,K18)=0,0,1)</f>
        <v>1</v>
      </c>
      <c r="E18" s="56">
        <v>1</v>
      </c>
      <c r="F18" s="56">
        <v>1</v>
      </c>
      <c r="G18" s="56">
        <v>1</v>
      </c>
      <c r="H18" s="10">
        <f>IF(E18=1,(MIN(Вес5.1,Вес5.2))*((100/MIN(Вес5.1,Вес5.2))/S18*Вес5.1/MIN(Вес5.1,Вес5.2)),"")</f>
        <v>50</v>
      </c>
      <c r="I18" s="10">
        <f>IF(H18="","не применяется",IF(E18=0,"не применяется",H18*G18/100))</f>
        <v>0.5</v>
      </c>
      <c r="J18" s="10">
        <f>IF(ISNUMBER(I18),I18,"")</f>
        <v>0.5</v>
      </c>
      <c r="K18" s="56">
        <v>1</v>
      </c>
      <c r="L18" s="56">
        <v>1</v>
      </c>
      <c r="M18" s="56">
        <v>1</v>
      </c>
      <c r="N18" s="10">
        <f>IF(K18=1,(MIN(Вес5.1,Вес5.2))*((100/MIN(Вес5.1,Вес5.2))/S18*Вес5.2/MIN(Вес5.1,Вес5.2)),"")</f>
        <v>50</v>
      </c>
      <c r="O18" s="10">
        <f>IF(N18="","не применяется",IF(K18=0,"не применяется",N18*M18/100))</f>
        <v>0.5</v>
      </c>
      <c r="P18" s="10">
        <f>IF(ISNUMBER(O18),O18,"")</f>
        <v>0.5</v>
      </c>
      <c r="Q18" s="10">
        <f>IF(E18=1,Вес5.1/MIN(Вес5.1,Вес5.2),"")</f>
        <v>1</v>
      </c>
      <c r="R18" s="10">
        <f>IF(K18=1,Вес5.2/MIN(Вес5.1,Вес5.2),"")</f>
        <v>1</v>
      </c>
      <c r="S18" s="10">
        <f>SUM(Q18:R18)</f>
        <v>2</v>
      </c>
    </row>
    <row r="19" spans="1:19" ht="25.5" x14ac:dyDescent="0.2">
      <c r="A19" s="1" t="s">
        <v>106</v>
      </c>
      <c r="B19" s="9" t="s">
        <v>25</v>
      </c>
      <c r="C19" s="10">
        <f>IF(D19&lt;&gt;1,"",SUM(J19,P19))</f>
        <v>1</v>
      </c>
      <c r="D19" s="10">
        <f>IF(SUM(E19,K19)=0,0,1)</f>
        <v>1</v>
      </c>
      <c r="E19" s="56">
        <v>1</v>
      </c>
      <c r="F19" s="56">
        <v>1</v>
      </c>
      <c r="G19" s="56">
        <v>1</v>
      </c>
      <c r="H19" s="10">
        <f>IF(E19=1,(MIN(Вес5.1,Вес5.2))*((100/MIN(Вес5.1,Вес5.2))/S19*Вес5.1/MIN(Вес5.1,Вес5.2)),"")</f>
        <v>50</v>
      </c>
      <c r="I19" s="10">
        <f>IF(H19="","не применяется",IF(E19=0,"не применяется",H19*G19/100))</f>
        <v>0.5</v>
      </c>
      <c r="J19" s="10">
        <f>IF(ISNUMBER(I19),I19,"")</f>
        <v>0.5</v>
      </c>
      <c r="K19" s="56">
        <v>1</v>
      </c>
      <c r="L19" s="56">
        <v>1</v>
      </c>
      <c r="M19" s="56">
        <v>1</v>
      </c>
      <c r="N19" s="10">
        <f>IF(K19=1,(MIN(Вес5.1,Вес5.2))*((100/MIN(Вес5.1,Вес5.2))/S19*Вес5.2/MIN(Вес5.1,Вес5.2)),"")</f>
        <v>50</v>
      </c>
      <c r="O19" s="10">
        <f>IF(N19="","не применяется",IF(K19=0,"не применяется",N19*M19/100))</f>
        <v>0.5</v>
      </c>
      <c r="P19" s="10">
        <f>IF(ISNUMBER(O19),O19,"")</f>
        <v>0.5</v>
      </c>
      <c r="Q19" s="10">
        <f>IF(E19=1,Вес5.1/MIN(Вес5.1,Вес5.2),"")</f>
        <v>1</v>
      </c>
      <c r="R19" s="10">
        <f>IF(K19=1,Вес5.2/MIN(Вес5.1,Вес5.2),"")</f>
        <v>1</v>
      </c>
      <c r="S19" s="10">
        <f>SUM(Q19:R19)</f>
        <v>2</v>
      </c>
    </row>
    <row r="20" spans="1:19" ht="25.5" x14ac:dyDescent="0.2">
      <c r="A20" s="1" t="s">
        <v>107</v>
      </c>
      <c r="B20" s="9" t="s">
        <v>26</v>
      </c>
      <c r="C20" s="10">
        <f>IF(D20&lt;&gt;1,"",SUM(J20,P20))</f>
        <v>0.75</v>
      </c>
      <c r="D20" s="10">
        <f>IF(SUM(E20,K20)=0,0,1)</f>
        <v>1</v>
      </c>
      <c r="E20" s="56">
        <v>1</v>
      </c>
      <c r="F20" s="56">
        <v>0.5</v>
      </c>
      <c r="G20" s="56">
        <v>0.5</v>
      </c>
      <c r="H20" s="10">
        <f>IF(E20=1,(MIN(Вес5.1,Вес5.2))*((100/MIN(Вес5.1,Вес5.2))/S20*Вес5.1/MIN(Вес5.1,Вес5.2)),"")</f>
        <v>50</v>
      </c>
      <c r="I20" s="10">
        <f>IF(H20="","не применяется",IF(E20=0,"не применяется",H20*G20/100))</f>
        <v>0.25</v>
      </c>
      <c r="J20" s="10">
        <f>IF(ISNUMBER(I20),I20,"")</f>
        <v>0.25</v>
      </c>
      <c r="K20" s="56">
        <v>1</v>
      </c>
      <c r="L20" s="56">
        <v>1</v>
      </c>
      <c r="M20" s="56">
        <v>1</v>
      </c>
      <c r="N20" s="10">
        <f>IF(K20=1,(MIN(Вес5.1,Вес5.2))*((100/MIN(Вес5.1,Вес5.2))/S20*Вес5.2/MIN(Вес5.1,Вес5.2)),"")</f>
        <v>50</v>
      </c>
      <c r="O20" s="10">
        <f>IF(N20="","не применяется",IF(K20=0,"не применяется",N20*M20/100))</f>
        <v>0.5</v>
      </c>
      <c r="P20" s="10">
        <f>IF(ISNUMBER(O20),O20,"")</f>
        <v>0.5</v>
      </c>
      <c r="Q20" s="10">
        <f>IF(E20=1,Вес5.1/MIN(Вес5.1,Вес5.2),"")</f>
        <v>1</v>
      </c>
      <c r="R20" s="10">
        <f>IF(K20=1,Вес5.2/MIN(Вес5.1,Вес5.2),"")</f>
        <v>1</v>
      </c>
      <c r="S20" s="10">
        <f>SUM(Q20:R20)</f>
        <v>2</v>
      </c>
    </row>
    <row r="21" spans="1:19" ht="25.5" x14ac:dyDescent="0.2">
      <c r="A21" s="1" t="s">
        <v>108</v>
      </c>
      <c r="B21" s="9" t="s">
        <v>51</v>
      </c>
      <c r="C21" s="10">
        <f>IF(D21&lt;&gt;1,"",SUM(J21,P21))</f>
        <v>0.75</v>
      </c>
      <c r="D21" s="10">
        <f>IF(SUM(E21,K21)=0,0,1)</f>
        <v>1</v>
      </c>
      <c r="E21" s="56">
        <v>1</v>
      </c>
      <c r="F21" s="56">
        <v>0.5</v>
      </c>
      <c r="G21" s="56">
        <v>0.5</v>
      </c>
      <c r="H21" s="10">
        <f>IF(E21=1,(MIN(Вес5.1,Вес5.2))*((100/MIN(Вес5.1,Вес5.2))/S21*Вес5.1/MIN(Вес5.1,Вес5.2)),"")</f>
        <v>50</v>
      </c>
      <c r="I21" s="10">
        <f>IF(H21="","не применяется",IF(E21=0,"не применяется",H21*G21/100))</f>
        <v>0.25</v>
      </c>
      <c r="J21" s="10">
        <f>IF(ISNUMBER(I21),I21,"")</f>
        <v>0.25</v>
      </c>
      <c r="K21" s="56">
        <v>1</v>
      </c>
      <c r="L21" s="56">
        <v>1</v>
      </c>
      <c r="M21" s="56">
        <v>1</v>
      </c>
      <c r="N21" s="10">
        <f>IF(K21=1,(MIN(Вес5.1,Вес5.2))*((100/MIN(Вес5.1,Вес5.2))/S21*Вес5.2/MIN(Вес5.1,Вес5.2)),"")</f>
        <v>50</v>
      </c>
      <c r="O21" s="10">
        <f>IF(N21="","не применяется",IF(K21=0,"не применяется",N21*M21/100))</f>
        <v>0.5</v>
      </c>
      <c r="P21" s="10">
        <f>IF(ISNUMBER(O21),O21,"")</f>
        <v>0.5</v>
      </c>
      <c r="Q21" s="10">
        <f>IF(E21=1,Вес5.1/MIN(Вес5.1,Вес5.2),"")</f>
        <v>1</v>
      </c>
      <c r="R21" s="10">
        <f>IF(K21=1,Вес5.2/MIN(Вес5.1,Вес5.2),"")</f>
        <v>1</v>
      </c>
      <c r="S21" s="10">
        <f>SUM(Q21:R21)</f>
        <v>2</v>
      </c>
    </row>
    <row r="22" spans="1:19" x14ac:dyDescent="0.2">
      <c r="A22" s="1" t="s">
        <v>109</v>
      </c>
      <c r="B22" s="9" t="s">
        <v>27</v>
      </c>
      <c r="C22" s="10">
        <f>IF(D22&lt;&gt;1,"",SUM(J22,P22))</f>
        <v>0.75</v>
      </c>
      <c r="D22" s="10">
        <f>IF(SUM(E22,K22)=0,0,1)</f>
        <v>1</v>
      </c>
      <c r="E22" s="56">
        <v>1</v>
      </c>
      <c r="F22" s="56">
        <v>0.5</v>
      </c>
      <c r="G22" s="56">
        <v>0.5</v>
      </c>
      <c r="H22" s="10">
        <f>IF(E22=1,(MIN(Вес5.1,Вес5.2))*((100/MIN(Вес5.1,Вес5.2))/S22*Вес5.1/MIN(Вес5.1,Вес5.2)),"")</f>
        <v>50</v>
      </c>
      <c r="I22" s="10">
        <f>IF(H22="","не применяется",IF(E22=0,"не применяется",H22*G22/100))</f>
        <v>0.25</v>
      </c>
      <c r="J22" s="10">
        <f>IF(ISNUMBER(I22),I22,"")</f>
        <v>0.25</v>
      </c>
      <c r="K22" s="56">
        <v>1</v>
      </c>
      <c r="L22" s="56">
        <v>1</v>
      </c>
      <c r="M22" s="56">
        <v>1</v>
      </c>
      <c r="N22" s="10">
        <f>IF(K22=1,(MIN(Вес5.1,Вес5.2))*((100/MIN(Вес5.1,Вес5.2))/S22*Вес5.2/MIN(Вес5.1,Вес5.2)),"")</f>
        <v>50</v>
      </c>
      <c r="O22" s="10">
        <f>IF(N22="","не применяется",IF(K22=0,"не применяется",N22*M22/100))</f>
        <v>0.5</v>
      </c>
      <c r="P22" s="10">
        <f>IF(ISNUMBER(O22),O22,"")</f>
        <v>0.5</v>
      </c>
      <c r="Q22" s="10">
        <f>IF(E22=1,Вес5.1/MIN(Вес5.1,Вес5.2),"")</f>
        <v>1</v>
      </c>
      <c r="R22" s="10">
        <f>IF(K22=1,Вес5.2/MIN(Вес5.1,Вес5.2),"")</f>
        <v>1</v>
      </c>
      <c r="S22" s="10">
        <f>SUM(Q22:R22)</f>
        <v>2</v>
      </c>
    </row>
    <row r="23" spans="1:19" x14ac:dyDescent="0.2">
      <c r="A23" s="1" t="s">
        <v>110</v>
      </c>
      <c r="B23" s="9" t="s">
        <v>28</v>
      </c>
      <c r="C23" s="10">
        <f>IF(D23&lt;&gt;1,"",SUM(J23,P23))</f>
        <v>0.75</v>
      </c>
      <c r="D23" s="10">
        <f>IF(SUM(E23,K23)=0,0,1)</f>
        <v>1</v>
      </c>
      <c r="E23" s="56">
        <v>1</v>
      </c>
      <c r="F23" s="56">
        <v>0.5</v>
      </c>
      <c r="G23" s="56">
        <v>0.5</v>
      </c>
      <c r="H23" s="10">
        <f>IF(E23=1,(MIN(Вес5.1,Вес5.2))*((100/MIN(Вес5.1,Вес5.2))/S23*Вес5.1/MIN(Вес5.1,Вес5.2)),"")</f>
        <v>50</v>
      </c>
      <c r="I23" s="10">
        <f>IF(H23="","не применяется",IF(E23=0,"не применяется",H23*G23/100))</f>
        <v>0.25</v>
      </c>
      <c r="J23" s="10">
        <f>IF(ISNUMBER(I23),I23,"")</f>
        <v>0.25</v>
      </c>
      <c r="K23" s="56">
        <v>1</v>
      </c>
      <c r="L23" s="56">
        <v>1</v>
      </c>
      <c r="M23" s="56">
        <v>1</v>
      </c>
      <c r="N23" s="10">
        <f>IF(K23=1,(MIN(Вес5.1,Вес5.2))*((100/MIN(Вес5.1,Вес5.2))/S23*Вес5.2/MIN(Вес5.1,Вес5.2)),"")</f>
        <v>50</v>
      </c>
      <c r="O23" s="10">
        <f>IF(N23="","не применяется",IF(K23=0,"не применяется",N23*M23/100))</f>
        <v>0.5</v>
      </c>
      <c r="P23" s="10">
        <f>IF(ISNUMBER(O23),O23,"")</f>
        <v>0.5</v>
      </c>
      <c r="Q23" s="10">
        <f>IF(E23=1,Вес5.1/MIN(Вес5.1,Вес5.2),"")</f>
        <v>1</v>
      </c>
      <c r="R23" s="10">
        <f>IF(K23=1,Вес5.2/MIN(Вес5.1,Вес5.2),"")</f>
        <v>1</v>
      </c>
      <c r="S23" s="10">
        <f>SUM(Q23:R23)</f>
        <v>2</v>
      </c>
    </row>
    <row r="24" spans="1:19" ht="25.5" x14ac:dyDescent="0.2">
      <c r="A24" s="1" t="s">
        <v>121</v>
      </c>
      <c r="B24" s="9" t="s">
        <v>120</v>
      </c>
      <c r="C24" s="10">
        <f>IF(D24&lt;&gt;1,"",SUM(J24,P24))</f>
        <v>0.75</v>
      </c>
      <c r="D24" s="10">
        <f>IF(SUM(E24,K24)=0,0,1)</f>
        <v>1</v>
      </c>
      <c r="E24" s="56">
        <v>1</v>
      </c>
      <c r="F24" s="56">
        <v>0.5</v>
      </c>
      <c r="G24" s="56">
        <v>0.5</v>
      </c>
      <c r="H24" s="10">
        <f>IF(E24=1,(MIN(Вес5.1,Вес5.2))*((100/MIN(Вес5.1,Вес5.2))/S24*Вес5.1/MIN(Вес5.1,Вес5.2)),"")</f>
        <v>50</v>
      </c>
      <c r="I24" s="10">
        <f>IF(H24="","не применяется",IF(E24=0,"не применяется",H24*G24/100))</f>
        <v>0.25</v>
      </c>
      <c r="J24" s="10">
        <f>IF(ISNUMBER(I24),I24,"")</f>
        <v>0.25</v>
      </c>
      <c r="K24" s="56">
        <v>1</v>
      </c>
      <c r="L24" s="56">
        <v>1</v>
      </c>
      <c r="M24" s="56">
        <v>1</v>
      </c>
      <c r="N24" s="10">
        <f>IF(K24=1,(MIN(Вес5.1,Вес5.2))*((100/MIN(Вес5.1,Вес5.2))/S24*Вес5.2/MIN(Вес5.1,Вес5.2)),"")</f>
        <v>50</v>
      </c>
      <c r="O24" s="10">
        <f>IF(N24="","не применяется",IF(K24=0,"не применяется",N24*M24/100))</f>
        <v>0.5</v>
      </c>
      <c r="P24" s="10">
        <f>IF(ISNUMBER(O24),O24,"")</f>
        <v>0.5</v>
      </c>
      <c r="Q24" s="10">
        <f>IF(E24=1,Вес5.1/MIN(Вес5.1,Вес5.2),"")</f>
        <v>1</v>
      </c>
      <c r="R24" s="10">
        <f>IF(K24=1,Вес5.2/MIN(Вес5.1,Вес5.2),"")</f>
        <v>1</v>
      </c>
      <c r="S24" s="10">
        <f>SUM(Q24:R24)</f>
        <v>2</v>
      </c>
    </row>
    <row r="25" spans="1:19" x14ac:dyDescent="0.2">
      <c r="A25" s="1" t="s">
        <v>111</v>
      </c>
      <c r="B25" s="9" t="s">
        <v>29</v>
      </c>
      <c r="C25" s="10">
        <f>IF(D25&lt;&gt;1,"",SUM(J25,P25))</f>
        <v>1</v>
      </c>
      <c r="D25" s="10">
        <f>IF(SUM(E25,K25)=0,0,1)</f>
        <v>1</v>
      </c>
      <c r="E25" s="56">
        <v>1</v>
      </c>
      <c r="F25" s="56">
        <v>1</v>
      </c>
      <c r="G25" s="56">
        <v>1</v>
      </c>
      <c r="H25" s="10">
        <f>IF(E25=1,(MIN(Вес5.1,Вес5.2))*((100/MIN(Вес5.1,Вес5.2))/S25*Вес5.1/MIN(Вес5.1,Вес5.2)),"")</f>
        <v>50</v>
      </c>
      <c r="I25" s="10">
        <f>IF(H25="","не применяется",IF(E25=0,"не применяется",H25*G25/100))</f>
        <v>0.5</v>
      </c>
      <c r="J25" s="10">
        <f>IF(ISNUMBER(I25),I25,"")</f>
        <v>0.5</v>
      </c>
      <c r="K25" s="56">
        <v>1</v>
      </c>
      <c r="L25" s="56">
        <v>1</v>
      </c>
      <c r="M25" s="56">
        <v>1</v>
      </c>
      <c r="N25" s="10">
        <f>IF(K25=1,(MIN(Вес5.1,Вес5.2))*((100/MIN(Вес5.1,Вес5.2))/S25*Вес5.2/MIN(Вес5.1,Вес5.2)),"")</f>
        <v>50</v>
      </c>
      <c r="O25" s="10">
        <f>IF(N25="","не применяется",IF(K25=0,"не применяется",N25*M25/100))</f>
        <v>0.5</v>
      </c>
      <c r="P25" s="10">
        <f>IF(ISNUMBER(O25),O25,"")</f>
        <v>0.5</v>
      </c>
      <c r="Q25" s="10">
        <f>IF(E25=1,Вес5.1/MIN(Вес5.1,Вес5.2),"")</f>
        <v>1</v>
      </c>
      <c r="R25" s="10">
        <f>IF(K25=1,Вес5.2/MIN(Вес5.1,Вес5.2),"")</f>
        <v>1</v>
      </c>
      <c r="S25" s="10">
        <f>SUM(Q25:R25)</f>
        <v>2</v>
      </c>
    </row>
    <row r="26" spans="1:19" x14ac:dyDescent="0.2">
      <c r="A26" s="1" t="s">
        <v>112</v>
      </c>
      <c r="B26" s="9" t="s">
        <v>30</v>
      </c>
      <c r="C26" s="10">
        <f>IF(D26&lt;&gt;1,"",SUM(J26,P26))</f>
        <v>1</v>
      </c>
      <c r="D26" s="10">
        <f>IF(SUM(E26,K26)=0,0,1)</f>
        <v>1</v>
      </c>
      <c r="E26" s="56">
        <v>1</v>
      </c>
      <c r="F26" s="56">
        <v>1</v>
      </c>
      <c r="G26" s="56">
        <v>1</v>
      </c>
      <c r="H26" s="10">
        <f>IF(E26=1,(MIN(Вес5.1,Вес5.2))*((100/MIN(Вес5.1,Вес5.2))/S26*Вес5.1/MIN(Вес5.1,Вес5.2)),"")</f>
        <v>50</v>
      </c>
      <c r="I26" s="10">
        <f>IF(H26="","не применяется",IF(E26=0,"не применяется",H26*G26/100))</f>
        <v>0.5</v>
      </c>
      <c r="J26" s="10">
        <f>IF(ISNUMBER(I26),I26,"")</f>
        <v>0.5</v>
      </c>
      <c r="K26" s="56">
        <v>1</v>
      </c>
      <c r="L26" s="56">
        <v>1</v>
      </c>
      <c r="M26" s="56">
        <v>1</v>
      </c>
      <c r="N26" s="10">
        <f>IF(K26=1,(MIN(Вес5.1,Вес5.2))*((100/MIN(Вес5.1,Вес5.2))/S26*Вес5.2/MIN(Вес5.1,Вес5.2)),"")</f>
        <v>50</v>
      </c>
      <c r="O26" s="10">
        <f>IF(N26="","не применяется",IF(K26=0,"не применяется",N26*M26/100))</f>
        <v>0.5</v>
      </c>
      <c r="P26" s="10">
        <f>IF(ISNUMBER(O26),O26,"")</f>
        <v>0.5</v>
      </c>
      <c r="Q26" s="10">
        <f>IF(E26=1,Вес5.1/MIN(Вес5.1,Вес5.2),"")</f>
        <v>1</v>
      </c>
      <c r="R26" s="10">
        <f>IF(K26=1,Вес5.2/MIN(Вес5.1,Вес5.2),"")</f>
        <v>1</v>
      </c>
      <c r="S26" s="10">
        <f>SUM(Q26:R26)</f>
        <v>2</v>
      </c>
    </row>
    <row r="27" spans="1:19" x14ac:dyDescent="0.2">
      <c r="A27" s="1" t="s">
        <v>113</v>
      </c>
      <c r="B27" s="9" t="s">
        <v>31</v>
      </c>
      <c r="C27" s="10">
        <f>IF(D27&lt;&gt;1,"",SUM(J27,P27))</f>
        <v>1</v>
      </c>
      <c r="D27" s="10">
        <f>IF(SUM(E27,K27)=0,0,1)</f>
        <v>1</v>
      </c>
      <c r="E27" s="56">
        <v>1</v>
      </c>
      <c r="F27" s="56">
        <v>1</v>
      </c>
      <c r="G27" s="56">
        <v>1</v>
      </c>
      <c r="H27" s="10">
        <f>IF(E27=1,(MIN(Вес5.1,Вес5.2))*((100/MIN(Вес5.1,Вес5.2))/S27*Вес5.1/MIN(Вес5.1,Вес5.2)),"")</f>
        <v>50</v>
      </c>
      <c r="I27" s="10">
        <f>IF(H27="","не применяется",IF(E27=0,"не применяется",H27*G27/100))</f>
        <v>0.5</v>
      </c>
      <c r="J27" s="10">
        <f>IF(ISNUMBER(I27),I27,"")</f>
        <v>0.5</v>
      </c>
      <c r="K27" s="56">
        <v>1</v>
      </c>
      <c r="L27" s="56">
        <v>1</v>
      </c>
      <c r="M27" s="56">
        <v>1</v>
      </c>
      <c r="N27" s="10">
        <f>IF(K27=1,(MIN(Вес5.1,Вес5.2))*((100/MIN(Вес5.1,Вес5.2))/S27*Вес5.2/MIN(Вес5.1,Вес5.2)),"")</f>
        <v>50</v>
      </c>
      <c r="O27" s="10">
        <f>IF(N27="","не применяется",IF(K27=0,"не применяется",N27*M27/100))</f>
        <v>0.5</v>
      </c>
      <c r="P27" s="10">
        <f>IF(ISNUMBER(O27),O27,"")</f>
        <v>0.5</v>
      </c>
      <c r="Q27" s="10">
        <f>IF(E27=1,Вес5.1/MIN(Вес5.1,Вес5.2),"")</f>
        <v>1</v>
      </c>
      <c r="R27" s="10">
        <f>IF(K27=1,Вес5.2/MIN(Вес5.1,Вес5.2),"")</f>
        <v>1</v>
      </c>
      <c r="S27" s="10">
        <f>SUM(Q27:R27)</f>
        <v>2</v>
      </c>
    </row>
    <row r="28" spans="1:19" x14ac:dyDescent="0.2">
      <c r="A28" s="1" t="s">
        <v>114</v>
      </c>
      <c r="B28" s="9" t="s">
        <v>32</v>
      </c>
      <c r="C28" s="10">
        <f>IF(D28&lt;&gt;1,"",SUM(J28,P28))</f>
        <v>1</v>
      </c>
      <c r="D28" s="10">
        <f>IF(SUM(E28,K28)=0,0,1)</f>
        <v>1</v>
      </c>
      <c r="E28" s="56">
        <v>1</v>
      </c>
      <c r="F28" s="56">
        <v>1</v>
      </c>
      <c r="G28" s="56">
        <v>1</v>
      </c>
      <c r="H28" s="10">
        <f>IF(E28=1,(MIN(Вес5.1,Вес5.2))*((100/MIN(Вес5.1,Вес5.2))/S28*Вес5.1/MIN(Вес5.1,Вес5.2)),"")</f>
        <v>50</v>
      </c>
      <c r="I28" s="10">
        <f>IF(H28="","не применяется",IF(E28=0,"не применяется",H28*G28/100))</f>
        <v>0.5</v>
      </c>
      <c r="J28" s="10">
        <f>IF(ISNUMBER(I28),I28,"")</f>
        <v>0.5</v>
      </c>
      <c r="K28" s="56">
        <v>1</v>
      </c>
      <c r="L28" s="56">
        <v>1</v>
      </c>
      <c r="M28" s="56">
        <v>1</v>
      </c>
      <c r="N28" s="10">
        <f>IF(K28=1,(MIN(Вес5.1,Вес5.2))*((100/MIN(Вес5.1,Вес5.2))/S28*Вес5.2/MIN(Вес5.1,Вес5.2)),"")</f>
        <v>50</v>
      </c>
      <c r="O28" s="10">
        <f>IF(N28="","не применяется",IF(K28=0,"не применяется",N28*M28/100))</f>
        <v>0.5</v>
      </c>
      <c r="P28" s="10">
        <f>IF(ISNUMBER(O28),O28,"")</f>
        <v>0.5</v>
      </c>
      <c r="Q28" s="10">
        <f>IF(E28=1,Вес5.1/MIN(Вес5.1,Вес5.2),"")</f>
        <v>1</v>
      </c>
      <c r="R28" s="10">
        <f>IF(K28=1,Вес5.2/MIN(Вес5.1,Вес5.2),"")</f>
        <v>1</v>
      </c>
      <c r="S28" s="10">
        <f>SUM(Q28:R28)</f>
        <v>2</v>
      </c>
    </row>
    <row r="29" spans="1:19" ht="25.5" x14ac:dyDescent="0.2">
      <c r="A29" s="1" t="s">
        <v>115</v>
      </c>
      <c r="B29" s="9" t="s">
        <v>33</v>
      </c>
      <c r="C29" s="10">
        <f>IF(D29&lt;&gt;1,"",SUM(J29,P29))</f>
        <v>1</v>
      </c>
      <c r="D29" s="10">
        <f>IF(SUM(E29,K29)=0,0,1)</f>
        <v>1</v>
      </c>
      <c r="E29" s="56">
        <v>1</v>
      </c>
      <c r="F29" s="56">
        <v>1</v>
      </c>
      <c r="G29" s="56">
        <v>1</v>
      </c>
      <c r="H29" s="10">
        <f>IF(E29=1,(MIN(Вес5.1,Вес5.2))*((100/MIN(Вес5.1,Вес5.2))/S29*Вес5.1/MIN(Вес5.1,Вес5.2)),"")</f>
        <v>50</v>
      </c>
      <c r="I29" s="10">
        <f>IF(H29="","не применяется",IF(E29=0,"не применяется",H29*G29/100))</f>
        <v>0.5</v>
      </c>
      <c r="J29" s="10">
        <f>IF(ISNUMBER(I29),I29,"")</f>
        <v>0.5</v>
      </c>
      <c r="K29" s="56">
        <v>1</v>
      </c>
      <c r="L29" s="56">
        <v>1</v>
      </c>
      <c r="M29" s="56">
        <v>1</v>
      </c>
      <c r="N29" s="10">
        <f>IF(K29=1,(MIN(Вес5.1,Вес5.2))*((100/MIN(Вес5.1,Вес5.2))/S29*Вес5.2/MIN(Вес5.1,Вес5.2)),"")</f>
        <v>50</v>
      </c>
      <c r="O29" s="10">
        <f>IF(N29="","не применяется",IF(K29=0,"не применяется",N29*M29/100))</f>
        <v>0.5</v>
      </c>
      <c r="P29" s="10">
        <f>IF(ISNUMBER(O29),O29,"")</f>
        <v>0.5</v>
      </c>
      <c r="Q29" s="10">
        <f>IF(E29=1,Вес5.1/MIN(Вес5.1,Вес5.2),"")</f>
        <v>1</v>
      </c>
      <c r="R29" s="10">
        <f>IF(K29=1,Вес5.2/MIN(Вес5.1,Вес5.2),"")</f>
        <v>1</v>
      </c>
      <c r="S29" s="10">
        <f>SUM(Q29:R29)</f>
        <v>2</v>
      </c>
    </row>
    <row r="30" spans="1:19" ht="25.5" x14ac:dyDescent="0.2">
      <c r="A30" s="1" t="s">
        <v>116</v>
      </c>
      <c r="B30" s="9" t="s">
        <v>34</v>
      </c>
      <c r="C30" s="10">
        <f>IF(D30&lt;&gt;1,"",SUM(J30,P30))</f>
        <v>1</v>
      </c>
      <c r="D30" s="10">
        <f>IF(SUM(E30,K30)=0,0,1)</f>
        <v>1</v>
      </c>
      <c r="E30" s="56">
        <v>1</v>
      </c>
      <c r="F30" s="56">
        <v>1</v>
      </c>
      <c r="G30" s="56">
        <v>1</v>
      </c>
      <c r="H30" s="10">
        <f>IF(E30=1,(MIN(Вес5.1,Вес5.2))*((100/MIN(Вес5.1,Вес5.2))/S30*Вес5.1/MIN(Вес5.1,Вес5.2)),"")</f>
        <v>50</v>
      </c>
      <c r="I30" s="10">
        <f>IF(H30="","не применяется",IF(E30=0,"не применяется",H30*G30/100))</f>
        <v>0.5</v>
      </c>
      <c r="J30" s="10">
        <f>IF(ISNUMBER(I30),I30,"")</f>
        <v>0.5</v>
      </c>
      <c r="K30" s="56">
        <v>1</v>
      </c>
      <c r="L30" s="56">
        <v>1</v>
      </c>
      <c r="M30" s="56">
        <v>1</v>
      </c>
      <c r="N30" s="10">
        <f>IF(K30=1,(MIN(Вес5.1,Вес5.2))*((100/MIN(Вес5.1,Вес5.2))/S30*Вес5.2/MIN(Вес5.1,Вес5.2)),"")</f>
        <v>50</v>
      </c>
      <c r="O30" s="10">
        <f>IF(N30="","не применяется",IF(K30=0,"не применяется",N30*M30/100))</f>
        <v>0.5</v>
      </c>
      <c r="P30" s="10">
        <f>IF(ISNUMBER(O30),O30,"")</f>
        <v>0.5</v>
      </c>
      <c r="Q30" s="10">
        <f>IF(E30=1,Вес5.1/MIN(Вес5.1,Вес5.2),"")</f>
        <v>1</v>
      </c>
      <c r="R30" s="10">
        <f>IF(K30=1,Вес5.2/MIN(Вес5.1,Вес5.2),"")</f>
        <v>1</v>
      </c>
      <c r="S30" s="10">
        <f>SUM(Q30:R30)</f>
        <v>2</v>
      </c>
    </row>
    <row r="31" spans="1:19" ht="25.5" x14ac:dyDescent="0.2">
      <c r="A31" s="1" t="s">
        <v>117</v>
      </c>
      <c r="B31" s="9" t="s">
        <v>89</v>
      </c>
      <c r="C31" s="10">
        <f>IF(D31&lt;&gt;1,"",SUM(J31,P31))</f>
        <v>1</v>
      </c>
      <c r="D31" s="10">
        <f>IF(SUM(E31,K31)=0,0,1)</f>
        <v>1</v>
      </c>
      <c r="E31" s="56">
        <v>1</v>
      </c>
      <c r="F31" s="56">
        <v>1</v>
      </c>
      <c r="G31" s="56">
        <v>1</v>
      </c>
      <c r="H31" s="10">
        <f>IF(E31=1,(MIN(Вес5.1,Вес5.2))*((100/MIN(Вес5.1,Вес5.2))/S31*Вес5.1/MIN(Вес5.1,Вес5.2)),"")</f>
        <v>50</v>
      </c>
      <c r="I31" s="10">
        <f>IF(H31="","не применяется",IF(E31=0,"не применяется",H31*G31/100))</f>
        <v>0.5</v>
      </c>
      <c r="J31" s="10">
        <f>IF(ISNUMBER(I31),I31,"")</f>
        <v>0.5</v>
      </c>
      <c r="K31" s="56">
        <v>1</v>
      </c>
      <c r="L31" s="56">
        <v>1</v>
      </c>
      <c r="M31" s="56">
        <v>1</v>
      </c>
      <c r="N31" s="10">
        <f>IF(K31=1,(MIN(Вес5.1,Вес5.2))*((100/MIN(Вес5.1,Вес5.2))/S31*Вес5.2/MIN(Вес5.1,Вес5.2)),"")</f>
        <v>50</v>
      </c>
      <c r="O31" s="10">
        <f>IF(N31="","не применяется",IF(K31=0,"не применяется",N31*M31/100))</f>
        <v>0.5</v>
      </c>
      <c r="P31" s="10">
        <f>IF(ISNUMBER(O31),O31,"")</f>
        <v>0.5</v>
      </c>
      <c r="Q31" s="10">
        <f>IF(E31=1,Вес5.1/MIN(Вес5.1,Вес5.2),"")</f>
        <v>1</v>
      </c>
      <c r="R31" s="10">
        <f>IF(K31=1,Вес5.2/MIN(Вес5.1,Вес5.2),"")</f>
        <v>1</v>
      </c>
      <c r="S31" s="10">
        <f>SUM(Q31:R31)</f>
        <v>2</v>
      </c>
    </row>
    <row r="32" spans="1:19" ht="25.5" x14ac:dyDescent="0.2">
      <c r="A32" s="1" t="s">
        <v>118</v>
      </c>
      <c r="B32" s="9" t="s">
        <v>35</v>
      </c>
      <c r="C32" s="10">
        <f>IF(D32&lt;&gt;1,"",SUM(J32,P32))</f>
        <v>1</v>
      </c>
      <c r="D32" s="10">
        <f>IF(SUM(E32,K32)=0,0,1)</f>
        <v>1</v>
      </c>
      <c r="E32" s="56">
        <v>1</v>
      </c>
      <c r="F32" s="56">
        <v>1</v>
      </c>
      <c r="G32" s="56">
        <v>1</v>
      </c>
      <c r="H32" s="10">
        <f>IF(E32=1,(MIN(Вес5.1,Вес5.2))*((100/MIN(Вес5.1,Вес5.2))/S32*Вес5.1/MIN(Вес5.1,Вес5.2)),"")</f>
        <v>50</v>
      </c>
      <c r="I32" s="10">
        <f>IF(H32="","не применяется",IF(E32=0,"не применяется",H32*G32/100))</f>
        <v>0.5</v>
      </c>
      <c r="J32" s="10">
        <f>IF(ISNUMBER(I32),I32,"")</f>
        <v>0.5</v>
      </c>
      <c r="K32" s="56">
        <v>1</v>
      </c>
      <c r="L32" s="56">
        <v>1</v>
      </c>
      <c r="M32" s="56">
        <v>1</v>
      </c>
      <c r="N32" s="10">
        <f>IF(K32=1,(MIN(Вес5.1,Вес5.2))*((100/MIN(Вес5.1,Вес5.2))/S32*Вес5.2/MIN(Вес5.1,Вес5.2)),"")</f>
        <v>50</v>
      </c>
      <c r="O32" s="10">
        <f>IF(N32="","не применяется",IF(K32=0,"не применяется",N32*M32/100))</f>
        <v>0.5</v>
      </c>
      <c r="P32" s="10">
        <f>IF(ISNUMBER(O32),O32,"")</f>
        <v>0.5</v>
      </c>
      <c r="Q32" s="10">
        <f>IF(E32=1,Вес5.1/MIN(Вес5.1,Вес5.2),"")</f>
        <v>1</v>
      </c>
      <c r="R32" s="10">
        <f>IF(K32=1,Вес5.2/MIN(Вес5.1,Вес5.2),"")</f>
        <v>1</v>
      </c>
      <c r="S32" s="10">
        <f>SUM(Q32:R32)</f>
        <v>2</v>
      </c>
    </row>
    <row r="33" spans="1:19" x14ac:dyDescent="0.2">
      <c r="A33" s="1" t="s">
        <v>119</v>
      </c>
      <c r="B33" s="9" t="s">
        <v>36</v>
      </c>
      <c r="C33" s="10">
        <f>IF(D33&lt;&gt;1,"",SUM(J33,P33))</f>
        <v>1</v>
      </c>
      <c r="D33" s="10">
        <f>IF(SUM(E33,K33)=0,0,1)</f>
        <v>1</v>
      </c>
      <c r="E33" s="56">
        <v>1</v>
      </c>
      <c r="F33" s="56">
        <v>1</v>
      </c>
      <c r="G33" s="56">
        <v>1</v>
      </c>
      <c r="H33" s="10">
        <f>IF(E33=1,(MIN(Вес5.1,Вес5.2))*((100/MIN(Вес5.1,Вес5.2))/S33*Вес5.1/MIN(Вес5.1,Вес5.2)),"")</f>
        <v>50</v>
      </c>
      <c r="I33" s="10">
        <f>IF(H33="","не применяется",IF(E33=0,"не применяется",H33*G33/100))</f>
        <v>0.5</v>
      </c>
      <c r="J33" s="10">
        <f>IF(ISNUMBER(I33),I33,"")</f>
        <v>0.5</v>
      </c>
      <c r="K33" s="56">
        <v>1</v>
      </c>
      <c r="L33" s="56">
        <v>1</v>
      </c>
      <c r="M33" s="56">
        <v>1</v>
      </c>
      <c r="N33" s="10">
        <f>IF(K33=1,(MIN(Вес5.1,Вес5.2))*((100/MIN(Вес5.1,Вес5.2))/S33*Вес5.2/MIN(Вес5.1,Вес5.2)),"")</f>
        <v>50</v>
      </c>
      <c r="O33" s="10">
        <f>IF(N33="","не применяется",IF(K33=0,"не применяется",N33*M33/100))</f>
        <v>0.5</v>
      </c>
      <c r="P33" s="10">
        <f>IF(ISNUMBER(O33),O33,"")</f>
        <v>0.5</v>
      </c>
      <c r="Q33" s="10">
        <f>IF(E33=1,Вес5.1/MIN(Вес5.1,Вес5.2),"")</f>
        <v>1</v>
      </c>
      <c r="R33" s="10">
        <f>IF(K33=1,Вес5.2/MIN(Вес5.1,Вес5.2),"")</f>
        <v>1</v>
      </c>
      <c r="S33" s="10">
        <f>SUM(Q33:R33)</f>
        <v>2</v>
      </c>
    </row>
    <row r="34" spans="1:19" ht="13.5" customHeight="1" x14ac:dyDescent="0.2"/>
    <row r="52" ht="30" customHeight="1" x14ac:dyDescent="0.2"/>
  </sheetData>
  <sheetProtection algorithmName="SHA-512" hashValue="EXubLBceT9aU0w8beXerXxrxFrM8m9xsrElxyEM4E+eR1bfOW7dYRnDzAW+7zcCNWCbvojdawGze5Lj0817Qjg==" saltValue="gs+Ti/5rrEt1ztYURG3S7A==" spinCount="100000" sheet="1" objects="1" scenarios="1" formatCells="0" formatColumns="0" formatRows="0" deleteColumns="0" deleteRows="0"/>
  <protectedRanges>
    <protectedRange sqref="C13:C33" name="krista_tr_48469_0_0"/>
    <protectedRange sqref="D13:D33" name="krista_tr_40531_0_0"/>
    <protectedRange sqref="H13:H33" name="krista_tf_40535_0_0"/>
    <protectedRange sqref="I13:I33" name="krista_tf_40536_0_0"/>
    <protectedRange sqref="J13:J33" name="krista_tr_40537_0_0"/>
    <protectedRange sqref="N13:N33" name="krista_tf_40541_0_0"/>
    <protectedRange sqref="O13:O33" name="krista_tf_40542_0_0"/>
    <protectedRange sqref="P13:P33" name="krista_tr_40543_0_0"/>
    <protectedRange sqref="Q13:Q33" name="krista_tf_40580_0_0"/>
    <protectedRange sqref="R13:R33" name="krista_tf_40581_0_0"/>
    <protectedRange sqref="S13:S33" name="krista_tf_40588_0_0"/>
  </protectedRanges>
  <mergeCells count="10">
    <mergeCell ref="A1:E1"/>
    <mergeCell ref="B8:H8"/>
    <mergeCell ref="B9:H9"/>
    <mergeCell ref="E11:J11"/>
    <mergeCell ref="Q11:S11"/>
    <mergeCell ref="A11:A12"/>
    <mergeCell ref="B11:B12"/>
    <mergeCell ref="C11:C12"/>
    <mergeCell ref="D11:D12"/>
    <mergeCell ref="K11:P11"/>
  </mergeCells>
  <conditionalFormatting sqref="A8:A10">
    <cfRule type="expression" dxfId="2" priority="8" stopIfTrue="1">
      <formula>"(сумм(A8:F12)&lt;&gt;100"</formula>
    </cfRule>
  </conditionalFormatting>
  <pageMargins left="0.25" right="0.25" top="0.75" bottom="0.75" header="0.3" footer="0.3"/>
  <pageSetup paperSize="8" fitToWidth="0" orientation="landscape" r:id="rId1"/>
  <headerFooter alignWithMargins="0"/>
  <colBreaks count="1" manualBreakCount="1">
    <brk id="14" max="1048575" man="1"/>
  </colBreaks>
  <customProperties>
    <customPr name="40591" r:id="rId2"/>
    <customPr name="40592" r:id="rId3"/>
    <customPr name="40593" r:id="rId4"/>
    <customPr name="krista_fm_columnsmarkup" r:id="rId5"/>
    <customPr name="krista_fm_consts" r:id="rId6"/>
    <customPr name="krista_fm_Events" r:id="rId7"/>
    <customPr name="krista_fm_metadataXML" r:id="rId8"/>
    <customPr name="krista_fm_rowsaxis" r:id="rId9"/>
    <customPr name="krista_fm_rowsmarkup" r:id="rId10"/>
    <customPr name="krista_SheetHistory" r:id="rId11"/>
    <customPr name="p14" r:id="rId12"/>
    <customPr name="p15" r:id="rId13"/>
    <customPr name="p19" r:id="rId14"/>
  </customProperties>
  <legacy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tabColor rgb="FFFFC000"/>
    <pageSetUpPr fitToPage="1"/>
  </sheetPr>
  <dimension ref="A1:S52"/>
  <sheetViews>
    <sheetView view="pageBreakPreview" zoomScale="80" zoomScaleNormal="75" zoomScaleSheetLayoutView="80" workbookViewId="0">
      <selection activeCell="A11" sqref="A11:A12"/>
    </sheetView>
  </sheetViews>
  <sheetFormatPr defaultRowHeight="12.75" x14ac:dyDescent="0.2"/>
  <cols>
    <col min="1" max="1" width="6.28515625" customWidth="1"/>
    <col min="2" max="2" width="81.42578125" style="36" customWidth="1"/>
    <col min="3" max="3" width="12.85546875" customWidth="1"/>
    <col min="4" max="4" width="19.7109375" customWidth="1"/>
    <col min="5" max="5" width="15.140625" customWidth="1"/>
    <col min="6" max="6" width="12.7109375" customWidth="1"/>
    <col min="7" max="7" width="11.5703125" customWidth="1"/>
    <col min="8" max="8" width="12.7109375" customWidth="1"/>
    <col min="9" max="9" width="13" customWidth="1"/>
    <col min="10" max="10" width="12.7109375" customWidth="1"/>
    <col min="11" max="11" width="15.140625" customWidth="1"/>
    <col min="12" max="12" width="12.5703125" customWidth="1"/>
    <col min="13" max="13" width="11.7109375" customWidth="1"/>
    <col min="14" max="14" width="12.5703125" customWidth="1"/>
    <col min="15" max="15" width="13.140625" customWidth="1"/>
    <col min="16" max="16" width="13.28515625" customWidth="1"/>
    <col min="17" max="17" width="12.42578125" customWidth="1"/>
    <col min="18" max="18" width="13.28515625" customWidth="1"/>
    <col min="19" max="19" width="13" customWidth="1"/>
    <col min="20" max="27" width="27.42578125" customWidth="1"/>
    <col min="28" max="28" width="60.85546875" customWidth="1"/>
    <col min="29" max="34" width="27.42578125" customWidth="1"/>
    <col min="35" max="37" width="31.28515625" customWidth="1"/>
    <col min="38" max="38" width="27.42578125" customWidth="1"/>
    <col min="39" max="41" width="34.28515625" customWidth="1"/>
    <col min="42" max="45" width="27.42578125" customWidth="1"/>
    <col min="46" max="46" width="39.42578125" customWidth="1"/>
    <col min="47" max="47" width="41.28515625" customWidth="1"/>
    <col min="48" max="59" width="27.42578125" customWidth="1"/>
    <col min="62" max="62" width="10.28515625" bestFit="1" customWidth="1"/>
    <col min="65" max="65" width="10.28515625" bestFit="1" customWidth="1"/>
    <col min="68" max="68" width="10.28515625" bestFit="1" customWidth="1"/>
    <col min="71" max="71" width="10.28515625" bestFit="1" customWidth="1"/>
    <col min="74" max="74" width="10.28515625" bestFit="1" customWidth="1"/>
    <col min="77" max="77" width="10.28515625" bestFit="1" customWidth="1"/>
    <col min="80" max="80" width="10.28515625" bestFit="1" customWidth="1"/>
    <col min="83" max="83" width="10.28515625" bestFit="1" customWidth="1"/>
    <col min="86" max="86" width="10.28515625" bestFit="1" customWidth="1"/>
    <col min="89" max="89" width="10.28515625" bestFit="1" customWidth="1"/>
    <col min="92" max="92" width="10.28515625" bestFit="1" customWidth="1"/>
    <col min="95" max="95" width="10.28515625" bestFit="1" customWidth="1"/>
    <col min="98" max="98" width="10.28515625" bestFit="1" customWidth="1"/>
    <col min="101" max="101" width="10.28515625" bestFit="1" customWidth="1"/>
    <col min="104" max="104" width="10.28515625" bestFit="1" customWidth="1"/>
    <col min="107" max="107" width="10.28515625" bestFit="1" customWidth="1"/>
    <col min="110" max="110" width="10.28515625" bestFit="1" customWidth="1"/>
    <col min="113" max="113" width="10.28515625" bestFit="1" customWidth="1"/>
    <col min="116" max="116" width="10.28515625" bestFit="1" customWidth="1"/>
    <col min="119" max="119" width="10.28515625" bestFit="1" customWidth="1"/>
    <col min="122" max="122" width="10.28515625" bestFit="1" customWidth="1"/>
    <col min="125" max="125" width="10.28515625" bestFit="1" customWidth="1"/>
    <col min="128" max="128" width="10.28515625" bestFit="1" customWidth="1"/>
    <col min="131" max="131" width="10.28515625" bestFit="1" customWidth="1"/>
    <col min="134" max="134" width="10.28515625" bestFit="1" customWidth="1"/>
    <col min="137" max="137" width="10.28515625" bestFit="1" customWidth="1"/>
    <col min="140" max="140" width="10.28515625" bestFit="1" customWidth="1"/>
    <col min="143" max="143" width="10.28515625" bestFit="1" customWidth="1"/>
    <col min="146" max="146" width="10.28515625" bestFit="1" customWidth="1"/>
    <col min="149" max="149" width="10.28515625" bestFit="1" customWidth="1"/>
    <col min="152" max="152" width="10.28515625" bestFit="1" customWidth="1"/>
    <col min="155" max="155" width="10.28515625" bestFit="1" customWidth="1"/>
    <col min="158" max="158" width="10.28515625" bestFit="1" customWidth="1"/>
    <col min="161" max="161" width="10.28515625" bestFit="1" customWidth="1"/>
    <col min="164" max="164" width="10.28515625" bestFit="1" customWidth="1"/>
    <col min="167" max="167" width="10.28515625" bestFit="1" customWidth="1"/>
    <col min="170" max="170" width="10.28515625" bestFit="1" customWidth="1"/>
    <col min="173" max="173" width="10.28515625" bestFit="1" customWidth="1"/>
    <col min="176" max="176" width="10.28515625" bestFit="1" customWidth="1"/>
    <col min="179" max="179" width="10.28515625" bestFit="1" customWidth="1"/>
    <col min="182" max="182" width="10.28515625" bestFit="1" customWidth="1"/>
    <col min="185" max="185" width="10.28515625" bestFit="1" customWidth="1"/>
    <col min="188" max="188" width="10.28515625" bestFit="1" customWidth="1"/>
    <col min="191" max="191" width="10.28515625" bestFit="1" customWidth="1"/>
    <col min="194" max="194" width="10.28515625" bestFit="1" customWidth="1"/>
    <col min="197" max="197" width="10.28515625" bestFit="1" customWidth="1"/>
    <col min="200" max="200" width="10.28515625" bestFit="1" customWidth="1"/>
  </cols>
  <sheetData>
    <row r="1" spans="1:19" ht="28.5" customHeight="1" x14ac:dyDescent="0.2">
      <c r="A1" s="78" t="s">
        <v>85</v>
      </c>
      <c r="B1" s="79"/>
      <c r="C1" s="79"/>
      <c r="D1" s="79"/>
      <c r="E1" s="79"/>
      <c r="F1" s="127"/>
      <c r="G1" s="127"/>
      <c r="H1" s="127"/>
    </row>
    <row r="3" spans="1:19" x14ac:dyDescent="0.2">
      <c r="A3" s="2" t="s">
        <v>14</v>
      </c>
      <c r="B3" s="37"/>
      <c r="C3" s="2"/>
      <c r="D3" s="2"/>
      <c r="E3" s="2"/>
      <c r="F3" s="2"/>
      <c r="G3" s="2"/>
      <c r="H3" s="2"/>
    </row>
    <row r="4" spans="1:19" x14ac:dyDescent="0.2">
      <c r="A4" s="2" t="s">
        <v>15</v>
      </c>
      <c r="B4" s="37"/>
      <c r="C4" s="2"/>
      <c r="D4" s="2"/>
      <c r="E4" s="2"/>
      <c r="F4" s="2"/>
      <c r="G4" s="2"/>
      <c r="H4" s="2"/>
    </row>
    <row r="5" spans="1:19" x14ac:dyDescent="0.2">
      <c r="A5" s="2" t="s">
        <v>1</v>
      </c>
      <c r="B5" s="37"/>
      <c r="C5" s="2"/>
      <c r="D5" s="2"/>
      <c r="E5" s="2"/>
      <c r="F5" s="2"/>
      <c r="G5" s="2"/>
      <c r="H5" s="2"/>
    </row>
    <row r="6" spans="1:19" x14ac:dyDescent="0.2">
      <c r="A6" s="2" t="s">
        <v>7</v>
      </c>
      <c r="B6" s="37"/>
      <c r="C6" s="2"/>
      <c r="D6" s="2"/>
      <c r="E6" s="2"/>
      <c r="F6" s="2"/>
      <c r="G6" s="2"/>
      <c r="H6" s="2"/>
    </row>
    <row r="7" spans="1:19" ht="21.75" customHeight="1" thickBot="1" x14ac:dyDescent="0.25">
      <c r="A7" s="53" t="s">
        <v>2</v>
      </c>
      <c r="B7" s="38"/>
      <c r="C7" s="4"/>
      <c r="D7" s="4"/>
      <c r="E7" s="4"/>
      <c r="F7" s="4"/>
      <c r="G7" s="4"/>
      <c r="H7" s="4"/>
    </row>
    <row r="8" spans="1:19" ht="24.75" customHeight="1" thickBot="1" x14ac:dyDescent="0.25">
      <c r="A8" s="5">
        <v>50</v>
      </c>
      <c r="B8" s="70" t="s">
        <v>86</v>
      </c>
      <c r="C8" s="71"/>
      <c r="D8" s="71"/>
      <c r="E8" s="71"/>
      <c r="F8" s="71"/>
      <c r="G8" s="71"/>
      <c r="H8" s="71"/>
    </row>
    <row r="9" spans="1:19" ht="23.25" customHeight="1" thickBot="1" x14ac:dyDescent="0.25">
      <c r="A9" s="5">
        <v>50</v>
      </c>
      <c r="B9" s="70" t="s">
        <v>87</v>
      </c>
      <c r="C9" s="71"/>
      <c r="D9" s="71"/>
      <c r="E9" s="71"/>
      <c r="F9" s="72"/>
      <c r="G9" s="72"/>
      <c r="H9" s="72"/>
    </row>
    <row r="10" spans="1:19" s="8" customFormat="1" ht="20.25" customHeight="1" thickBot="1" x14ac:dyDescent="0.25">
      <c r="A10" s="19"/>
      <c r="B10" s="39"/>
      <c r="C10" s="23"/>
      <c r="D10" s="23"/>
      <c r="E10" s="23"/>
      <c r="F10" s="23"/>
      <c r="G10" s="23"/>
      <c r="H10" s="23"/>
    </row>
    <row r="11" spans="1:19" ht="55.5" customHeight="1" x14ac:dyDescent="0.2">
      <c r="A11" s="95" t="s">
        <v>9</v>
      </c>
      <c r="B11" s="128" t="s">
        <v>8</v>
      </c>
      <c r="C11" s="95" t="s">
        <v>19</v>
      </c>
      <c r="D11" s="130" t="s">
        <v>90</v>
      </c>
      <c r="E11" s="94" t="s">
        <v>86</v>
      </c>
      <c r="F11" s="90"/>
      <c r="G11" s="90"/>
      <c r="H11" s="90"/>
      <c r="I11" s="90"/>
      <c r="J11" s="93"/>
      <c r="K11" s="89" t="s">
        <v>87</v>
      </c>
      <c r="L11" s="97"/>
      <c r="M11" s="97"/>
      <c r="N11" s="97"/>
      <c r="O11" s="97"/>
      <c r="P11" s="98"/>
      <c r="Q11" s="121" t="s">
        <v>5</v>
      </c>
      <c r="R11" s="122"/>
      <c r="S11" s="122"/>
    </row>
    <row r="12" spans="1:19" ht="64.5" customHeight="1" thickBot="1" x14ac:dyDescent="0.25">
      <c r="A12" s="96"/>
      <c r="B12" s="129"/>
      <c r="C12" s="96"/>
      <c r="D12" s="131"/>
      <c r="E12" s="32" t="s">
        <v>38</v>
      </c>
      <c r="F12" s="26" t="s">
        <v>46</v>
      </c>
      <c r="G12" s="26" t="s">
        <v>17</v>
      </c>
      <c r="H12" s="26" t="s">
        <v>37</v>
      </c>
      <c r="I12" s="26" t="s">
        <v>39</v>
      </c>
      <c r="J12" s="33" t="s">
        <v>39</v>
      </c>
      <c r="K12" s="32" t="s">
        <v>38</v>
      </c>
      <c r="L12" s="26" t="s">
        <v>46</v>
      </c>
      <c r="M12" s="26" t="s">
        <v>17</v>
      </c>
      <c r="N12" s="26" t="s">
        <v>37</v>
      </c>
      <c r="O12" s="26" t="s">
        <v>39</v>
      </c>
      <c r="P12" s="33" t="s">
        <v>39</v>
      </c>
      <c r="Q12" s="34">
        <v>1</v>
      </c>
      <c r="R12" s="24">
        <v>2</v>
      </c>
      <c r="S12" s="24" t="s">
        <v>45</v>
      </c>
    </row>
    <row r="13" spans="1:19" x14ac:dyDescent="0.2">
      <c r="A13" s="1" t="s">
        <v>100</v>
      </c>
      <c r="B13" s="9" t="s">
        <v>20</v>
      </c>
      <c r="C13" s="10">
        <f>IF(D13&lt;&gt;1,"",SUM(J13,P13))</f>
        <v>1</v>
      </c>
      <c r="D13" s="10">
        <f>IF(SUM(E13,K13)=0,0,1)</f>
        <v>1</v>
      </c>
      <c r="E13" s="56">
        <v>1</v>
      </c>
      <c r="F13" s="56">
        <v>0</v>
      </c>
      <c r="G13" s="56">
        <v>1</v>
      </c>
      <c r="H13" s="10">
        <f>IF(E13=1,(MIN(Вес6.1,Вес6.2))*((100/MIN(Вес6.1,Вес6.2))/S13*Вес6.1/MIN(Вес6.1,Вес6.2)),"")</f>
        <v>50</v>
      </c>
      <c r="I13" s="10">
        <f>IF(H13="","не применяется",IF(E13=0,"не применяется",H13*G13/100))</f>
        <v>0.5</v>
      </c>
      <c r="J13" s="10">
        <f>IF(ISNUMBER(I13),I13,"")</f>
        <v>0.5</v>
      </c>
      <c r="K13" s="56">
        <v>1</v>
      </c>
      <c r="L13" s="56">
        <v>1</v>
      </c>
      <c r="M13" s="56">
        <v>1</v>
      </c>
      <c r="N13" s="10">
        <f>IF(K13=1,(MIN(Вес6.1,Вес6.2))*((100/MIN(Вес6.1,Вес6.2))/S13*Вес6.2/MIN(Вес6.1,Вес6.2)),"")</f>
        <v>50</v>
      </c>
      <c r="O13" s="10">
        <f>IF(N13="","не применяется",IF(K13=0,"не применяется",N13*M13/100))</f>
        <v>0.5</v>
      </c>
      <c r="P13" s="10">
        <f>IF(ISNUMBER(O13),O13,"")</f>
        <v>0.5</v>
      </c>
      <c r="Q13" s="10">
        <f>IF(E13=1,Вес6.1/MIN(Вес6.1,Вес6.2),"")</f>
        <v>1</v>
      </c>
      <c r="R13" s="10">
        <f>IF(K13=1,Вес6.2/MIN(Вес6.1,Вес6.2),"")</f>
        <v>1</v>
      </c>
      <c r="S13" s="10">
        <f>SUM(Q13:R13)</f>
        <v>2</v>
      </c>
    </row>
    <row r="14" spans="1:19" x14ac:dyDescent="0.2">
      <c r="A14" s="1" t="s">
        <v>101</v>
      </c>
      <c r="B14" s="9" t="s">
        <v>52</v>
      </c>
      <c r="C14" s="10">
        <f>IF(D14&lt;&gt;1,"",SUM(J14,P14))</f>
        <v>1</v>
      </c>
      <c r="D14" s="10">
        <f>IF(SUM(E14,K14)=0,0,1)</f>
        <v>1</v>
      </c>
      <c r="E14" s="56">
        <v>1</v>
      </c>
      <c r="F14" s="56">
        <v>0</v>
      </c>
      <c r="G14" s="56">
        <v>1</v>
      </c>
      <c r="H14" s="10">
        <f>IF(E14=1,(MIN(Вес6.1,Вес6.2))*((100/MIN(Вес6.1,Вес6.2))/S14*Вес6.1/MIN(Вес6.1,Вес6.2)),"")</f>
        <v>50</v>
      </c>
      <c r="I14" s="10">
        <f>IF(H14="","не применяется",IF(E14=0,"не применяется",H14*G14/100))</f>
        <v>0.5</v>
      </c>
      <c r="J14" s="10">
        <f>IF(ISNUMBER(I14),I14,"")</f>
        <v>0.5</v>
      </c>
      <c r="K14" s="56">
        <v>1</v>
      </c>
      <c r="L14" s="56">
        <v>1</v>
      </c>
      <c r="M14" s="56">
        <v>1</v>
      </c>
      <c r="N14" s="10">
        <f>IF(K14=1,(MIN(Вес6.1,Вес6.2))*((100/MIN(Вес6.1,Вес6.2))/S14*Вес6.2/MIN(Вес6.1,Вес6.2)),"")</f>
        <v>50</v>
      </c>
      <c r="O14" s="10">
        <f>IF(N14="","не применяется",IF(K14=0,"не применяется",N14*M14/100))</f>
        <v>0.5</v>
      </c>
      <c r="P14" s="10">
        <f>IF(ISNUMBER(O14),O14,"")</f>
        <v>0.5</v>
      </c>
      <c r="Q14" s="10">
        <f>IF(E14=1,Вес6.1/MIN(Вес6.1,Вес6.2),"")</f>
        <v>1</v>
      </c>
      <c r="R14" s="10">
        <f>IF(K14=1,Вес6.2/MIN(Вес6.1,Вес6.2),"")</f>
        <v>1</v>
      </c>
      <c r="S14" s="10">
        <f>SUM(Q14:R14)</f>
        <v>2</v>
      </c>
    </row>
    <row r="15" spans="1:19" x14ac:dyDescent="0.2">
      <c r="A15" s="1" t="s">
        <v>102</v>
      </c>
      <c r="B15" s="9" t="s">
        <v>21</v>
      </c>
      <c r="C15" s="10">
        <f>IF(D15&lt;&gt;1,"",SUM(J15,P15))</f>
        <v>1</v>
      </c>
      <c r="D15" s="10">
        <f>IF(SUM(E15,K15)=0,0,1)</f>
        <v>1</v>
      </c>
      <c r="E15" s="56">
        <v>1</v>
      </c>
      <c r="F15" s="56">
        <v>0</v>
      </c>
      <c r="G15" s="56">
        <v>1</v>
      </c>
      <c r="H15" s="10">
        <f>IF(E15=1,(MIN(Вес6.1,Вес6.2))*((100/MIN(Вес6.1,Вес6.2))/S15*Вес6.1/MIN(Вес6.1,Вес6.2)),"")</f>
        <v>50</v>
      </c>
      <c r="I15" s="10">
        <f>IF(H15="","не применяется",IF(E15=0,"не применяется",H15*G15/100))</f>
        <v>0.5</v>
      </c>
      <c r="J15" s="10">
        <f>IF(ISNUMBER(I15),I15,"")</f>
        <v>0.5</v>
      </c>
      <c r="K15" s="56">
        <v>1</v>
      </c>
      <c r="L15" s="56">
        <v>1</v>
      </c>
      <c r="M15" s="56">
        <v>1</v>
      </c>
      <c r="N15" s="10">
        <f>IF(K15=1,(MIN(Вес6.1,Вес6.2))*((100/MIN(Вес6.1,Вес6.2))/S15*Вес6.2/MIN(Вес6.1,Вес6.2)),"")</f>
        <v>50</v>
      </c>
      <c r="O15" s="10">
        <f>IF(N15="","не применяется",IF(K15=0,"не применяется",N15*M15/100))</f>
        <v>0.5</v>
      </c>
      <c r="P15" s="10">
        <f>IF(ISNUMBER(O15),O15,"")</f>
        <v>0.5</v>
      </c>
      <c r="Q15" s="10">
        <f>IF(E15=1,Вес6.1/MIN(Вес6.1,Вес6.2),"")</f>
        <v>1</v>
      </c>
      <c r="R15" s="10">
        <f>IF(K15=1,Вес6.2/MIN(Вес6.1,Вес6.2),"")</f>
        <v>1</v>
      </c>
      <c r="S15" s="10">
        <f>SUM(Q15:R15)</f>
        <v>2</v>
      </c>
    </row>
    <row r="16" spans="1:19" x14ac:dyDescent="0.2">
      <c r="A16" s="1" t="s">
        <v>103</v>
      </c>
      <c r="B16" s="9" t="s">
        <v>22</v>
      </c>
      <c r="C16" s="10">
        <f>IF(D16&lt;&gt;1,"",SUM(J16,P16))</f>
        <v>1</v>
      </c>
      <c r="D16" s="10">
        <f>IF(SUM(E16,K16)=0,0,1)</f>
        <v>1</v>
      </c>
      <c r="E16" s="56">
        <v>1</v>
      </c>
      <c r="F16" s="56">
        <v>0</v>
      </c>
      <c r="G16" s="56">
        <v>1</v>
      </c>
      <c r="H16" s="10">
        <f>IF(E16=1,(MIN(Вес6.1,Вес6.2))*((100/MIN(Вес6.1,Вес6.2))/S16*Вес6.1/MIN(Вес6.1,Вес6.2)),"")</f>
        <v>50</v>
      </c>
      <c r="I16" s="10">
        <f>IF(H16="","не применяется",IF(E16=0,"не применяется",H16*G16/100))</f>
        <v>0.5</v>
      </c>
      <c r="J16" s="10">
        <f>IF(ISNUMBER(I16),I16,"")</f>
        <v>0.5</v>
      </c>
      <c r="K16" s="56">
        <v>1</v>
      </c>
      <c r="L16" s="56">
        <v>1</v>
      </c>
      <c r="M16" s="56">
        <v>1</v>
      </c>
      <c r="N16" s="10">
        <f>IF(K16=1,(MIN(Вес6.1,Вес6.2))*((100/MIN(Вес6.1,Вес6.2))/S16*Вес6.2/MIN(Вес6.1,Вес6.2)),"")</f>
        <v>50</v>
      </c>
      <c r="O16" s="10">
        <f>IF(N16="","не применяется",IF(K16=0,"не применяется",N16*M16/100))</f>
        <v>0.5</v>
      </c>
      <c r="P16" s="10">
        <f>IF(ISNUMBER(O16),O16,"")</f>
        <v>0.5</v>
      </c>
      <c r="Q16" s="10">
        <f>IF(E16=1,Вес6.1/MIN(Вес6.1,Вес6.2),"")</f>
        <v>1</v>
      </c>
      <c r="R16" s="10">
        <f>IF(K16=1,Вес6.2/MIN(Вес6.1,Вес6.2),"")</f>
        <v>1</v>
      </c>
      <c r="S16" s="10">
        <f>SUM(Q16:R16)</f>
        <v>2</v>
      </c>
    </row>
    <row r="17" spans="1:19" ht="25.5" x14ac:dyDescent="0.2">
      <c r="A17" s="1" t="s">
        <v>104</v>
      </c>
      <c r="B17" s="9" t="s">
        <v>23</v>
      </c>
      <c r="C17" s="10">
        <f>IF(D17&lt;&gt;1,"",SUM(J17,P17))</f>
        <v>1</v>
      </c>
      <c r="D17" s="10">
        <f>IF(SUM(E17,K17)=0,0,1)</f>
        <v>1</v>
      </c>
      <c r="E17" s="56">
        <v>1</v>
      </c>
      <c r="F17" s="56">
        <v>0</v>
      </c>
      <c r="G17" s="56">
        <v>1</v>
      </c>
      <c r="H17" s="10">
        <f>IF(E17=1,(MIN(Вес6.1,Вес6.2))*((100/MIN(Вес6.1,Вес6.2))/S17*Вес6.1/MIN(Вес6.1,Вес6.2)),"")</f>
        <v>50</v>
      </c>
      <c r="I17" s="10">
        <f>IF(H17="","не применяется",IF(E17=0,"не применяется",H17*G17/100))</f>
        <v>0.5</v>
      </c>
      <c r="J17" s="10">
        <f>IF(ISNUMBER(I17),I17,"")</f>
        <v>0.5</v>
      </c>
      <c r="K17" s="56">
        <v>1</v>
      </c>
      <c r="L17" s="56">
        <v>1</v>
      </c>
      <c r="M17" s="56">
        <v>1</v>
      </c>
      <c r="N17" s="10">
        <f>IF(K17=1,(MIN(Вес6.1,Вес6.2))*((100/MIN(Вес6.1,Вес6.2))/S17*Вес6.2/MIN(Вес6.1,Вес6.2)),"")</f>
        <v>50</v>
      </c>
      <c r="O17" s="10">
        <f>IF(N17="","не применяется",IF(K17=0,"не применяется",N17*M17/100))</f>
        <v>0.5</v>
      </c>
      <c r="P17" s="10">
        <f>IF(ISNUMBER(O17),O17,"")</f>
        <v>0.5</v>
      </c>
      <c r="Q17" s="10">
        <f>IF(E17=1,Вес6.1/MIN(Вес6.1,Вес6.2),"")</f>
        <v>1</v>
      </c>
      <c r="R17" s="10">
        <f>IF(K17=1,Вес6.2/MIN(Вес6.1,Вес6.2),"")</f>
        <v>1</v>
      </c>
      <c r="S17" s="10">
        <f>SUM(Q17:R17)</f>
        <v>2</v>
      </c>
    </row>
    <row r="18" spans="1:19" ht="25.5" x14ac:dyDescent="0.2">
      <c r="A18" s="1" t="s">
        <v>105</v>
      </c>
      <c r="B18" s="9" t="s">
        <v>24</v>
      </c>
      <c r="C18" s="10">
        <f>IF(D18&lt;&gt;1,"",SUM(J18,P18))</f>
        <v>1</v>
      </c>
      <c r="D18" s="10">
        <f>IF(SUM(E18,K18)=0,0,1)</f>
        <v>1</v>
      </c>
      <c r="E18" s="56">
        <v>1</v>
      </c>
      <c r="F18" s="56">
        <v>0</v>
      </c>
      <c r="G18" s="56">
        <v>1</v>
      </c>
      <c r="H18" s="10">
        <f>IF(E18=1,(MIN(Вес6.1,Вес6.2))*((100/MIN(Вес6.1,Вес6.2))/S18*Вес6.1/MIN(Вес6.1,Вес6.2)),"")</f>
        <v>50</v>
      </c>
      <c r="I18" s="10">
        <f>IF(H18="","не применяется",IF(E18=0,"не применяется",H18*G18/100))</f>
        <v>0.5</v>
      </c>
      <c r="J18" s="10">
        <f>IF(ISNUMBER(I18),I18,"")</f>
        <v>0.5</v>
      </c>
      <c r="K18" s="56">
        <v>1</v>
      </c>
      <c r="L18" s="56">
        <v>1</v>
      </c>
      <c r="M18" s="56">
        <v>1</v>
      </c>
      <c r="N18" s="10">
        <f>IF(K18=1,(MIN(Вес6.1,Вес6.2))*((100/MIN(Вес6.1,Вес6.2))/S18*Вес6.2/MIN(Вес6.1,Вес6.2)),"")</f>
        <v>50</v>
      </c>
      <c r="O18" s="10">
        <f>IF(N18="","не применяется",IF(K18=0,"не применяется",N18*M18/100))</f>
        <v>0.5</v>
      </c>
      <c r="P18" s="10">
        <f>IF(ISNUMBER(O18),O18,"")</f>
        <v>0.5</v>
      </c>
      <c r="Q18" s="10">
        <f>IF(E18=1,Вес6.1/MIN(Вес6.1,Вес6.2),"")</f>
        <v>1</v>
      </c>
      <c r="R18" s="10">
        <f>IF(K18=1,Вес6.2/MIN(Вес6.1,Вес6.2),"")</f>
        <v>1</v>
      </c>
      <c r="S18" s="10">
        <f>SUM(Q18:R18)</f>
        <v>2</v>
      </c>
    </row>
    <row r="19" spans="1:19" ht="25.5" x14ac:dyDescent="0.2">
      <c r="A19" s="1" t="s">
        <v>106</v>
      </c>
      <c r="B19" s="9" t="s">
        <v>25</v>
      </c>
      <c r="C19" s="10">
        <f>IF(D19&lt;&gt;1,"",SUM(J19,P19))</f>
        <v>1</v>
      </c>
      <c r="D19" s="10">
        <f>IF(SUM(E19,K19)=0,0,1)</f>
        <v>1</v>
      </c>
      <c r="E19" s="56">
        <v>1</v>
      </c>
      <c r="F19" s="56">
        <v>0</v>
      </c>
      <c r="G19" s="56">
        <v>1</v>
      </c>
      <c r="H19" s="10">
        <f>IF(E19=1,(MIN(Вес6.1,Вес6.2))*((100/MIN(Вес6.1,Вес6.2))/S19*Вес6.1/MIN(Вес6.1,Вес6.2)),"")</f>
        <v>50</v>
      </c>
      <c r="I19" s="10">
        <f>IF(H19="","не применяется",IF(E19=0,"не применяется",H19*G19/100))</f>
        <v>0.5</v>
      </c>
      <c r="J19" s="10">
        <f>IF(ISNUMBER(I19),I19,"")</f>
        <v>0.5</v>
      </c>
      <c r="K19" s="56">
        <v>1</v>
      </c>
      <c r="L19" s="56">
        <v>1</v>
      </c>
      <c r="M19" s="56">
        <v>1</v>
      </c>
      <c r="N19" s="10">
        <f>IF(K19=1,(MIN(Вес6.1,Вес6.2))*((100/MIN(Вес6.1,Вес6.2))/S19*Вес6.2/MIN(Вес6.1,Вес6.2)),"")</f>
        <v>50</v>
      </c>
      <c r="O19" s="10">
        <f>IF(N19="","не применяется",IF(K19=0,"не применяется",N19*M19/100))</f>
        <v>0.5</v>
      </c>
      <c r="P19" s="10">
        <f>IF(ISNUMBER(O19),O19,"")</f>
        <v>0.5</v>
      </c>
      <c r="Q19" s="10">
        <f>IF(E19=1,Вес6.1/MIN(Вес6.1,Вес6.2),"")</f>
        <v>1</v>
      </c>
      <c r="R19" s="10">
        <f>IF(K19=1,Вес6.2/MIN(Вес6.1,Вес6.2),"")</f>
        <v>1</v>
      </c>
      <c r="S19" s="10">
        <f>SUM(Q19:R19)</f>
        <v>2</v>
      </c>
    </row>
    <row r="20" spans="1:19" ht="25.5" x14ac:dyDescent="0.2">
      <c r="A20" s="1" t="s">
        <v>107</v>
      </c>
      <c r="B20" s="9" t="s">
        <v>26</v>
      </c>
      <c r="C20" s="10">
        <f>IF(D20&lt;&gt;1,"",SUM(J20,P20))</f>
        <v>1</v>
      </c>
      <c r="D20" s="10">
        <f>IF(SUM(E20,K20)=0,0,1)</f>
        <v>1</v>
      </c>
      <c r="E20" s="56">
        <v>1</v>
      </c>
      <c r="F20" s="56">
        <v>0</v>
      </c>
      <c r="G20" s="56">
        <v>1</v>
      </c>
      <c r="H20" s="10">
        <f>IF(E20=1,(MIN(Вес6.1,Вес6.2))*((100/MIN(Вес6.1,Вес6.2))/S20*Вес6.1/MIN(Вес6.1,Вес6.2)),"")</f>
        <v>50</v>
      </c>
      <c r="I20" s="10">
        <f>IF(H20="","не применяется",IF(E20=0,"не применяется",H20*G20/100))</f>
        <v>0.5</v>
      </c>
      <c r="J20" s="10">
        <f>IF(ISNUMBER(I20),I20,"")</f>
        <v>0.5</v>
      </c>
      <c r="K20" s="56">
        <v>1</v>
      </c>
      <c r="L20" s="56">
        <v>1</v>
      </c>
      <c r="M20" s="56">
        <v>1</v>
      </c>
      <c r="N20" s="10">
        <f>IF(K20=1,(MIN(Вес6.1,Вес6.2))*((100/MIN(Вес6.1,Вес6.2))/S20*Вес6.2/MIN(Вес6.1,Вес6.2)),"")</f>
        <v>50</v>
      </c>
      <c r="O20" s="10">
        <f>IF(N20="","не применяется",IF(K20=0,"не применяется",N20*M20/100))</f>
        <v>0.5</v>
      </c>
      <c r="P20" s="10">
        <f>IF(ISNUMBER(O20),O20,"")</f>
        <v>0.5</v>
      </c>
      <c r="Q20" s="10">
        <f>IF(E20=1,Вес6.1/MIN(Вес6.1,Вес6.2),"")</f>
        <v>1</v>
      </c>
      <c r="R20" s="10">
        <f>IF(K20=1,Вес6.2/MIN(Вес6.1,Вес6.2),"")</f>
        <v>1</v>
      </c>
      <c r="S20" s="10">
        <f>SUM(Q20:R20)</f>
        <v>2</v>
      </c>
    </row>
    <row r="21" spans="1:19" ht="25.5" x14ac:dyDescent="0.2">
      <c r="A21" s="1" t="s">
        <v>108</v>
      </c>
      <c r="B21" s="9" t="s">
        <v>51</v>
      </c>
      <c r="C21" s="10">
        <f>IF(D21&lt;&gt;1,"",SUM(J21,P21))</f>
        <v>1</v>
      </c>
      <c r="D21" s="10">
        <f>IF(SUM(E21,K21)=0,0,1)</f>
        <v>1</v>
      </c>
      <c r="E21" s="56">
        <v>1</v>
      </c>
      <c r="F21" s="56">
        <v>0</v>
      </c>
      <c r="G21" s="56">
        <v>1</v>
      </c>
      <c r="H21" s="10">
        <f>IF(E21=1,(MIN(Вес6.1,Вес6.2))*((100/MIN(Вес6.1,Вес6.2))/S21*Вес6.1/MIN(Вес6.1,Вес6.2)),"")</f>
        <v>50</v>
      </c>
      <c r="I21" s="10">
        <f>IF(H21="","не применяется",IF(E21=0,"не применяется",H21*G21/100))</f>
        <v>0.5</v>
      </c>
      <c r="J21" s="10">
        <f>IF(ISNUMBER(I21),I21,"")</f>
        <v>0.5</v>
      </c>
      <c r="K21" s="56">
        <v>1</v>
      </c>
      <c r="L21" s="56">
        <v>1</v>
      </c>
      <c r="M21" s="56">
        <v>1</v>
      </c>
      <c r="N21" s="10">
        <f>IF(K21=1,(MIN(Вес6.1,Вес6.2))*((100/MIN(Вес6.1,Вес6.2))/S21*Вес6.2/MIN(Вес6.1,Вес6.2)),"")</f>
        <v>50</v>
      </c>
      <c r="O21" s="10">
        <f>IF(N21="","не применяется",IF(K21=0,"не применяется",N21*M21/100))</f>
        <v>0.5</v>
      </c>
      <c r="P21" s="10">
        <f>IF(ISNUMBER(O21),O21,"")</f>
        <v>0.5</v>
      </c>
      <c r="Q21" s="10">
        <f>IF(E21=1,Вес6.1/MIN(Вес6.1,Вес6.2),"")</f>
        <v>1</v>
      </c>
      <c r="R21" s="10">
        <f>IF(K21=1,Вес6.2/MIN(Вес6.1,Вес6.2),"")</f>
        <v>1</v>
      </c>
      <c r="S21" s="10">
        <f>SUM(Q21:R21)</f>
        <v>2</v>
      </c>
    </row>
    <row r="22" spans="1:19" x14ac:dyDescent="0.2">
      <c r="A22" s="1" t="s">
        <v>109</v>
      </c>
      <c r="B22" s="9" t="s">
        <v>27</v>
      </c>
      <c r="C22" s="10">
        <f>IF(D22&lt;&gt;1,"",SUM(J22,P22))</f>
        <v>0.5</v>
      </c>
      <c r="D22" s="10">
        <f>IF(SUM(E22,K22)=0,0,1)</f>
        <v>1</v>
      </c>
      <c r="E22" s="56">
        <v>1</v>
      </c>
      <c r="F22" s="56">
        <v>1090.22</v>
      </c>
      <c r="G22" s="56">
        <v>0</v>
      </c>
      <c r="H22" s="10">
        <f>IF(E22=1,(MIN(Вес6.1,Вес6.2))*((100/MIN(Вес6.1,Вес6.2))/S22*Вес6.1/MIN(Вес6.1,Вес6.2)),"")</f>
        <v>50</v>
      </c>
      <c r="I22" s="10">
        <f>IF(H22="","не применяется",IF(E22=0,"не применяется",H22*G22/100))</f>
        <v>0</v>
      </c>
      <c r="J22" s="10">
        <f>IF(ISNUMBER(I22),I22,"")</f>
        <v>0</v>
      </c>
      <c r="K22" s="56">
        <v>1</v>
      </c>
      <c r="L22" s="56">
        <v>1</v>
      </c>
      <c r="M22" s="56">
        <v>1</v>
      </c>
      <c r="N22" s="10">
        <f>IF(K22=1,(MIN(Вес6.1,Вес6.2))*((100/MIN(Вес6.1,Вес6.2))/S22*Вес6.2/MIN(Вес6.1,Вес6.2)),"")</f>
        <v>50</v>
      </c>
      <c r="O22" s="10">
        <f>IF(N22="","не применяется",IF(K22=0,"не применяется",N22*M22/100))</f>
        <v>0.5</v>
      </c>
      <c r="P22" s="10">
        <f>IF(ISNUMBER(O22),O22,"")</f>
        <v>0.5</v>
      </c>
      <c r="Q22" s="10">
        <f>IF(E22=1,Вес6.1/MIN(Вес6.1,Вес6.2),"")</f>
        <v>1</v>
      </c>
      <c r="R22" s="10">
        <f>IF(K22=1,Вес6.2/MIN(Вес6.1,Вес6.2),"")</f>
        <v>1</v>
      </c>
      <c r="S22" s="10">
        <f>SUM(Q22:R22)</f>
        <v>2</v>
      </c>
    </row>
    <row r="23" spans="1:19" x14ac:dyDescent="0.2">
      <c r="A23" s="1" t="s">
        <v>110</v>
      </c>
      <c r="B23" s="9" t="s">
        <v>28</v>
      </c>
      <c r="C23" s="10">
        <f>IF(D23&lt;&gt;1,"",SUM(J23,P23))</f>
        <v>1</v>
      </c>
      <c r="D23" s="10">
        <f>IF(SUM(E23,K23)=0,0,1)</f>
        <v>1</v>
      </c>
      <c r="E23" s="56">
        <v>1</v>
      </c>
      <c r="F23" s="56">
        <v>0</v>
      </c>
      <c r="G23" s="56">
        <v>1</v>
      </c>
      <c r="H23" s="10">
        <f>IF(E23=1,(MIN(Вес6.1,Вес6.2))*((100/MIN(Вес6.1,Вес6.2))/S23*Вес6.1/MIN(Вес6.1,Вес6.2)),"")</f>
        <v>50</v>
      </c>
      <c r="I23" s="10">
        <f>IF(H23="","не применяется",IF(E23=0,"не применяется",H23*G23/100))</f>
        <v>0.5</v>
      </c>
      <c r="J23" s="10">
        <f>IF(ISNUMBER(I23),I23,"")</f>
        <v>0.5</v>
      </c>
      <c r="K23" s="56">
        <v>1</v>
      </c>
      <c r="L23" s="56">
        <v>1</v>
      </c>
      <c r="M23" s="56">
        <v>1</v>
      </c>
      <c r="N23" s="10">
        <f>IF(K23=1,(MIN(Вес6.1,Вес6.2))*((100/MIN(Вес6.1,Вес6.2))/S23*Вес6.2/MIN(Вес6.1,Вес6.2)),"")</f>
        <v>50</v>
      </c>
      <c r="O23" s="10">
        <f>IF(N23="","не применяется",IF(K23=0,"не применяется",N23*M23/100))</f>
        <v>0.5</v>
      </c>
      <c r="P23" s="10">
        <f>IF(ISNUMBER(O23),O23,"")</f>
        <v>0.5</v>
      </c>
      <c r="Q23" s="10">
        <f>IF(E23=1,Вес6.1/MIN(Вес6.1,Вес6.2),"")</f>
        <v>1</v>
      </c>
      <c r="R23" s="10">
        <f>IF(K23=1,Вес6.2/MIN(Вес6.1,Вес6.2),"")</f>
        <v>1</v>
      </c>
      <c r="S23" s="10">
        <f>SUM(Q23:R23)</f>
        <v>2</v>
      </c>
    </row>
    <row r="24" spans="1:19" ht="25.5" x14ac:dyDescent="0.2">
      <c r="A24" s="1" t="s">
        <v>121</v>
      </c>
      <c r="B24" s="9" t="s">
        <v>120</v>
      </c>
      <c r="C24" s="10">
        <f>IF(D24&lt;&gt;1,"",SUM(J24,P24))</f>
        <v>1</v>
      </c>
      <c r="D24" s="10">
        <f>IF(SUM(E24,K24)=0,0,1)</f>
        <v>1</v>
      </c>
      <c r="E24" s="56">
        <v>1</v>
      </c>
      <c r="F24" s="56">
        <v>0</v>
      </c>
      <c r="G24" s="56">
        <v>1</v>
      </c>
      <c r="H24" s="10">
        <f>IF(E24=1,(MIN(Вес6.1,Вес6.2))*((100/MIN(Вес6.1,Вес6.2))/S24*Вес6.1/MIN(Вес6.1,Вес6.2)),"")</f>
        <v>50</v>
      </c>
      <c r="I24" s="10">
        <f>IF(H24="","не применяется",IF(E24=0,"не применяется",H24*G24/100))</f>
        <v>0.5</v>
      </c>
      <c r="J24" s="10">
        <f>IF(ISNUMBER(I24),I24,"")</f>
        <v>0.5</v>
      </c>
      <c r="K24" s="56">
        <v>1</v>
      </c>
      <c r="L24" s="56">
        <v>1</v>
      </c>
      <c r="M24" s="56">
        <v>1</v>
      </c>
      <c r="N24" s="10">
        <f>IF(K24=1,(MIN(Вес6.1,Вес6.2))*((100/MIN(Вес6.1,Вес6.2))/S24*Вес6.2/MIN(Вес6.1,Вес6.2)),"")</f>
        <v>50</v>
      </c>
      <c r="O24" s="10">
        <f>IF(N24="","не применяется",IF(K24=0,"не применяется",N24*M24/100))</f>
        <v>0.5</v>
      </c>
      <c r="P24" s="10">
        <f>IF(ISNUMBER(O24),O24,"")</f>
        <v>0.5</v>
      </c>
      <c r="Q24" s="10">
        <f>IF(E24=1,Вес6.1/MIN(Вес6.1,Вес6.2),"")</f>
        <v>1</v>
      </c>
      <c r="R24" s="10">
        <f>IF(K24=1,Вес6.2/MIN(Вес6.1,Вес6.2),"")</f>
        <v>1</v>
      </c>
      <c r="S24" s="10">
        <f>SUM(Q24:R24)</f>
        <v>2</v>
      </c>
    </row>
    <row r="25" spans="1:19" x14ac:dyDescent="0.2">
      <c r="A25" s="1" t="s">
        <v>111</v>
      </c>
      <c r="B25" s="9" t="s">
        <v>29</v>
      </c>
      <c r="C25" s="10">
        <f>IF(D25&lt;&gt;1,"",SUM(J25,P25))</f>
        <v>1</v>
      </c>
      <c r="D25" s="10">
        <f>IF(SUM(E25,K25)=0,0,1)</f>
        <v>1</v>
      </c>
      <c r="E25" s="56">
        <v>1</v>
      </c>
      <c r="F25" s="56">
        <v>0</v>
      </c>
      <c r="G25" s="56">
        <v>1</v>
      </c>
      <c r="H25" s="10">
        <f>IF(E25=1,(MIN(Вес6.1,Вес6.2))*((100/MIN(Вес6.1,Вес6.2))/S25*Вес6.1/MIN(Вес6.1,Вес6.2)),"")</f>
        <v>50</v>
      </c>
      <c r="I25" s="10">
        <f>IF(H25="","не применяется",IF(E25=0,"не применяется",H25*G25/100))</f>
        <v>0.5</v>
      </c>
      <c r="J25" s="10">
        <f>IF(ISNUMBER(I25),I25,"")</f>
        <v>0.5</v>
      </c>
      <c r="K25" s="56">
        <v>1</v>
      </c>
      <c r="L25" s="56">
        <v>1</v>
      </c>
      <c r="M25" s="56">
        <v>1</v>
      </c>
      <c r="N25" s="10">
        <f>IF(K25=1,(MIN(Вес6.1,Вес6.2))*((100/MIN(Вес6.1,Вес6.2))/S25*Вес6.2/MIN(Вес6.1,Вес6.2)),"")</f>
        <v>50</v>
      </c>
      <c r="O25" s="10">
        <f>IF(N25="","не применяется",IF(K25=0,"не применяется",N25*M25/100))</f>
        <v>0.5</v>
      </c>
      <c r="P25" s="10">
        <f>IF(ISNUMBER(O25),O25,"")</f>
        <v>0.5</v>
      </c>
      <c r="Q25" s="10">
        <f>IF(E25=1,Вес6.1/MIN(Вес6.1,Вес6.2),"")</f>
        <v>1</v>
      </c>
      <c r="R25" s="10">
        <f>IF(K25=1,Вес6.2/MIN(Вес6.1,Вес6.2),"")</f>
        <v>1</v>
      </c>
      <c r="S25" s="10">
        <f>SUM(Q25:R25)</f>
        <v>2</v>
      </c>
    </row>
    <row r="26" spans="1:19" x14ac:dyDescent="0.2">
      <c r="A26" s="1" t="s">
        <v>112</v>
      </c>
      <c r="B26" s="9" t="s">
        <v>30</v>
      </c>
      <c r="C26" s="10">
        <f>IF(D26&lt;&gt;1,"",SUM(J26,P26))</f>
        <v>1</v>
      </c>
      <c r="D26" s="10">
        <f>IF(SUM(E26,K26)=0,0,1)</f>
        <v>1</v>
      </c>
      <c r="E26" s="56">
        <v>1</v>
      </c>
      <c r="F26" s="56">
        <v>0</v>
      </c>
      <c r="G26" s="56">
        <v>1</v>
      </c>
      <c r="H26" s="10">
        <f>IF(E26=1,(MIN(Вес6.1,Вес6.2))*((100/MIN(Вес6.1,Вес6.2))/S26*Вес6.1/MIN(Вес6.1,Вес6.2)),"")</f>
        <v>50</v>
      </c>
      <c r="I26" s="10">
        <f>IF(H26="","не применяется",IF(E26=0,"не применяется",H26*G26/100))</f>
        <v>0.5</v>
      </c>
      <c r="J26" s="10">
        <f>IF(ISNUMBER(I26),I26,"")</f>
        <v>0.5</v>
      </c>
      <c r="K26" s="56">
        <v>1</v>
      </c>
      <c r="L26" s="56">
        <v>1</v>
      </c>
      <c r="M26" s="56">
        <v>1</v>
      </c>
      <c r="N26" s="10">
        <f>IF(K26=1,(MIN(Вес6.1,Вес6.2))*((100/MIN(Вес6.1,Вес6.2))/S26*Вес6.2/MIN(Вес6.1,Вес6.2)),"")</f>
        <v>50</v>
      </c>
      <c r="O26" s="10">
        <f>IF(N26="","не применяется",IF(K26=0,"не применяется",N26*M26/100))</f>
        <v>0.5</v>
      </c>
      <c r="P26" s="10">
        <f>IF(ISNUMBER(O26),O26,"")</f>
        <v>0.5</v>
      </c>
      <c r="Q26" s="10">
        <f>IF(E26=1,Вес6.1/MIN(Вес6.1,Вес6.2),"")</f>
        <v>1</v>
      </c>
      <c r="R26" s="10">
        <f>IF(K26=1,Вес6.2/MIN(Вес6.1,Вес6.2),"")</f>
        <v>1</v>
      </c>
      <c r="S26" s="10">
        <f>SUM(Q26:R26)</f>
        <v>2</v>
      </c>
    </row>
    <row r="27" spans="1:19" x14ac:dyDescent="0.2">
      <c r="A27" s="1" t="s">
        <v>113</v>
      </c>
      <c r="B27" s="9" t="s">
        <v>31</v>
      </c>
      <c r="C27" s="10">
        <f>IF(D27&lt;&gt;1,"",SUM(J27,P27))</f>
        <v>1</v>
      </c>
      <c r="D27" s="10">
        <f>IF(SUM(E27,K27)=0,0,1)</f>
        <v>1</v>
      </c>
      <c r="E27" s="56">
        <v>1</v>
      </c>
      <c r="F27" s="56">
        <v>0</v>
      </c>
      <c r="G27" s="56">
        <v>1</v>
      </c>
      <c r="H27" s="10">
        <f>IF(E27=1,(MIN(Вес6.1,Вес6.2))*((100/MIN(Вес6.1,Вес6.2))/S27*Вес6.1/MIN(Вес6.1,Вес6.2)),"")</f>
        <v>50</v>
      </c>
      <c r="I27" s="10">
        <f>IF(H27="","не применяется",IF(E27=0,"не применяется",H27*G27/100))</f>
        <v>0.5</v>
      </c>
      <c r="J27" s="10">
        <f>IF(ISNUMBER(I27),I27,"")</f>
        <v>0.5</v>
      </c>
      <c r="K27" s="56">
        <v>1</v>
      </c>
      <c r="L27" s="56">
        <v>1</v>
      </c>
      <c r="M27" s="56">
        <v>1</v>
      </c>
      <c r="N27" s="10">
        <f>IF(K27=1,(MIN(Вес6.1,Вес6.2))*((100/MIN(Вес6.1,Вес6.2))/S27*Вес6.2/MIN(Вес6.1,Вес6.2)),"")</f>
        <v>50</v>
      </c>
      <c r="O27" s="10">
        <f>IF(N27="","не применяется",IF(K27=0,"не применяется",N27*M27/100))</f>
        <v>0.5</v>
      </c>
      <c r="P27" s="10">
        <f>IF(ISNUMBER(O27),O27,"")</f>
        <v>0.5</v>
      </c>
      <c r="Q27" s="10">
        <f>IF(E27=1,Вес6.1/MIN(Вес6.1,Вес6.2),"")</f>
        <v>1</v>
      </c>
      <c r="R27" s="10">
        <f>IF(K27=1,Вес6.2/MIN(Вес6.1,Вес6.2),"")</f>
        <v>1</v>
      </c>
      <c r="S27" s="10">
        <f>SUM(Q27:R27)</f>
        <v>2</v>
      </c>
    </row>
    <row r="28" spans="1:19" x14ac:dyDescent="0.2">
      <c r="A28" s="1" t="s">
        <v>114</v>
      </c>
      <c r="B28" s="9" t="s">
        <v>32</v>
      </c>
      <c r="C28" s="10">
        <f>IF(D28&lt;&gt;1,"",SUM(J28,P28))</f>
        <v>0.5</v>
      </c>
      <c r="D28" s="10">
        <f>IF(SUM(E28,K28)=0,0,1)</f>
        <v>1</v>
      </c>
      <c r="E28" s="56">
        <v>1</v>
      </c>
      <c r="F28" s="56">
        <v>966166.85</v>
      </c>
      <c r="G28" s="56">
        <v>0</v>
      </c>
      <c r="H28" s="10">
        <f>IF(E28=1,(MIN(Вес6.1,Вес6.2))*((100/MIN(Вес6.1,Вес6.2))/S28*Вес6.1/MIN(Вес6.1,Вес6.2)),"")</f>
        <v>50</v>
      </c>
      <c r="I28" s="10">
        <f>IF(H28="","не применяется",IF(E28=0,"не применяется",H28*G28/100))</f>
        <v>0</v>
      </c>
      <c r="J28" s="10">
        <f>IF(ISNUMBER(I28),I28,"")</f>
        <v>0</v>
      </c>
      <c r="K28" s="56">
        <v>1</v>
      </c>
      <c r="L28" s="56">
        <v>1</v>
      </c>
      <c r="M28" s="56">
        <v>1</v>
      </c>
      <c r="N28" s="10">
        <f>IF(K28=1,(MIN(Вес6.1,Вес6.2))*((100/MIN(Вес6.1,Вес6.2))/S28*Вес6.2/MIN(Вес6.1,Вес6.2)),"")</f>
        <v>50</v>
      </c>
      <c r="O28" s="10">
        <f>IF(N28="","не применяется",IF(K28=0,"не применяется",N28*M28/100))</f>
        <v>0.5</v>
      </c>
      <c r="P28" s="10">
        <f>IF(ISNUMBER(O28),O28,"")</f>
        <v>0.5</v>
      </c>
      <c r="Q28" s="10">
        <f>IF(E28=1,Вес6.1/MIN(Вес6.1,Вес6.2),"")</f>
        <v>1</v>
      </c>
      <c r="R28" s="10">
        <f>IF(K28=1,Вес6.2/MIN(Вес6.1,Вес6.2),"")</f>
        <v>1</v>
      </c>
      <c r="S28" s="10">
        <f>SUM(Q28:R28)</f>
        <v>2</v>
      </c>
    </row>
    <row r="29" spans="1:19" ht="25.5" x14ac:dyDescent="0.2">
      <c r="A29" s="1" t="s">
        <v>115</v>
      </c>
      <c r="B29" s="9" t="s">
        <v>33</v>
      </c>
      <c r="C29" s="10">
        <f>IF(D29&lt;&gt;1,"",SUM(J29,P29))</f>
        <v>1</v>
      </c>
      <c r="D29" s="10">
        <f>IF(SUM(E29,K29)=0,0,1)</f>
        <v>1</v>
      </c>
      <c r="E29" s="56">
        <v>1</v>
      </c>
      <c r="F29" s="56">
        <v>0</v>
      </c>
      <c r="G29" s="56">
        <v>1</v>
      </c>
      <c r="H29" s="10">
        <f>IF(E29=1,(MIN(Вес6.1,Вес6.2))*((100/MIN(Вес6.1,Вес6.2))/S29*Вес6.1/MIN(Вес6.1,Вес6.2)),"")</f>
        <v>50</v>
      </c>
      <c r="I29" s="10">
        <f>IF(H29="","не применяется",IF(E29=0,"не применяется",H29*G29/100))</f>
        <v>0.5</v>
      </c>
      <c r="J29" s="10">
        <f>IF(ISNUMBER(I29),I29,"")</f>
        <v>0.5</v>
      </c>
      <c r="K29" s="56">
        <v>1</v>
      </c>
      <c r="L29" s="56">
        <v>1</v>
      </c>
      <c r="M29" s="56">
        <v>1</v>
      </c>
      <c r="N29" s="10">
        <f>IF(K29=1,(MIN(Вес6.1,Вес6.2))*((100/MIN(Вес6.1,Вес6.2))/S29*Вес6.2/MIN(Вес6.1,Вес6.2)),"")</f>
        <v>50</v>
      </c>
      <c r="O29" s="10">
        <f>IF(N29="","не применяется",IF(K29=0,"не применяется",N29*M29/100))</f>
        <v>0.5</v>
      </c>
      <c r="P29" s="10">
        <f>IF(ISNUMBER(O29),O29,"")</f>
        <v>0.5</v>
      </c>
      <c r="Q29" s="10">
        <f>IF(E29=1,Вес6.1/MIN(Вес6.1,Вес6.2),"")</f>
        <v>1</v>
      </c>
      <c r="R29" s="10">
        <f>IF(K29=1,Вес6.2/MIN(Вес6.1,Вес6.2),"")</f>
        <v>1</v>
      </c>
      <c r="S29" s="10">
        <f>SUM(Q29:R29)</f>
        <v>2</v>
      </c>
    </row>
    <row r="30" spans="1:19" ht="25.5" x14ac:dyDescent="0.2">
      <c r="A30" s="1" t="s">
        <v>116</v>
      </c>
      <c r="B30" s="9" t="s">
        <v>34</v>
      </c>
      <c r="C30" s="10">
        <f>IF(D30&lt;&gt;1,"",SUM(J30,P30))</f>
        <v>1</v>
      </c>
      <c r="D30" s="10">
        <f>IF(SUM(E30,K30)=0,0,1)</f>
        <v>1</v>
      </c>
      <c r="E30" s="56">
        <v>1</v>
      </c>
      <c r="F30" s="56">
        <v>0</v>
      </c>
      <c r="G30" s="56">
        <v>1</v>
      </c>
      <c r="H30" s="10">
        <f>IF(E30=1,(MIN(Вес6.1,Вес6.2))*((100/MIN(Вес6.1,Вес6.2))/S30*Вес6.1/MIN(Вес6.1,Вес6.2)),"")</f>
        <v>50</v>
      </c>
      <c r="I30" s="10">
        <f>IF(H30="","не применяется",IF(E30=0,"не применяется",H30*G30/100))</f>
        <v>0.5</v>
      </c>
      <c r="J30" s="10">
        <f>IF(ISNUMBER(I30),I30,"")</f>
        <v>0.5</v>
      </c>
      <c r="K30" s="56">
        <v>1</v>
      </c>
      <c r="L30" s="56">
        <v>1</v>
      </c>
      <c r="M30" s="56">
        <v>1</v>
      </c>
      <c r="N30" s="10">
        <f>IF(K30=1,(MIN(Вес6.1,Вес6.2))*((100/MIN(Вес6.1,Вес6.2))/S30*Вес6.2/MIN(Вес6.1,Вес6.2)),"")</f>
        <v>50</v>
      </c>
      <c r="O30" s="10">
        <f>IF(N30="","не применяется",IF(K30=0,"не применяется",N30*M30/100))</f>
        <v>0.5</v>
      </c>
      <c r="P30" s="10">
        <f>IF(ISNUMBER(O30),O30,"")</f>
        <v>0.5</v>
      </c>
      <c r="Q30" s="10">
        <f>IF(E30=1,Вес6.1/MIN(Вес6.1,Вес6.2),"")</f>
        <v>1</v>
      </c>
      <c r="R30" s="10">
        <f>IF(K30=1,Вес6.2/MIN(Вес6.1,Вес6.2),"")</f>
        <v>1</v>
      </c>
      <c r="S30" s="10">
        <f>SUM(Q30:R30)</f>
        <v>2</v>
      </c>
    </row>
    <row r="31" spans="1:19" ht="25.5" x14ac:dyDescent="0.2">
      <c r="A31" s="1" t="s">
        <v>117</v>
      </c>
      <c r="B31" s="9" t="s">
        <v>89</v>
      </c>
      <c r="C31" s="10">
        <f>IF(D31&lt;&gt;1,"",SUM(J31,P31))</f>
        <v>1</v>
      </c>
      <c r="D31" s="10">
        <f>IF(SUM(E31,K31)=0,0,1)</f>
        <v>1</v>
      </c>
      <c r="E31" s="56">
        <v>1</v>
      </c>
      <c r="F31" s="56">
        <v>0</v>
      </c>
      <c r="G31" s="56">
        <v>1</v>
      </c>
      <c r="H31" s="10">
        <f>IF(E31=1,(MIN(Вес6.1,Вес6.2))*((100/MIN(Вес6.1,Вес6.2))/S31*Вес6.1/MIN(Вес6.1,Вес6.2)),"")</f>
        <v>50</v>
      </c>
      <c r="I31" s="10">
        <f>IF(H31="","не применяется",IF(E31=0,"не применяется",H31*G31/100))</f>
        <v>0.5</v>
      </c>
      <c r="J31" s="10">
        <f>IF(ISNUMBER(I31),I31,"")</f>
        <v>0.5</v>
      </c>
      <c r="K31" s="56">
        <v>1</v>
      </c>
      <c r="L31" s="56">
        <v>1</v>
      </c>
      <c r="M31" s="56">
        <v>1</v>
      </c>
      <c r="N31" s="10">
        <f>IF(K31=1,(MIN(Вес6.1,Вес6.2))*((100/MIN(Вес6.1,Вес6.2))/S31*Вес6.2/MIN(Вес6.1,Вес6.2)),"")</f>
        <v>50</v>
      </c>
      <c r="O31" s="10">
        <f>IF(N31="","не применяется",IF(K31=0,"не применяется",N31*M31/100))</f>
        <v>0.5</v>
      </c>
      <c r="P31" s="10">
        <f>IF(ISNUMBER(O31),O31,"")</f>
        <v>0.5</v>
      </c>
      <c r="Q31" s="10">
        <f>IF(E31=1,Вес6.1/MIN(Вес6.1,Вес6.2),"")</f>
        <v>1</v>
      </c>
      <c r="R31" s="10">
        <f>IF(K31=1,Вес6.2/MIN(Вес6.1,Вес6.2),"")</f>
        <v>1</v>
      </c>
      <c r="S31" s="10">
        <f>SUM(Q31:R31)</f>
        <v>2</v>
      </c>
    </row>
    <row r="32" spans="1:19" ht="25.5" x14ac:dyDescent="0.2">
      <c r="A32" s="1" t="s">
        <v>118</v>
      </c>
      <c r="B32" s="9" t="s">
        <v>35</v>
      </c>
      <c r="C32" s="10">
        <f>IF(D32&lt;&gt;1,"",SUM(J32,P32))</f>
        <v>1</v>
      </c>
      <c r="D32" s="10">
        <f>IF(SUM(E32,K32)=0,0,1)</f>
        <v>1</v>
      </c>
      <c r="E32" s="56">
        <v>1</v>
      </c>
      <c r="F32" s="56">
        <v>0</v>
      </c>
      <c r="G32" s="56">
        <v>1</v>
      </c>
      <c r="H32" s="10">
        <f>IF(E32=1,(MIN(Вес6.1,Вес6.2))*((100/MIN(Вес6.1,Вес6.2))/S32*Вес6.1/MIN(Вес6.1,Вес6.2)),"")</f>
        <v>50</v>
      </c>
      <c r="I32" s="10">
        <f>IF(H32="","не применяется",IF(E32=0,"не применяется",H32*G32/100))</f>
        <v>0.5</v>
      </c>
      <c r="J32" s="10">
        <f>IF(ISNUMBER(I32),I32,"")</f>
        <v>0.5</v>
      </c>
      <c r="K32" s="56">
        <v>1</v>
      </c>
      <c r="L32" s="56">
        <v>1</v>
      </c>
      <c r="M32" s="56">
        <v>1</v>
      </c>
      <c r="N32" s="10">
        <f>IF(K32=1,(MIN(Вес6.1,Вес6.2))*((100/MIN(Вес6.1,Вес6.2))/S32*Вес6.2/MIN(Вес6.1,Вес6.2)),"")</f>
        <v>50</v>
      </c>
      <c r="O32" s="10">
        <f>IF(N32="","не применяется",IF(K32=0,"не применяется",N32*M32/100))</f>
        <v>0.5</v>
      </c>
      <c r="P32" s="10">
        <f>IF(ISNUMBER(O32),O32,"")</f>
        <v>0.5</v>
      </c>
      <c r="Q32" s="10">
        <f>IF(E32=1,Вес6.1/MIN(Вес6.1,Вес6.2),"")</f>
        <v>1</v>
      </c>
      <c r="R32" s="10">
        <f>IF(K32=1,Вес6.2/MIN(Вес6.1,Вес6.2),"")</f>
        <v>1</v>
      </c>
      <c r="S32" s="10">
        <f>SUM(Q32:R32)</f>
        <v>2</v>
      </c>
    </row>
    <row r="33" spans="1:19" x14ac:dyDescent="0.2">
      <c r="A33" s="1" t="s">
        <v>119</v>
      </c>
      <c r="B33" s="9" t="s">
        <v>36</v>
      </c>
      <c r="C33" s="10">
        <f>IF(D33&lt;&gt;1,"",SUM(J33,P33))</f>
        <v>1</v>
      </c>
      <c r="D33" s="10">
        <f>IF(SUM(E33,K33)=0,0,1)</f>
        <v>1</v>
      </c>
      <c r="E33" s="56">
        <v>1</v>
      </c>
      <c r="F33" s="56">
        <v>0</v>
      </c>
      <c r="G33" s="56">
        <v>1</v>
      </c>
      <c r="H33" s="10">
        <f>IF(E33=1,(MIN(Вес6.1,Вес6.2))*((100/MIN(Вес6.1,Вес6.2))/S33*Вес6.1/MIN(Вес6.1,Вес6.2)),"")</f>
        <v>50</v>
      </c>
      <c r="I33" s="10">
        <f>IF(H33="","не применяется",IF(E33=0,"не применяется",H33*G33/100))</f>
        <v>0.5</v>
      </c>
      <c r="J33" s="10">
        <f>IF(ISNUMBER(I33),I33,"")</f>
        <v>0.5</v>
      </c>
      <c r="K33" s="56">
        <v>1</v>
      </c>
      <c r="L33" s="56">
        <v>1</v>
      </c>
      <c r="M33" s="56">
        <v>1</v>
      </c>
      <c r="N33" s="10">
        <f>IF(K33=1,(MIN(Вес6.1,Вес6.2))*((100/MIN(Вес6.1,Вес6.2))/S33*Вес6.2/MIN(Вес6.1,Вес6.2)),"")</f>
        <v>50</v>
      </c>
      <c r="O33" s="10">
        <f>IF(N33="","не применяется",IF(K33=0,"не применяется",N33*M33/100))</f>
        <v>0.5</v>
      </c>
      <c r="P33" s="10">
        <f>IF(ISNUMBER(O33),O33,"")</f>
        <v>0.5</v>
      </c>
      <c r="Q33" s="10">
        <f>IF(E33=1,Вес6.1/MIN(Вес6.1,Вес6.2),"")</f>
        <v>1</v>
      </c>
      <c r="R33" s="10">
        <f>IF(K33=1,Вес6.2/MIN(Вес6.1,Вес6.2),"")</f>
        <v>1</v>
      </c>
      <c r="S33" s="10">
        <f>SUM(Q33:R33)</f>
        <v>2</v>
      </c>
    </row>
    <row r="34" spans="1:19" ht="13.5" customHeight="1" x14ac:dyDescent="0.2"/>
    <row r="52" ht="30" customHeight="1" x14ac:dyDescent="0.2"/>
  </sheetData>
  <sheetProtection algorithmName="SHA-512" hashValue="n1S5LPdYnj9ur3dfUyECMItWBVZAyk9swRdUwFQXisO+r1XX9xkKGKSHi9qI3ONvxvUC8fwIgCGxEXUUMNKeOg==" saltValue="z3BgxqxN9irM9HHvjp8kAQ==" spinCount="100000" sheet="1" objects="1" scenarios="1" formatCells="0" formatColumns="0" formatRows="0" deleteColumns="0" deleteRows="0"/>
  <protectedRanges>
    <protectedRange sqref="C13:C33" name="krista_tr_47949_0_0"/>
    <protectedRange sqref="D13:D33" name="krista_tr_40531_0_0"/>
    <protectedRange sqref="H13:H33" name="krista_tf_40535_0_0"/>
    <protectedRange sqref="I13:I33" name="krista_tf_40536_0_0"/>
    <protectedRange sqref="J13:J33" name="krista_tr_40537_0_0"/>
    <protectedRange sqref="N13:N33" name="krista_tf_40541_0_0"/>
    <protectedRange sqref="O13:O33" name="krista_tf_40542_0_0"/>
    <protectedRange sqref="P13:P33" name="krista_tr_40543_0_0"/>
    <protectedRange sqref="Q13:Q33" name="krista_tf_40580_0_0"/>
    <protectedRange sqref="R13:R33" name="krista_tf_40581_0_0"/>
    <protectedRange sqref="S13:S33" name="krista_tf_40588_0_0"/>
  </protectedRanges>
  <mergeCells count="10">
    <mergeCell ref="E11:J11"/>
    <mergeCell ref="K11:P11"/>
    <mergeCell ref="Q11:S11"/>
    <mergeCell ref="A1:H1"/>
    <mergeCell ref="A11:A12"/>
    <mergeCell ref="B11:B12"/>
    <mergeCell ref="C11:C12"/>
    <mergeCell ref="D11:D12"/>
    <mergeCell ref="B8:H8"/>
    <mergeCell ref="B9:H9"/>
  </mergeCells>
  <conditionalFormatting sqref="A8:A10">
    <cfRule type="expression" dxfId="1" priority="16" stopIfTrue="1">
      <formula>"(сумм(A8:F12)&lt;&gt;100"</formula>
    </cfRule>
  </conditionalFormatting>
  <pageMargins left="0.25" right="0.25" top="0.75" bottom="0.75" header="0.3" footer="0.3"/>
  <pageSetup paperSize="8" fitToWidth="0" orientation="landscape" r:id="rId1"/>
  <headerFooter alignWithMargins="0"/>
  <customProperties>
    <customPr name="40591" r:id="rId2"/>
    <customPr name="40592" r:id="rId3"/>
    <customPr name="40593" r:id="rId4"/>
    <customPr name="krista_fm_columnsmarkup" r:id="rId5"/>
    <customPr name="krista_fm_consts" r:id="rId6"/>
    <customPr name="krista_fm_Events" r:id="rId7"/>
    <customPr name="krista_fm_metadataXML" r:id="rId8"/>
    <customPr name="krista_fm_rowsaxis" r:id="rId9"/>
    <customPr name="krista_fm_rowsmarkup" r:id="rId10"/>
    <customPr name="krista_SheetHistory" r:id="rId11"/>
    <customPr name="p14" r:id="rId12"/>
    <customPr name="p15" r:id="rId13"/>
    <customPr name="p21" r:id="rId14"/>
  </customProperties>
  <legacy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  <pageSetUpPr fitToPage="1"/>
  </sheetPr>
  <dimension ref="A1:AU37"/>
  <sheetViews>
    <sheetView view="pageBreakPreview" topLeftCell="V13" zoomScale="80" zoomScaleSheetLayoutView="80" workbookViewId="0">
      <selection activeCell="A15" sqref="A15:A16"/>
    </sheetView>
  </sheetViews>
  <sheetFormatPr defaultRowHeight="12.75" outlineLevelRow="1" x14ac:dyDescent="0.2"/>
  <cols>
    <col min="1" max="1" width="6.28515625" customWidth="1"/>
    <col min="2" max="2" width="76.85546875" customWidth="1"/>
    <col min="3" max="3" width="11.85546875" customWidth="1"/>
    <col min="4" max="4" width="16.42578125" customWidth="1"/>
    <col min="5" max="5" width="12.5703125" customWidth="1"/>
    <col min="6" max="6" width="12.7109375" customWidth="1"/>
    <col min="7" max="7" width="13" customWidth="1"/>
    <col min="8" max="8" width="13.28515625" customWidth="1"/>
    <col min="9" max="9" width="15.85546875" customWidth="1"/>
    <col min="10" max="10" width="15.5703125" customWidth="1"/>
    <col min="11" max="11" width="12.5703125" customWidth="1"/>
    <col min="12" max="12" width="11.7109375" customWidth="1"/>
    <col min="13" max="13" width="11.42578125" customWidth="1"/>
    <col min="14" max="14" width="11.5703125" customWidth="1"/>
    <col min="15" max="15" width="15.42578125" hidden="1" customWidth="1"/>
    <col min="16" max="16" width="13" customWidth="1"/>
    <col min="17" max="17" width="12.140625" customWidth="1"/>
    <col min="18" max="18" width="11.28515625" style="7" customWidth="1"/>
    <col min="19" max="19" width="12.7109375" style="7" customWidth="1"/>
    <col min="20" max="20" width="11.42578125" customWidth="1"/>
    <col min="21" max="21" width="16.85546875" hidden="1" customWidth="1"/>
    <col min="22" max="22" width="12.85546875" customWidth="1"/>
    <col min="23" max="23" width="11.5703125" customWidth="1"/>
    <col min="24" max="24" width="12.5703125" customWidth="1"/>
    <col min="25" max="25" width="12.85546875" customWidth="1"/>
    <col min="26" max="26" width="8.7109375" customWidth="1"/>
    <col min="27" max="27" width="18.28515625" hidden="1" customWidth="1"/>
    <col min="28" max="28" width="14.28515625" customWidth="1"/>
    <col min="29" max="29" width="10.42578125" customWidth="1"/>
    <col min="30" max="30" width="11.28515625" customWidth="1"/>
    <col min="31" max="32" width="10.85546875" customWidth="1"/>
    <col min="33" max="33" width="10.5703125" customWidth="1"/>
    <col min="34" max="34" width="11.5703125" customWidth="1"/>
    <col min="35" max="35" width="14.140625" customWidth="1"/>
    <col min="36" max="36" width="12.140625" customWidth="1"/>
    <col min="37" max="37" width="13.5703125" customWidth="1"/>
    <col min="38" max="38" width="13.42578125" customWidth="1"/>
    <col min="39" max="39" width="15.140625" hidden="1" customWidth="1"/>
    <col min="40" max="40" width="15.85546875" customWidth="1"/>
    <col min="41" max="41" width="14.5703125" customWidth="1"/>
    <col min="42" max="42" width="16.85546875" customWidth="1"/>
    <col min="43" max="43" width="12" customWidth="1"/>
    <col min="44" max="44" width="12.42578125" customWidth="1"/>
    <col min="45" max="45" width="14.42578125" customWidth="1"/>
    <col min="46" max="46" width="14.7109375" customWidth="1"/>
    <col min="47" max="47" width="15.42578125" customWidth="1"/>
    <col min="48" max="59" width="27.42578125" customWidth="1"/>
    <col min="62" max="62" width="10.28515625" bestFit="1" customWidth="1"/>
    <col min="65" max="65" width="10.28515625" bestFit="1" customWidth="1"/>
    <col min="68" max="68" width="10.28515625" bestFit="1" customWidth="1"/>
    <col min="71" max="71" width="10.28515625" bestFit="1" customWidth="1"/>
    <col min="74" max="74" width="10.28515625" bestFit="1" customWidth="1"/>
    <col min="77" max="77" width="10.28515625" bestFit="1" customWidth="1"/>
    <col min="80" max="80" width="10.28515625" bestFit="1" customWidth="1"/>
    <col min="83" max="83" width="10.28515625" bestFit="1" customWidth="1"/>
    <col min="86" max="86" width="10.28515625" bestFit="1" customWidth="1"/>
    <col min="89" max="89" width="10.28515625" bestFit="1" customWidth="1"/>
    <col min="92" max="92" width="10.28515625" bestFit="1" customWidth="1"/>
    <col min="95" max="95" width="10.28515625" bestFit="1" customWidth="1"/>
    <col min="98" max="98" width="10.28515625" bestFit="1" customWidth="1"/>
    <col min="101" max="101" width="10.28515625" bestFit="1" customWidth="1"/>
    <col min="104" max="104" width="10.28515625" bestFit="1" customWidth="1"/>
    <col min="107" max="107" width="10.28515625" bestFit="1" customWidth="1"/>
    <col min="110" max="110" width="10.28515625" bestFit="1" customWidth="1"/>
    <col min="113" max="113" width="10.28515625" bestFit="1" customWidth="1"/>
    <col min="116" max="116" width="10.28515625" bestFit="1" customWidth="1"/>
    <col min="119" max="119" width="10.28515625" bestFit="1" customWidth="1"/>
    <col min="122" max="122" width="10.28515625" bestFit="1" customWidth="1"/>
    <col min="125" max="125" width="10.28515625" bestFit="1" customWidth="1"/>
    <col min="128" max="128" width="10.28515625" bestFit="1" customWidth="1"/>
    <col min="131" max="131" width="10.28515625" bestFit="1" customWidth="1"/>
    <col min="134" max="134" width="10.28515625" bestFit="1" customWidth="1"/>
    <col min="137" max="137" width="10.28515625" bestFit="1" customWidth="1"/>
    <col min="140" max="140" width="10.28515625" bestFit="1" customWidth="1"/>
    <col min="143" max="143" width="10.28515625" bestFit="1" customWidth="1"/>
    <col min="146" max="146" width="10.28515625" bestFit="1" customWidth="1"/>
    <col min="149" max="149" width="10.28515625" bestFit="1" customWidth="1"/>
    <col min="152" max="152" width="10.28515625" bestFit="1" customWidth="1"/>
    <col min="155" max="155" width="10.28515625" bestFit="1" customWidth="1"/>
    <col min="158" max="158" width="10.28515625" bestFit="1" customWidth="1"/>
    <col min="161" max="161" width="10.28515625" bestFit="1" customWidth="1"/>
    <col min="164" max="164" width="10.28515625" bestFit="1" customWidth="1"/>
    <col min="167" max="167" width="10.28515625" bestFit="1" customWidth="1"/>
    <col min="170" max="170" width="10.28515625" bestFit="1" customWidth="1"/>
    <col min="173" max="173" width="10.28515625" bestFit="1" customWidth="1"/>
    <col min="176" max="176" width="10.28515625" bestFit="1" customWidth="1"/>
    <col min="179" max="179" width="10.28515625" bestFit="1" customWidth="1"/>
    <col min="182" max="182" width="10.28515625" bestFit="1" customWidth="1"/>
    <col min="185" max="185" width="10.28515625" bestFit="1" customWidth="1"/>
    <col min="188" max="188" width="10.28515625" bestFit="1" customWidth="1"/>
    <col min="191" max="191" width="10.28515625" bestFit="1" customWidth="1"/>
    <col min="194" max="194" width="10.28515625" bestFit="1" customWidth="1"/>
    <col min="197" max="197" width="10.28515625" bestFit="1" customWidth="1"/>
    <col min="200" max="200" width="10.28515625" bestFit="1" customWidth="1"/>
  </cols>
  <sheetData>
    <row r="1" spans="1:47" ht="27.75" customHeight="1" x14ac:dyDescent="0.2">
      <c r="A1" s="134" t="s">
        <v>0</v>
      </c>
      <c r="B1" s="134"/>
      <c r="C1" s="62"/>
      <c r="D1" s="62"/>
      <c r="E1" s="62"/>
      <c r="F1" s="62"/>
      <c r="G1" s="62"/>
      <c r="H1" s="62"/>
      <c r="Q1" s="8"/>
      <c r="R1" s="8"/>
      <c r="S1" s="8"/>
    </row>
    <row r="2" spans="1:47" ht="12.75" customHeight="1" x14ac:dyDescent="0.2">
      <c r="Q2" s="8"/>
      <c r="R2" s="8"/>
      <c r="S2" s="8"/>
    </row>
    <row r="3" spans="1:47" ht="23.25" customHeight="1" outlineLevel="1" x14ac:dyDescent="0.2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Q3" s="8"/>
      <c r="R3" s="8"/>
      <c r="S3" s="8"/>
    </row>
    <row r="4" spans="1:47" ht="15.75" customHeight="1" outlineLevel="1" x14ac:dyDescent="0.2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Q4" s="8"/>
      <c r="R4" s="8"/>
      <c r="S4" s="8"/>
    </row>
    <row r="5" spans="1:47" ht="15.75" customHeight="1" outlineLevel="1" x14ac:dyDescent="0.2">
      <c r="A5" s="2" t="s">
        <v>11</v>
      </c>
      <c r="B5" s="2"/>
      <c r="C5" s="2"/>
      <c r="D5" s="2"/>
      <c r="E5" s="2"/>
      <c r="F5" s="2"/>
      <c r="G5" s="2"/>
      <c r="H5" s="2"/>
      <c r="I5" s="2"/>
      <c r="J5" s="2"/>
      <c r="Q5" s="8"/>
      <c r="R5" s="8"/>
      <c r="S5" s="8"/>
    </row>
    <row r="6" spans="1:47" ht="16.5" customHeight="1" outlineLevel="1" x14ac:dyDescent="0.2">
      <c r="A6" s="2" t="s">
        <v>7</v>
      </c>
      <c r="B6" s="2"/>
      <c r="C6" s="2"/>
      <c r="D6" s="2"/>
      <c r="E6" s="2"/>
      <c r="F6" s="2"/>
      <c r="G6" s="2"/>
      <c r="H6" s="2"/>
      <c r="I6" s="2"/>
      <c r="J6" s="2"/>
      <c r="Q6" s="8"/>
      <c r="R6" s="8"/>
      <c r="S6" s="8"/>
    </row>
    <row r="7" spans="1:47" ht="25.5" customHeight="1" outlineLevel="1" thickBot="1" x14ac:dyDescent="0.25">
      <c r="A7" s="53" t="s">
        <v>10</v>
      </c>
      <c r="B7" s="4"/>
      <c r="C7" s="4"/>
      <c r="D7" s="4"/>
      <c r="E7" s="8"/>
      <c r="F7" s="8"/>
      <c r="G7" s="8"/>
      <c r="H7" s="8"/>
      <c r="I7" s="8"/>
      <c r="J7" s="8"/>
      <c r="Q7" s="8"/>
      <c r="R7" s="8"/>
      <c r="S7" s="8"/>
    </row>
    <row r="8" spans="1:47" ht="23.25" customHeight="1" outlineLevel="1" thickBot="1" x14ac:dyDescent="0.25">
      <c r="A8" s="5">
        <v>50</v>
      </c>
      <c r="B8" s="27" t="s">
        <v>53</v>
      </c>
      <c r="C8" s="4"/>
      <c r="D8" s="4"/>
      <c r="E8" s="8"/>
      <c r="F8" s="8"/>
      <c r="G8" s="8"/>
      <c r="H8" s="8"/>
      <c r="I8" s="8"/>
      <c r="J8" s="8"/>
      <c r="Q8" s="8"/>
      <c r="R8" s="8"/>
      <c r="S8" s="8"/>
    </row>
    <row r="9" spans="1:47" ht="29.25" customHeight="1" outlineLevel="1" thickBot="1" x14ac:dyDescent="0.25">
      <c r="A9" s="28">
        <v>15</v>
      </c>
      <c r="B9" s="27" t="s">
        <v>70</v>
      </c>
      <c r="C9" s="4"/>
      <c r="D9" s="4"/>
      <c r="E9" s="8"/>
      <c r="F9" s="8"/>
      <c r="G9" s="8"/>
      <c r="H9" s="8"/>
      <c r="I9" s="8"/>
      <c r="J9" s="8"/>
      <c r="Q9" s="8"/>
      <c r="R9" s="8"/>
      <c r="S9" s="8"/>
    </row>
    <row r="10" spans="1:47" ht="29.25" customHeight="1" outlineLevel="1" thickBot="1" x14ac:dyDescent="0.25">
      <c r="A10" s="5">
        <v>15</v>
      </c>
      <c r="B10" s="27" t="s">
        <v>74</v>
      </c>
      <c r="C10" s="4"/>
      <c r="D10" s="4"/>
      <c r="E10" s="8"/>
      <c r="F10" s="8"/>
      <c r="G10" s="8"/>
      <c r="H10" s="8"/>
      <c r="I10" s="8"/>
      <c r="J10" s="8"/>
      <c r="Q10" s="8"/>
      <c r="R10" s="8"/>
      <c r="S10" s="8"/>
    </row>
    <row r="11" spans="1:47" ht="29.25" customHeight="1" outlineLevel="1" thickBot="1" x14ac:dyDescent="0.25">
      <c r="A11" s="5">
        <v>10</v>
      </c>
      <c r="B11" s="27" t="s">
        <v>88</v>
      </c>
      <c r="C11" s="4"/>
      <c r="D11" s="4"/>
      <c r="E11" s="8"/>
      <c r="F11" s="8"/>
      <c r="G11" s="8"/>
      <c r="H11" s="8"/>
      <c r="I11" s="8"/>
      <c r="J11" s="8"/>
      <c r="Q11" s="8"/>
      <c r="R11" s="8"/>
      <c r="S11" s="8"/>
    </row>
    <row r="12" spans="1:47" ht="29.25" customHeight="1" outlineLevel="1" thickBot="1" x14ac:dyDescent="0.25">
      <c r="A12" s="5">
        <v>5</v>
      </c>
      <c r="B12" s="27" t="s">
        <v>82</v>
      </c>
      <c r="C12" s="4"/>
      <c r="D12" s="4"/>
      <c r="E12" s="8"/>
      <c r="F12" s="8"/>
      <c r="G12" s="8"/>
      <c r="H12" s="8"/>
      <c r="I12" s="8"/>
      <c r="J12" s="8"/>
      <c r="Q12" s="8"/>
      <c r="R12" s="8"/>
      <c r="S12" s="8"/>
    </row>
    <row r="13" spans="1:47" ht="29.25" customHeight="1" outlineLevel="1" thickBot="1" x14ac:dyDescent="0.25">
      <c r="A13" s="29">
        <v>5</v>
      </c>
      <c r="B13" s="27" t="s">
        <v>85</v>
      </c>
      <c r="C13" s="4"/>
      <c r="D13" s="4"/>
      <c r="E13" s="8"/>
      <c r="F13" s="8"/>
      <c r="G13" s="8"/>
      <c r="H13" s="8"/>
      <c r="I13" s="8"/>
      <c r="J13" s="8"/>
      <c r="Q13" s="8"/>
      <c r="R13" s="8"/>
      <c r="S13" s="8"/>
    </row>
    <row r="14" spans="1:47" ht="20.25" customHeight="1" thickBot="1" x14ac:dyDescent="0.25">
      <c r="Q14" s="8"/>
      <c r="R14" s="8"/>
      <c r="S14" s="8"/>
    </row>
    <row r="15" spans="1:47" s="57" customFormat="1" ht="36" customHeight="1" thickBot="1" x14ac:dyDescent="0.25">
      <c r="A15" s="135" t="s">
        <v>9</v>
      </c>
      <c r="B15" s="136" t="s">
        <v>8</v>
      </c>
      <c r="C15" s="136" t="s">
        <v>12</v>
      </c>
      <c r="D15" s="136" t="s">
        <v>40</v>
      </c>
      <c r="E15" s="135" t="s">
        <v>53</v>
      </c>
      <c r="F15" s="135"/>
      <c r="G15" s="135"/>
      <c r="H15" s="135"/>
      <c r="I15" s="135"/>
      <c r="J15" s="135"/>
      <c r="K15" s="135" t="s">
        <v>70</v>
      </c>
      <c r="L15" s="135"/>
      <c r="M15" s="135"/>
      <c r="N15" s="135"/>
      <c r="O15" s="135"/>
      <c r="P15" s="135"/>
      <c r="Q15" s="137" t="s">
        <v>74</v>
      </c>
      <c r="R15" s="137"/>
      <c r="S15" s="137"/>
      <c r="T15" s="135"/>
      <c r="U15" s="135"/>
      <c r="V15" s="135"/>
      <c r="W15" s="135" t="s">
        <v>88</v>
      </c>
      <c r="X15" s="135"/>
      <c r="Y15" s="135"/>
      <c r="Z15" s="138"/>
      <c r="AA15" s="138"/>
      <c r="AB15" s="138"/>
      <c r="AC15" s="137" t="s">
        <v>82</v>
      </c>
      <c r="AD15" s="137"/>
      <c r="AE15" s="137"/>
      <c r="AF15" s="135"/>
      <c r="AG15" s="135"/>
      <c r="AH15" s="135"/>
      <c r="AI15" s="135" t="s">
        <v>85</v>
      </c>
      <c r="AJ15" s="139"/>
      <c r="AK15" s="139"/>
      <c r="AL15" s="139"/>
      <c r="AM15" s="139"/>
      <c r="AN15" s="139"/>
      <c r="AO15" s="132" t="s">
        <v>5</v>
      </c>
      <c r="AP15" s="132"/>
      <c r="AQ15" s="132"/>
      <c r="AR15" s="132"/>
      <c r="AS15" s="132"/>
      <c r="AT15" s="132"/>
      <c r="AU15" s="133"/>
    </row>
    <row r="16" spans="1:47" s="57" customFormat="1" ht="51.75" customHeight="1" thickBot="1" x14ac:dyDescent="0.25">
      <c r="A16" s="135" t="s">
        <v>9</v>
      </c>
      <c r="B16" s="136" t="s">
        <v>8</v>
      </c>
      <c r="C16" s="136" t="s">
        <v>6</v>
      </c>
      <c r="D16" s="136" t="s">
        <v>3</v>
      </c>
      <c r="E16" s="63" t="s">
        <v>4</v>
      </c>
      <c r="F16" s="63" t="s">
        <v>46</v>
      </c>
      <c r="G16" s="64" t="s">
        <v>45</v>
      </c>
      <c r="H16" s="63" t="s">
        <v>18</v>
      </c>
      <c r="I16" s="63" t="s">
        <v>48</v>
      </c>
      <c r="J16" s="61" t="s">
        <v>49</v>
      </c>
      <c r="K16" s="63" t="s">
        <v>4</v>
      </c>
      <c r="L16" s="64" t="s">
        <v>46</v>
      </c>
      <c r="M16" s="64" t="s">
        <v>45</v>
      </c>
      <c r="N16" s="64" t="s">
        <v>18</v>
      </c>
      <c r="O16" s="64" t="s">
        <v>48</v>
      </c>
      <c r="P16" s="61" t="s">
        <v>49</v>
      </c>
      <c r="Q16" s="63" t="s">
        <v>4</v>
      </c>
      <c r="R16" s="64" t="s">
        <v>46</v>
      </c>
      <c r="S16" s="64" t="s">
        <v>45</v>
      </c>
      <c r="T16" s="64" t="s">
        <v>18</v>
      </c>
      <c r="U16" s="64" t="s">
        <v>48</v>
      </c>
      <c r="V16" s="61" t="s">
        <v>49</v>
      </c>
      <c r="W16" s="63" t="s">
        <v>4</v>
      </c>
      <c r="X16" s="64" t="s">
        <v>46</v>
      </c>
      <c r="Y16" s="64" t="s">
        <v>45</v>
      </c>
      <c r="Z16" s="64" t="s">
        <v>18</v>
      </c>
      <c r="AA16" s="64" t="s">
        <v>48</v>
      </c>
      <c r="AB16" s="63" t="s">
        <v>49</v>
      </c>
      <c r="AC16" s="63" t="s">
        <v>4</v>
      </c>
      <c r="AD16" s="64" t="s">
        <v>46</v>
      </c>
      <c r="AE16" s="64" t="s">
        <v>45</v>
      </c>
      <c r="AF16" s="64" t="s">
        <v>18</v>
      </c>
      <c r="AG16" s="64" t="s">
        <v>48</v>
      </c>
      <c r="AH16" s="61" t="s">
        <v>49</v>
      </c>
      <c r="AI16" s="63" t="s">
        <v>4</v>
      </c>
      <c r="AJ16" s="64" t="s">
        <v>46</v>
      </c>
      <c r="AK16" s="64" t="s">
        <v>45</v>
      </c>
      <c r="AL16" s="64" t="s">
        <v>18</v>
      </c>
      <c r="AM16" s="64" t="s">
        <v>48</v>
      </c>
      <c r="AN16" s="61" t="s">
        <v>49</v>
      </c>
      <c r="AO16" s="60">
        <v>1</v>
      </c>
      <c r="AP16" s="58">
        <v>2</v>
      </c>
      <c r="AQ16" s="58">
        <v>3</v>
      </c>
      <c r="AR16" s="58">
        <v>4</v>
      </c>
      <c r="AS16" s="58">
        <v>5</v>
      </c>
      <c r="AT16" s="58">
        <v>6</v>
      </c>
      <c r="AU16" s="59" t="s">
        <v>50</v>
      </c>
    </row>
    <row r="17" spans="1:47" x14ac:dyDescent="0.2">
      <c r="A17" s="1" t="s">
        <v>100</v>
      </c>
      <c r="B17" s="9" t="s">
        <v>20</v>
      </c>
      <c r="C17" s="10">
        <f>IF(D17&lt;&gt;1,"",SUM(J17,P17,V17,AB17,AH17,AN17))</f>
        <v>88.452500000000001</v>
      </c>
      <c r="D17" s="10">
        <f>IF(SUM(E17,K17,Q17,W17,AC17,AI17)=0,0,1)</f>
        <v>1</v>
      </c>
      <c r="E17" s="56">
        <v>1</v>
      </c>
      <c r="F17" s="55">
        <v>0.82530000000000003</v>
      </c>
      <c r="G17" s="15">
        <f>F17*100</f>
        <v>82.53</v>
      </c>
      <c r="H17" s="16">
        <f>IF(E17=1,(MIN(Вес1,Вес2,Вес3,Вес4,Вес5,Вес6))*((100/MIN(Вес1,Вес2,Вес3,Вес4,Вес5,Вес6))/AU17*Вес1/MIN(Вес1,Вес2,Вес3,Вес4,Вес5,Вес6)),"")</f>
        <v>50</v>
      </c>
      <c r="I17" s="16">
        <f>IF(H17="","не применяется",IF(E17=0,"не применяется",H17*G17/100))</f>
        <v>41.265000000000001</v>
      </c>
      <c r="J17" s="16">
        <f>IF(ISNUMBER(I17),I17,"")</f>
        <v>41.265000000000001</v>
      </c>
      <c r="K17" s="56">
        <v>1</v>
      </c>
      <c r="L17" s="55">
        <v>0.8125</v>
      </c>
      <c r="M17" s="15">
        <f>L17*100</f>
        <v>81.25</v>
      </c>
      <c r="N17" s="16">
        <f>IF(E17=1,(MIN(Вес1,Вес2,Вес3,Вес4,Вес5,Вес6))*((100/MIN(Вес1,Вес2,Вес3,Вес4,Вес5,Вес6))/AU17*Вес2/MIN(Вес1,Вес2,Вес3,Вес4,Вес5,Вес6)),"")</f>
        <v>15</v>
      </c>
      <c r="O17" s="16">
        <f>IF(N17="","не применяется",IF(K17=0,"не применяется",N17*M17/100))</f>
        <v>12.1875</v>
      </c>
      <c r="P17" s="16">
        <f>IF(ISNUMBER(O17),O17,"")</f>
        <v>12.1875</v>
      </c>
      <c r="Q17" s="56">
        <v>1</v>
      </c>
      <c r="R17" s="56">
        <v>1</v>
      </c>
      <c r="S17" s="10">
        <f>R17*100</f>
        <v>100</v>
      </c>
      <c r="T17" s="10">
        <f>IF(E17=1,(MIN(Вес1,Вес2,Вес3,Вес4,Вес5,Вес6))*((100/MIN(Вес1,Вес2,Вес3,Вес4,Вес5,Вес6))/AU17*Вес3/MIN(Вес1,Вес2,Вес3,Вес4,Вес5,Вес6)),"")</f>
        <v>15</v>
      </c>
      <c r="U17" s="10">
        <f>IF(T17="","не применяется",IF(Q17=0,"не применяется",T17*S17/100))</f>
        <v>15</v>
      </c>
      <c r="V17" s="10">
        <f>IF(ISNUMBER(U17),U17,"")</f>
        <v>15</v>
      </c>
      <c r="W17" s="56">
        <v>1</v>
      </c>
      <c r="X17" s="56">
        <v>1</v>
      </c>
      <c r="Y17" s="10">
        <f>X17*100</f>
        <v>100</v>
      </c>
      <c r="Z17" s="10">
        <f>IF(E17=1,(MIN(Вес1,Вес2,Вес3,Вес4,Вес5,Вес6))*((100/MIN(Вес1,Вес2,Вес3,Вес4,Вес5,Вес6))/AU17*Вес4/MIN(Вес1,Вес2,Вес3,Вес4,Вес5,Вес6)),"")</f>
        <v>10</v>
      </c>
      <c r="AA17" s="10">
        <f>IF(Z17="","не применяется",IF(W17=0,"не применяется",Z17*Y17/100))</f>
        <v>10</v>
      </c>
      <c r="AB17" s="10">
        <f>IF(ISNUMBER(AA17),AA17,"")</f>
        <v>10</v>
      </c>
      <c r="AC17" s="56">
        <v>1</v>
      </c>
      <c r="AD17" s="56">
        <v>1</v>
      </c>
      <c r="AE17" s="10">
        <f>AD17*100</f>
        <v>100</v>
      </c>
      <c r="AF17" s="10">
        <f>IF(E17=1,(MIN(Вес1,Вес2,Вес3,Вес4,Вес5,Вес6))*((100/MIN(Вес1,Вес2,Вес3,Вес4,Вес5,Вес6))/AU17*Вес5/MIN(Вес1,Вес2,Вес3,Вес4,Вес5,Вес6)),"")</f>
        <v>5</v>
      </c>
      <c r="AG17" s="10">
        <f>IF(AF17="","не применяется",IF(AC17=0,"не применяется",AF17*AE17/100))</f>
        <v>5</v>
      </c>
      <c r="AH17" s="10">
        <f>IF(ISNUMBER(AG17),AG17,"")</f>
        <v>5</v>
      </c>
      <c r="AI17" s="56">
        <v>1</v>
      </c>
      <c r="AJ17" s="56">
        <v>1</v>
      </c>
      <c r="AK17" s="10">
        <f>AJ17*100</f>
        <v>100</v>
      </c>
      <c r="AL17" s="10">
        <f>IF(E17=1,(MIN(Вес1,Вес2,Вес3,Вес4,Вес5,Вес6))*((100/MIN(Вес1,Вес2,Вес3,Вес4,Вес5,Вес6))/AU17*Вес6/MIN(Вес1,Вес2,Вес3,Вес4,Вес5,Вес6)),"")</f>
        <v>5</v>
      </c>
      <c r="AM17" s="10">
        <f>IF(AL17="","не применяется",IF(AI17=0,"не применяется",AL17*AK17/100))</f>
        <v>5</v>
      </c>
      <c r="AN17" s="10">
        <f>IF(ISNUMBER(AM17),AM17,"")</f>
        <v>5</v>
      </c>
      <c r="AO17" s="16">
        <f>IF(E17=1,Вес1/MIN(Вес1,Вес2,Вес3,Вес4,Вес5,Вес6),"")</f>
        <v>10</v>
      </c>
      <c r="AP17" s="16">
        <f>IF(K17=1,Вес2/MIN(Вес1,Вес2,Вес3,Вес4,Вес5,Вес6),"")</f>
        <v>3</v>
      </c>
      <c r="AQ17" s="10">
        <f>IF(Q17=1,Вес3/MIN(Вес1,Вес2,Вес3,Вес4,Вес5,Вес6),"")</f>
        <v>3</v>
      </c>
      <c r="AR17" s="10">
        <f>IF(W17=1,Вес4/MIN(Вес1,Вес2,Вес3,Вес4,Вес5,Вес6),"")</f>
        <v>2</v>
      </c>
      <c r="AS17" s="10">
        <f>IF(AC17=1,Вес5/MIN(Вес1,Вес2,Вес3,Вес4,Вес5,Вес6),"")</f>
        <v>1</v>
      </c>
      <c r="AT17" s="10">
        <f>IF(AI17=1,Вес6/MIN(Вес1,Вес2,Вес3,Вес4,Вес5,Вес6),"")</f>
        <v>1</v>
      </c>
      <c r="AU17" s="16">
        <f>SUM(AO17:AT17)</f>
        <v>20</v>
      </c>
    </row>
    <row r="18" spans="1:47" x14ac:dyDescent="0.2">
      <c r="A18" s="1" t="s">
        <v>101</v>
      </c>
      <c r="B18" s="9" t="s">
        <v>52</v>
      </c>
      <c r="C18" s="10">
        <f>IF(D18&lt;&gt;1,"",SUM(J18,P18,V18,AB18,AH18,AN18))</f>
        <v>78.150000000000006</v>
      </c>
      <c r="D18" s="10">
        <f>IF(SUM(E18,K18,Q18,W18,AC18,AI18)=0,0,1)</f>
        <v>1</v>
      </c>
      <c r="E18" s="56">
        <v>1</v>
      </c>
      <c r="F18" s="55">
        <v>0.91800000000000004</v>
      </c>
      <c r="G18" s="15">
        <f>F18*100</f>
        <v>91.8</v>
      </c>
      <c r="H18" s="16">
        <f>IF(E18=1,(MIN(Вес1,Вес2,Вес3,Вес4,Вес5,Вес6))*((100/MIN(Вес1,Вес2,Вес3,Вес4,Вес5,Вес6))/AU18*Вес1/MIN(Вес1,Вес2,Вес3,Вес4,Вес5,Вес6)),"")</f>
        <v>50</v>
      </c>
      <c r="I18" s="16">
        <f>IF(H18="","не применяется",IF(E18=0,"не применяется",H18*G18/100))</f>
        <v>45.9</v>
      </c>
      <c r="J18" s="16">
        <f>IF(ISNUMBER(I18),I18,"")</f>
        <v>45.9</v>
      </c>
      <c r="K18" s="56">
        <v>1</v>
      </c>
      <c r="L18" s="55">
        <v>0.75</v>
      </c>
      <c r="M18" s="15">
        <f>L18*100</f>
        <v>75</v>
      </c>
      <c r="N18" s="16">
        <f>IF(E18=1,(MIN(Вес1,Вес2,Вес3,Вес4,Вес5,Вес6))*((100/MIN(Вес1,Вес2,Вес3,Вес4,Вес5,Вес6))/AU18*Вес2/MIN(Вес1,Вес2,Вес3,Вес4,Вес5,Вес6)),"")</f>
        <v>15</v>
      </c>
      <c r="O18" s="16">
        <f>IF(N18="","не применяется",IF(K18=0,"не применяется",N18*M18/100))</f>
        <v>11.25</v>
      </c>
      <c r="P18" s="16">
        <f>IF(ISNUMBER(O18),O18,"")</f>
        <v>11.25</v>
      </c>
      <c r="Q18" s="56">
        <v>1</v>
      </c>
      <c r="R18" s="56">
        <v>0.15</v>
      </c>
      <c r="S18" s="10">
        <f>R18*100</f>
        <v>15</v>
      </c>
      <c r="T18" s="10">
        <f>IF(E18=1,(MIN(Вес1,Вес2,Вес3,Вес4,Вес5,Вес6))*((100/MIN(Вес1,Вес2,Вес3,Вес4,Вес5,Вес6))/AU18*Вес3/MIN(Вес1,Вес2,Вес3,Вес4,Вес5,Вес6)),"")</f>
        <v>15</v>
      </c>
      <c r="U18" s="10">
        <f>IF(T18="","не применяется",IF(Q18=0,"не применяется",T18*S18/100))</f>
        <v>2.25</v>
      </c>
      <c r="V18" s="10">
        <f>IF(ISNUMBER(U18),U18,"")</f>
        <v>2.25</v>
      </c>
      <c r="W18" s="56">
        <v>1</v>
      </c>
      <c r="X18" s="56">
        <v>1</v>
      </c>
      <c r="Y18" s="10">
        <f>X18*100</f>
        <v>100</v>
      </c>
      <c r="Z18" s="10">
        <f>IF(E18=1,(MIN(Вес1,Вес2,Вес3,Вес4,Вес5,Вес6))*((100/MIN(Вес1,Вес2,Вес3,Вес4,Вес5,Вес6))/AU18*Вес4/MIN(Вес1,Вес2,Вес3,Вес4,Вес5,Вес6)),"")</f>
        <v>10</v>
      </c>
      <c r="AA18" s="10">
        <f>IF(Z18="","не применяется",IF(W18=0,"не применяется",Z18*Y18/100))</f>
        <v>10</v>
      </c>
      <c r="AB18" s="10">
        <f>IF(ISNUMBER(AA18),AA18,"")</f>
        <v>10</v>
      </c>
      <c r="AC18" s="56">
        <v>1</v>
      </c>
      <c r="AD18" s="56">
        <v>0.75</v>
      </c>
      <c r="AE18" s="10">
        <f>AD18*100</f>
        <v>75</v>
      </c>
      <c r="AF18" s="10">
        <f>IF(E18=1,(MIN(Вес1,Вес2,Вес3,Вес4,Вес5,Вес6))*((100/MIN(Вес1,Вес2,Вес3,Вес4,Вес5,Вес6))/AU18*Вес5/MIN(Вес1,Вес2,Вес3,Вес4,Вес5,Вес6)),"")</f>
        <v>5</v>
      </c>
      <c r="AG18" s="10">
        <f>IF(AF18="","не применяется",IF(AC18=0,"не применяется",AF18*AE18/100))</f>
        <v>3.75</v>
      </c>
      <c r="AH18" s="10">
        <f>IF(ISNUMBER(AG18),AG18,"")</f>
        <v>3.75</v>
      </c>
      <c r="AI18" s="56">
        <v>1</v>
      </c>
      <c r="AJ18" s="56">
        <v>1</v>
      </c>
      <c r="AK18" s="10">
        <f>AJ18*100</f>
        <v>100</v>
      </c>
      <c r="AL18" s="10">
        <f>IF(E18=1,(MIN(Вес1,Вес2,Вес3,Вес4,Вес5,Вес6))*((100/MIN(Вес1,Вес2,Вес3,Вес4,Вес5,Вес6))/AU18*Вес6/MIN(Вес1,Вес2,Вес3,Вес4,Вес5,Вес6)),"")</f>
        <v>5</v>
      </c>
      <c r="AM18" s="10">
        <f>IF(AL18="","не применяется",IF(AI18=0,"не применяется",AL18*AK18/100))</f>
        <v>5</v>
      </c>
      <c r="AN18" s="10">
        <f>IF(ISNUMBER(AM18),AM18,"")</f>
        <v>5</v>
      </c>
      <c r="AO18" s="16">
        <f>IF(E18=1,Вес1/MIN(Вес1,Вес2,Вес3,Вес4,Вес5,Вес6),"")</f>
        <v>10</v>
      </c>
      <c r="AP18" s="16">
        <f>IF(K18=1,Вес2/MIN(Вес1,Вес2,Вес3,Вес4,Вес5,Вес6),"")</f>
        <v>3</v>
      </c>
      <c r="AQ18" s="10">
        <f>IF(Q18=1,Вес3/MIN(Вес1,Вес2,Вес3,Вес4,Вес5,Вес6),"")</f>
        <v>3</v>
      </c>
      <c r="AR18" s="10">
        <f>IF(W18=1,Вес4/MIN(Вес1,Вес2,Вес3,Вес4,Вес5,Вес6),"")</f>
        <v>2</v>
      </c>
      <c r="AS18" s="10">
        <f>IF(AC18=1,Вес5/MIN(Вес1,Вес2,Вес3,Вес4,Вес5,Вес6),"")</f>
        <v>1</v>
      </c>
      <c r="AT18" s="10">
        <f>IF(AI18=1,Вес6/MIN(Вес1,Вес2,Вес3,Вес4,Вес5,Вес6),"")</f>
        <v>1</v>
      </c>
      <c r="AU18" s="16">
        <f>SUM(AO18:AT18)</f>
        <v>20</v>
      </c>
    </row>
    <row r="19" spans="1:47" ht="25.5" x14ac:dyDescent="0.2">
      <c r="A19" s="1" t="s">
        <v>102</v>
      </c>
      <c r="B19" s="9" t="s">
        <v>21</v>
      </c>
      <c r="C19" s="10">
        <f>IF(D19&lt;&gt;1,"",SUM(J19,P19,V19,AB19,AH19,AN19))</f>
        <v>89.421999999999997</v>
      </c>
      <c r="D19" s="10">
        <f>IF(SUM(E19,K19,Q19,W19,AC19,AI19)=0,0,1)</f>
        <v>1</v>
      </c>
      <c r="E19" s="56">
        <v>1</v>
      </c>
      <c r="F19" s="55">
        <v>0.85509999999999997</v>
      </c>
      <c r="G19" s="15">
        <f>F19*100</f>
        <v>85.509999999999991</v>
      </c>
      <c r="H19" s="16">
        <f>IF(E19=1,(MIN(Вес1,Вес2,Вес3,Вес4,Вес5,Вес6))*((100/MIN(Вес1,Вес2,Вес3,Вес4,Вес5,Вес6))/AU19*Вес1/MIN(Вес1,Вес2,Вес3,Вес4,Вес5,Вес6)),"")</f>
        <v>50</v>
      </c>
      <c r="I19" s="16">
        <f>IF(H19="","не применяется",IF(E19=0,"не применяется",H19*G19/100))</f>
        <v>42.755000000000003</v>
      </c>
      <c r="J19" s="16">
        <f>IF(ISNUMBER(I19),I19,"")</f>
        <v>42.755000000000003</v>
      </c>
      <c r="K19" s="56">
        <v>1</v>
      </c>
      <c r="L19" s="55">
        <v>1</v>
      </c>
      <c r="M19" s="15">
        <f>L19*100</f>
        <v>100</v>
      </c>
      <c r="N19" s="16">
        <f>IF(E19=1,(MIN(Вес1,Вес2,Вес3,Вес4,Вес5,Вес6))*((100/MIN(Вес1,Вес2,Вес3,Вес4,Вес5,Вес6))/AU19*Вес2/MIN(Вес1,Вес2,Вес3,Вес4,Вес5,Вес6)),"")</f>
        <v>15</v>
      </c>
      <c r="O19" s="16">
        <f>IF(N19="","не применяется",IF(K19=0,"не применяется",N19*M19/100))</f>
        <v>15</v>
      </c>
      <c r="P19" s="16">
        <f>IF(ISNUMBER(O19),O19,"")</f>
        <v>15</v>
      </c>
      <c r="Q19" s="56">
        <v>1</v>
      </c>
      <c r="R19" s="56">
        <v>1</v>
      </c>
      <c r="S19" s="10">
        <f>R19*100</f>
        <v>100</v>
      </c>
      <c r="T19" s="10">
        <f>IF(E19=1,(MIN(Вес1,Вес2,Вес3,Вес4,Вес5,Вес6))*((100/MIN(Вес1,Вес2,Вес3,Вес4,Вес5,Вес6))/AU19*Вес3/MIN(Вес1,Вес2,Вес3,Вес4,Вес5,Вес6)),"")</f>
        <v>15</v>
      </c>
      <c r="U19" s="10">
        <f>IF(T19="","не применяется",IF(Q19=0,"не применяется",T19*S19/100))</f>
        <v>15</v>
      </c>
      <c r="V19" s="10">
        <f>IF(ISNUMBER(U19),U19,"")</f>
        <v>15</v>
      </c>
      <c r="W19" s="56">
        <v>1</v>
      </c>
      <c r="X19" s="56">
        <v>0.66669999999999996</v>
      </c>
      <c r="Y19" s="10">
        <f>X19*100</f>
        <v>66.67</v>
      </c>
      <c r="Z19" s="10">
        <f>IF(E19=1,(MIN(Вес1,Вес2,Вес3,Вес4,Вес5,Вес6))*((100/MIN(Вес1,Вес2,Вес3,Вес4,Вес5,Вес6))/AU19*Вес4/MIN(Вес1,Вес2,Вес3,Вес4,Вес5,Вес6)),"")</f>
        <v>10</v>
      </c>
      <c r="AA19" s="10">
        <f>IF(Z19="","не применяется",IF(W19=0,"не применяется",Z19*Y19/100))</f>
        <v>6.6670000000000007</v>
      </c>
      <c r="AB19" s="10">
        <f>IF(ISNUMBER(AA19),AA19,"")</f>
        <v>6.6670000000000007</v>
      </c>
      <c r="AC19" s="56">
        <v>1</v>
      </c>
      <c r="AD19" s="56">
        <v>1</v>
      </c>
      <c r="AE19" s="10">
        <f>AD19*100</f>
        <v>100</v>
      </c>
      <c r="AF19" s="10">
        <f>IF(E19=1,(MIN(Вес1,Вес2,Вес3,Вес4,Вес5,Вес6))*((100/MIN(Вес1,Вес2,Вес3,Вес4,Вес5,Вес6))/AU19*Вес5/MIN(Вес1,Вес2,Вес3,Вес4,Вес5,Вес6)),"")</f>
        <v>5</v>
      </c>
      <c r="AG19" s="10">
        <f>IF(AF19="","не применяется",IF(AC19=0,"не применяется",AF19*AE19/100))</f>
        <v>5</v>
      </c>
      <c r="AH19" s="10">
        <f>IF(ISNUMBER(AG19),AG19,"")</f>
        <v>5</v>
      </c>
      <c r="AI19" s="56">
        <v>1</v>
      </c>
      <c r="AJ19" s="56">
        <v>1</v>
      </c>
      <c r="AK19" s="10">
        <f>AJ19*100</f>
        <v>100</v>
      </c>
      <c r="AL19" s="10">
        <f>IF(E19=1,(MIN(Вес1,Вес2,Вес3,Вес4,Вес5,Вес6))*((100/MIN(Вес1,Вес2,Вес3,Вес4,Вес5,Вес6))/AU19*Вес6/MIN(Вес1,Вес2,Вес3,Вес4,Вес5,Вес6)),"")</f>
        <v>5</v>
      </c>
      <c r="AM19" s="10">
        <f>IF(AL19="","не применяется",IF(AI19=0,"не применяется",AL19*AK19/100))</f>
        <v>5</v>
      </c>
      <c r="AN19" s="10">
        <f>IF(ISNUMBER(AM19),AM19,"")</f>
        <v>5</v>
      </c>
      <c r="AO19" s="16">
        <f>IF(E19=1,Вес1/MIN(Вес1,Вес2,Вес3,Вес4,Вес5,Вес6),"")</f>
        <v>10</v>
      </c>
      <c r="AP19" s="16">
        <f>IF(K19=1,Вес2/MIN(Вес1,Вес2,Вес3,Вес4,Вес5,Вес6),"")</f>
        <v>3</v>
      </c>
      <c r="AQ19" s="10">
        <f>IF(Q19=1,Вес3/MIN(Вес1,Вес2,Вес3,Вес4,Вес5,Вес6),"")</f>
        <v>3</v>
      </c>
      <c r="AR19" s="10">
        <f>IF(W19=1,Вес4/MIN(Вес1,Вес2,Вес3,Вес4,Вес5,Вес6),"")</f>
        <v>2</v>
      </c>
      <c r="AS19" s="10">
        <f>IF(AC19=1,Вес5/MIN(Вес1,Вес2,Вес3,Вес4,Вес5,Вес6),"")</f>
        <v>1</v>
      </c>
      <c r="AT19" s="10">
        <f>IF(AI19=1,Вес6/MIN(Вес1,Вес2,Вес3,Вес4,Вес5,Вес6),"")</f>
        <v>1</v>
      </c>
      <c r="AU19" s="16">
        <f>SUM(AO19:AT19)</f>
        <v>20</v>
      </c>
    </row>
    <row r="20" spans="1:47" x14ac:dyDescent="0.2">
      <c r="A20" s="1" t="s">
        <v>103</v>
      </c>
      <c r="B20" s="9" t="s">
        <v>22</v>
      </c>
      <c r="C20" s="10">
        <f>IF(D20&lt;&gt;1,"",SUM(J20,P20,V20,AB20,AH20,AN20))</f>
        <v>92.652500000000003</v>
      </c>
      <c r="D20" s="10">
        <f>IF(SUM(E20,K20,Q20,W20,AC20,AI20)=0,0,1)</f>
        <v>1</v>
      </c>
      <c r="E20" s="56">
        <v>1</v>
      </c>
      <c r="F20" s="55">
        <v>0.9093</v>
      </c>
      <c r="G20" s="15">
        <f>F20*100</f>
        <v>90.93</v>
      </c>
      <c r="H20" s="16">
        <f>IF(E20=1,(MIN(Вес1,Вес2,Вес3,Вес4,Вес5,Вес6))*((100/MIN(Вес1,Вес2,Вес3,Вес4,Вес5,Вес6))/AU20*Вес1/MIN(Вес1,Вес2,Вес3,Вес4,Вес5,Вес6)),"")</f>
        <v>50</v>
      </c>
      <c r="I20" s="16">
        <f>IF(H20="","не применяется",IF(E20=0,"не применяется",H20*G20/100))</f>
        <v>45.465000000000003</v>
      </c>
      <c r="J20" s="16">
        <f>IF(ISNUMBER(I20),I20,"")</f>
        <v>45.465000000000003</v>
      </c>
      <c r="K20" s="56">
        <v>1</v>
      </c>
      <c r="L20" s="55">
        <v>0.8125</v>
      </c>
      <c r="M20" s="15">
        <f>L20*100</f>
        <v>81.25</v>
      </c>
      <c r="N20" s="16">
        <f>IF(E20=1,(MIN(Вес1,Вес2,Вес3,Вес4,Вес5,Вес6))*((100/MIN(Вес1,Вес2,Вес3,Вес4,Вес5,Вес6))/AU20*Вес2/MIN(Вес1,Вес2,Вес3,Вес4,Вес5,Вес6)),"")</f>
        <v>15</v>
      </c>
      <c r="O20" s="16">
        <f>IF(N20="","не применяется",IF(K20=0,"не применяется",N20*M20/100))</f>
        <v>12.1875</v>
      </c>
      <c r="P20" s="16">
        <f>IF(ISNUMBER(O20),O20,"")</f>
        <v>12.1875</v>
      </c>
      <c r="Q20" s="56">
        <v>1</v>
      </c>
      <c r="R20" s="56">
        <v>1</v>
      </c>
      <c r="S20" s="10">
        <f>R20*100</f>
        <v>100</v>
      </c>
      <c r="T20" s="10">
        <f>IF(E20=1,(MIN(Вес1,Вес2,Вес3,Вес4,Вес5,Вес6))*((100/MIN(Вес1,Вес2,Вес3,Вес4,Вес5,Вес6))/AU20*Вес3/MIN(Вес1,Вес2,Вес3,Вес4,Вес5,Вес6)),"")</f>
        <v>15</v>
      </c>
      <c r="U20" s="10">
        <f>IF(T20="","не применяется",IF(Q20=0,"не применяется",T20*S20/100))</f>
        <v>15</v>
      </c>
      <c r="V20" s="10">
        <f>IF(ISNUMBER(U20),U20,"")</f>
        <v>15</v>
      </c>
      <c r="W20" s="56">
        <v>1</v>
      </c>
      <c r="X20" s="56">
        <v>1</v>
      </c>
      <c r="Y20" s="10">
        <f>X20*100</f>
        <v>100</v>
      </c>
      <c r="Z20" s="10">
        <f>IF(E20=1,(MIN(Вес1,Вес2,Вес3,Вес4,Вес5,Вес6))*((100/MIN(Вес1,Вес2,Вес3,Вес4,Вес5,Вес6))/AU20*Вес4/MIN(Вес1,Вес2,Вес3,Вес4,Вес5,Вес6)),"")</f>
        <v>10</v>
      </c>
      <c r="AA20" s="10">
        <f>IF(Z20="","не применяется",IF(W20=0,"не применяется",Z20*Y20/100))</f>
        <v>10</v>
      </c>
      <c r="AB20" s="10">
        <f>IF(ISNUMBER(AA20),AA20,"")</f>
        <v>10</v>
      </c>
      <c r="AC20" s="56">
        <v>1</v>
      </c>
      <c r="AD20" s="56">
        <v>1</v>
      </c>
      <c r="AE20" s="10">
        <f>AD20*100</f>
        <v>100</v>
      </c>
      <c r="AF20" s="10">
        <f>IF(E20=1,(MIN(Вес1,Вес2,Вес3,Вес4,Вес5,Вес6))*((100/MIN(Вес1,Вес2,Вес3,Вес4,Вес5,Вес6))/AU20*Вес5/MIN(Вес1,Вес2,Вес3,Вес4,Вес5,Вес6)),"")</f>
        <v>5</v>
      </c>
      <c r="AG20" s="10">
        <f>IF(AF20="","не применяется",IF(AC20=0,"не применяется",AF20*AE20/100))</f>
        <v>5</v>
      </c>
      <c r="AH20" s="10">
        <f>IF(ISNUMBER(AG20),AG20,"")</f>
        <v>5</v>
      </c>
      <c r="AI20" s="56">
        <v>1</v>
      </c>
      <c r="AJ20" s="56">
        <v>1</v>
      </c>
      <c r="AK20" s="10">
        <f>AJ20*100</f>
        <v>100</v>
      </c>
      <c r="AL20" s="10">
        <f>IF(E20=1,(MIN(Вес1,Вес2,Вес3,Вес4,Вес5,Вес6))*((100/MIN(Вес1,Вес2,Вес3,Вес4,Вес5,Вес6))/AU20*Вес6/MIN(Вес1,Вес2,Вес3,Вес4,Вес5,Вес6)),"")</f>
        <v>5</v>
      </c>
      <c r="AM20" s="10">
        <f>IF(AL20="","не применяется",IF(AI20=0,"не применяется",AL20*AK20/100))</f>
        <v>5</v>
      </c>
      <c r="AN20" s="10">
        <f>IF(ISNUMBER(AM20),AM20,"")</f>
        <v>5</v>
      </c>
      <c r="AO20" s="16">
        <f>IF(E20=1,Вес1/MIN(Вес1,Вес2,Вес3,Вес4,Вес5,Вес6),"")</f>
        <v>10</v>
      </c>
      <c r="AP20" s="16">
        <f>IF(K20=1,Вес2/MIN(Вес1,Вес2,Вес3,Вес4,Вес5,Вес6),"")</f>
        <v>3</v>
      </c>
      <c r="AQ20" s="10">
        <f>IF(Q20=1,Вес3/MIN(Вес1,Вес2,Вес3,Вес4,Вес5,Вес6),"")</f>
        <v>3</v>
      </c>
      <c r="AR20" s="10">
        <f>IF(W20=1,Вес4/MIN(Вес1,Вес2,Вес3,Вес4,Вес5,Вес6),"")</f>
        <v>2</v>
      </c>
      <c r="AS20" s="10">
        <f>IF(AC20=1,Вес5/MIN(Вес1,Вес2,Вес3,Вес4,Вес5,Вес6),"")</f>
        <v>1</v>
      </c>
      <c r="AT20" s="10">
        <f>IF(AI20=1,Вес6/MIN(Вес1,Вес2,Вес3,Вес4,Вес5,Вес6),"")</f>
        <v>1</v>
      </c>
      <c r="AU20" s="16">
        <f>SUM(AO20:AT20)</f>
        <v>20</v>
      </c>
    </row>
    <row r="21" spans="1:47" ht="25.5" x14ac:dyDescent="0.2">
      <c r="A21" s="1" t="s">
        <v>104</v>
      </c>
      <c r="B21" s="9" t="s">
        <v>23</v>
      </c>
      <c r="C21" s="10">
        <f>IF(D21&lt;&gt;1,"",SUM(J21,P21,V21,AB21,AH21,AN21))</f>
        <v>79.41749999999999</v>
      </c>
      <c r="D21" s="10">
        <f>IF(SUM(E21,K21,Q21,W21,AC21,AI21)=0,0,1)</f>
        <v>1</v>
      </c>
      <c r="E21" s="56">
        <v>1</v>
      </c>
      <c r="F21" s="55">
        <v>0.84709999999999996</v>
      </c>
      <c r="G21" s="15">
        <f>F21*100</f>
        <v>84.71</v>
      </c>
      <c r="H21" s="16">
        <f>IF(E21=1,(MIN(Вес1,Вес2,Вес3,Вес4,Вес5,Вес6))*((100/MIN(Вес1,Вес2,Вес3,Вес4,Вес5,Вес6))/AU21*Вес1/MIN(Вес1,Вес2,Вес3,Вес4,Вес5,Вес6)),"")</f>
        <v>50</v>
      </c>
      <c r="I21" s="16">
        <f>IF(H21="","не применяется",IF(E21=0,"не применяется",H21*G21/100))</f>
        <v>42.354999999999997</v>
      </c>
      <c r="J21" s="16">
        <f>IF(ISNUMBER(I21),I21,"")</f>
        <v>42.354999999999997</v>
      </c>
      <c r="K21" s="56">
        <v>1</v>
      </c>
      <c r="L21" s="55">
        <v>0.6875</v>
      </c>
      <c r="M21" s="15">
        <f>L21*100</f>
        <v>68.75</v>
      </c>
      <c r="N21" s="16">
        <f>IF(E21=1,(MIN(Вес1,Вес2,Вес3,Вес4,Вес5,Вес6))*((100/MIN(Вес1,Вес2,Вес3,Вес4,Вес5,Вес6))/AU21*Вес2/MIN(Вес1,Вес2,Вес3,Вес4,Вес5,Вес6)),"")</f>
        <v>15</v>
      </c>
      <c r="O21" s="16">
        <f>IF(N21="","не применяется",IF(K21=0,"не применяется",N21*M21/100))</f>
        <v>10.3125</v>
      </c>
      <c r="P21" s="16">
        <f>IF(ISNUMBER(O21),O21,"")</f>
        <v>10.3125</v>
      </c>
      <c r="Q21" s="56">
        <v>1</v>
      </c>
      <c r="R21" s="56">
        <v>0.65</v>
      </c>
      <c r="S21" s="10">
        <f>R21*100</f>
        <v>65</v>
      </c>
      <c r="T21" s="10">
        <f>IF(E21=1,(MIN(Вес1,Вес2,Вес3,Вес4,Вес5,Вес6))*((100/MIN(Вес1,Вес2,Вес3,Вес4,Вес5,Вес6))/AU21*Вес3/MIN(Вес1,Вес2,Вес3,Вес4,Вес5,Вес6)),"")</f>
        <v>15</v>
      </c>
      <c r="U21" s="10">
        <f>IF(T21="","не применяется",IF(Q21=0,"не применяется",T21*S21/100))</f>
        <v>9.75</v>
      </c>
      <c r="V21" s="10">
        <f>IF(ISNUMBER(U21),U21,"")</f>
        <v>9.75</v>
      </c>
      <c r="W21" s="56">
        <v>1</v>
      </c>
      <c r="X21" s="56">
        <v>0.7</v>
      </c>
      <c r="Y21" s="10">
        <f>X21*100</f>
        <v>70</v>
      </c>
      <c r="Z21" s="10">
        <f>IF(E21=1,(MIN(Вес1,Вес2,Вес3,Вес4,Вес5,Вес6))*((100/MIN(Вес1,Вес2,Вес3,Вес4,Вес5,Вес6))/AU21*Вес4/MIN(Вес1,Вес2,Вес3,Вес4,Вес5,Вес6)),"")</f>
        <v>10</v>
      </c>
      <c r="AA21" s="10">
        <f>IF(Z21="","не применяется",IF(W21=0,"не применяется",Z21*Y21/100))</f>
        <v>7</v>
      </c>
      <c r="AB21" s="10">
        <f>IF(ISNUMBER(AA21),AA21,"")</f>
        <v>7</v>
      </c>
      <c r="AC21" s="56">
        <v>1</v>
      </c>
      <c r="AD21" s="56">
        <v>1</v>
      </c>
      <c r="AE21" s="10">
        <f>AD21*100</f>
        <v>100</v>
      </c>
      <c r="AF21" s="10">
        <f>IF(E21=1,(MIN(Вес1,Вес2,Вес3,Вес4,Вес5,Вес6))*((100/MIN(Вес1,Вес2,Вес3,Вес4,Вес5,Вес6))/AU21*Вес5/MIN(Вес1,Вес2,Вес3,Вес4,Вес5,Вес6)),"")</f>
        <v>5</v>
      </c>
      <c r="AG21" s="10">
        <f>IF(AF21="","не применяется",IF(AC21=0,"не применяется",AF21*AE21/100))</f>
        <v>5</v>
      </c>
      <c r="AH21" s="10">
        <f>IF(ISNUMBER(AG21),AG21,"")</f>
        <v>5</v>
      </c>
      <c r="AI21" s="56">
        <v>1</v>
      </c>
      <c r="AJ21" s="56">
        <v>1</v>
      </c>
      <c r="AK21" s="10">
        <f>AJ21*100</f>
        <v>100</v>
      </c>
      <c r="AL21" s="10">
        <f>IF(E21=1,(MIN(Вес1,Вес2,Вес3,Вес4,Вес5,Вес6))*((100/MIN(Вес1,Вес2,Вес3,Вес4,Вес5,Вес6))/AU21*Вес6/MIN(Вес1,Вес2,Вес3,Вес4,Вес5,Вес6)),"")</f>
        <v>5</v>
      </c>
      <c r="AM21" s="10">
        <f>IF(AL21="","не применяется",IF(AI21=0,"не применяется",AL21*AK21/100))</f>
        <v>5</v>
      </c>
      <c r="AN21" s="10">
        <f>IF(ISNUMBER(AM21),AM21,"")</f>
        <v>5</v>
      </c>
      <c r="AO21" s="16">
        <f>IF(E21=1,Вес1/MIN(Вес1,Вес2,Вес3,Вес4,Вес5,Вес6),"")</f>
        <v>10</v>
      </c>
      <c r="AP21" s="16">
        <f>IF(K21=1,Вес2/MIN(Вес1,Вес2,Вес3,Вес4,Вес5,Вес6),"")</f>
        <v>3</v>
      </c>
      <c r="AQ21" s="10">
        <f>IF(Q21=1,Вес3/MIN(Вес1,Вес2,Вес3,Вес4,Вес5,Вес6),"")</f>
        <v>3</v>
      </c>
      <c r="AR21" s="10">
        <f>IF(W21=1,Вес4/MIN(Вес1,Вес2,Вес3,Вес4,Вес5,Вес6),"")</f>
        <v>2</v>
      </c>
      <c r="AS21" s="10">
        <f>IF(AC21=1,Вес5/MIN(Вес1,Вес2,Вес3,Вес4,Вес5,Вес6),"")</f>
        <v>1</v>
      </c>
      <c r="AT21" s="10">
        <f>IF(AI21=1,Вес6/MIN(Вес1,Вес2,Вес3,Вес4,Вес5,Вес6),"")</f>
        <v>1</v>
      </c>
      <c r="AU21" s="16">
        <f>SUM(AO21:AT21)</f>
        <v>20</v>
      </c>
    </row>
    <row r="22" spans="1:47" ht="25.5" x14ac:dyDescent="0.2">
      <c r="A22" s="1" t="s">
        <v>105</v>
      </c>
      <c r="B22" s="9" t="s">
        <v>24</v>
      </c>
      <c r="C22" s="10">
        <f>IF(D22&lt;&gt;1,"",SUM(J22,P22,V22,AB22,AH22,AN22))</f>
        <v>66.75</v>
      </c>
      <c r="D22" s="10">
        <f>IF(SUM(E22,K22,Q22,W22,AC22,AI22)=0,0,1)</f>
        <v>1</v>
      </c>
      <c r="E22" s="56">
        <v>1</v>
      </c>
      <c r="F22" s="55">
        <v>0.72499999999999998</v>
      </c>
      <c r="G22" s="15">
        <f>F22*100</f>
        <v>72.5</v>
      </c>
      <c r="H22" s="16">
        <f>IF(E22=1,(MIN(Вес1,Вес2,Вес3,Вес4,Вес5,Вес6))*((100/MIN(Вес1,Вес2,Вес3,Вес4,Вес5,Вес6))/AU22*Вес1/MIN(Вес1,Вес2,Вес3,Вес4,Вес5,Вес6)),"")</f>
        <v>50</v>
      </c>
      <c r="I22" s="16">
        <f>IF(H22="","не применяется",IF(E22=0,"не применяется",H22*G22/100))</f>
        <v>36.25</v>
      </c>
      <c r="J22" s="16">
        <f>IF(ISNUMBER(I22),I22,"")</f>
        <v>36.25</v>
      </c>
      <c r="K22" s="56">
        <v>1</v>
      </c>
      <c r="L22" s="55">
        <v>0.65</v>
      </c>
      <c r="M22" s="15">
        <f>L22*100</f>
        <v>65</v>
      </c>
      <c r="N22" s="16">
        <f>IF(E22=1,(MIN(Вес1,Вес2,Вес3,Вес4,Вес5,Вес6))*((100/MIN(Вес1,Вес2,Вес3,Вес4,Вес5,Вес6))/AU22*Вес2/MIN(Вес1,Вес2,Вес3,Вес4,Вес5,Вес6)),"")</f>
        <v>15</v>
      </c>
      <c r="O22" s="16">
        <f>IF(N22="","не применяется",IF(K22=0,"не применяется",N22*M22/100))</f>
        <v>9.75</v>
      </c>
      <c r="P22" s="16">
        <f>IF(ISNUMBER(O22),O22,"")</f>
        <v>9.75</v>
      </c>
      <c r="Q22" s="56">
        <v>1</v>
      </c>
      <c r="R22" s="56">
        <v>0.65</v>
      </c>
      <c r="S22" s="10">
        <f>R22*100</f>
        <v>65</v>
      </c>
      <c r="T22" s="10">
        <f>IF(E22=1,(MIN(Вес1,Вес2,Вес3,Вес4,Вес5,Вес6))*((100/MIN(Вес1,Вес2,Вес3,Вес4,Вес5,Вес6))/AU22*Вес3/MIN(Вес1,Вес2,Вес3,Вес4,Вес5,Вес6)),"")</f>
        <v>15</v>
      </c>
      <c r="U22" s="10">
        <f>IF(T22="","не применяется",IF(Q22=0,"не применяется",T22*S22/100))</f>
        <v>9.75</v>
      </c>
      <c r="V22" s="10">
        <f>IF(ISNUMBER(U22),U22,"")</f>
        <v>9.75</v>
      </c>
      <c r="W22" s="56">
        <v>1</v>
      </c>
      <c r="X22" s="56">
        <v>0.1</v>
      </c>
      <c r="Y22" s="10">
        <f>X22*100</f>
        <v>10</v>
      </c>
      <c r="Z22" s="10">
        <f>IF(E22=1,(MIN(Вес1,Вес2,Вес3,Вес4,Вес5,Вес6))*((100/MIN(Вес1,Вес2,Вес3,Вес4,Вес5,Вес6))/AU22*Вес4/MIN(Вес1,Вес2,Вес3,Вес4,Вес5,Вес6)),"")</f>
        <v>10</v>
      </c>
      <c r="AA22" s="10">
        <f>IF(Z22="","не применяется",IF(W22=0,"не применяется",Z22*Y22/100))</f>
        <v>1</v>
      </c>
      <c r="AB22" s="10">
        <f>IF(ISNUMBER(AA22),AA22,"")</f>
        <v>1</v>
      </c>
      <c r="AC22" s="56">
        <v>1</v>
      </c>
      <c r="AD22" s="56">
        <v>1</v>
      </c>
      <c r="AE22" s="10">
        <f>AD22*100</f>
        <v>100</v>
      </c>
      <c r="AF22" s="10">
        <f>IF(E22=1,(MIN(Вес1,Вес2,Вес3,Вес4,Вес5,Вес6))*((100/MIN(Вес1,Вес2,Вес3,Вес4,Вес5,Вес6))/AU22*Вес5/MIN(Вес1,Вес2,Вес3,Вес4,Вес5,Вес6)),"")</f>
        <v>5</v>
      </c>
      <c r="AG22" s="10">
        <f>IF(AF22="","не применяется",IF(AC22=0,"не применяется",AF22*AE22/100))</f>
        <v>5</v>
      </c>
      <c r="AH22" s="10">
        <f>IF(ISNUMBER(AG22),AG22,"")</f>
        <v>5</v>
      </c>
      <c r="AI22" s="56">
        <v>1</v>
      </c>
      <c r="AJ22" s="56">
        <v>1</v>
      </c>
      <c r="AK22" s="10">
        <f>AJ22*100</f>
        <v>100</v>
      </c>
      <c r="AL22" s="10">
        <f>IF(E22=1,(MIN(Вес1,Вес2,Вес3,Вес4,Вес5,Вес6))*((100/MIN(Вес1,Вес2,Вес3,Вес4,Вес5,Вес6))/AU22*Вес6/MIN(Вес1,Вес2,Вес3,Вес4,Вес5,Вес6)),"")</f>
        <v>5</v>
      </c>
      <c r="AM22" s="10">
        <f>IF(AL22="","не применяется",IF(AI22=0,"не применяется",AL22*AK22/100))</f>
        <v>5</v>
      </c>
      <c r="AN22" s="10">
        <f>IF(ISNUMBER(AM22),AM22,"")</f>
        <v>5</v>
      </c>
      <c r="AO22" s="16">
        <f>IF(E22=1,Вес1/MIN(Вес1,Вес2,Вес3,Вес4,Вес5,Вес6),"")</f>
        <v>10</v>
      </c>
      <c r="AP22" s="16">
        <f>IF(K22=1,Вес2/MIN(Вес1,Вес2,Вес3,Вес4,Вес5,Вес6),"")</f>
        <v>3</v>
      </c>
      <c r="AQ22" s="10">
        <f>IF(Q22=1,Вес3/MIN(Вес1,Вес2,Вес3,Вес4,Вес5,Вес6),"")</f>
        <v>3</v>
      </c>
      <c r="AR22" s="10">
        <f>IF(W22=1,Вес4/MIN(Вес1,Вес2,Вес3,Вес4,Вес5,Вес6),"")</f>
        <v>2</v>
      </c>
      <c r="AS22" s="10">
        <f>IF(AC22=1,Вес5/MIN(Вес1,Вес2,Вес3,Вес4,Вес5,Вес6),"")</f>
        <v>1</v>
      </c>
      <c r="AT22" s="10">
        <f>IF(AI22=1,Вес6/MIN(Вес1,Вес2,Вес3,Вес4,Вес5,Вес6),"")</f>
        <v>1</v>
      </c>
      <c r="AU22" s="16">
        <f>SUM(AO22:AT22)</f>
        <v>20</v>
      </c>
    </row>
    <row r="23" spans="1:47" ht="25.5" x14ac:dyDescent="0.2">
      <c r="A23" s="1" t="s">
        <v>106</v>
      </c>
      <c r="B23" s="9" t="s">
        <v>25</v>
      </c>
      <c r="C23" s="10">
        <f>IF(D23&lt;&gt;1,"",SUM(J23,P23,V23,AB23,AH23,AN23))</f>
        <v>66.002499999999998</v>
      </c>
      <c r="D23" s="10">
        <f>IF(SUM(E23,K23,Q23,W23,AC23,AI23)=0,0,1)</f>
        <v>1</v>
      </c>
      <c r="E23" s="56">
        <v>1</v>
      </c>
      <c r="F23" s="55">
        <v>0.61629999999999996</v>
      </c>
      <c r="G23" s="15">
        <f>F23*100</f>
        <v>61.629999999999995</v>
      </c>
      <c r="H23" s="16">
        <f>IF(E23=1,(MIN(Вес1,Вес2,Вес3,Вес4,Вес5,Вес6))*((100/MIN(Вес1,Вес2,Вес3,Вес4,Вес5,Вес6))/AU23*Вес1/MIN(Вес1,Вес2,Вес3,Вес4,Вес5,Вес6)),"")</f>
        <v>50</v>
      </c>
      <c r="I23" s="16">
        <f>IF(H23="","не применяется",IF(E23=0,"не применяется",H23*G23/100))</f>
        <v>30.815000000000001</v>
      </c>
      <c r="J23" s="16">
        <f>IF(ISNUMBER(I23),I23,"")</f>
        <v>30.815000000000001</v>
      </c>
      <c r="K23" s="56">
        <v>1</v>
      </c>
      <c r="L23" s="55">
        <v>0.5625</v>
      </c>
      <c r="M23" s="15">
        <f>L23*100</f>
        <v>56.25</v>
      </c>
      <c r="N23" s="16">
        <f>IF(E23=1,(MIN(Вес1,Вес2,Вес3,Вес4,Вес5,Вес6))*((100/MIN(Вес1,Вес2,Вес3,Вес4,Вес5,Вес6))/AU23*Вес2/MIN(Вес1,Вес2,Вес3,Вес4,Вес5,Вес6)),"")</f>
        <v>15</v>
      </c>
      <c r="O23" s="16">
        <f>IF(N23="","не применяется",IF(K23=0,"не применяется",N23*M23/100))</f>
        <v>8.4375</v>
      </c>
      <c r="P23" s="16">
        <f>IF(ISNUMBER(O23),O23,"")</f>
        <v>8.4375</v>
      </c>
      <c r="Q23" s="56">
        <v>1</v>
      </c>
      <c r="R23" s="56">
        <v>0.65</v>
      </c>
      <c r="S23" s="10">
        <f>R23*100</f>
        <v>65</v>
      </c>
      <c r="T23" s="10">
        <f>IF(E23=1,(MIN(Вес1,Вес2,Вес3,Вес4,Вес5,Вес6))*((100/MIN(Вес1,Вес2,Вес3,Вес4,Вес5,Вес6))/AU23*Вес3/MIN(Вес1,Вес2,Вес3,Вес4,Вес5,Вес6)),"")</f>
        <v>15</v>
      </c>
      <c r="U23" s="10">
        <f>IF(T23="","не применяется",IF(Q23=0,"не применяется",T23*S23/100))</f>
        <v>9.75</v>
      </c>
      <c r="V23" s="10">
        <f>IF(ISNUMBER(U23),U23,"")</f>
        <v>9.75</v>
      </c>
      <c r="W23" s="56">
        <v>1</v>
      </c>
      <c r="X23" s="56">
        <v>0.7</v>
      </c>
      <c r="Y23" s="10">
        <f>X23*100</f>
        <v>70</v>
      </c>
      <c r="Z23" s="10">
        <f>IF(E23=1,(MIN(Вес1,Вес2,Вес3,Вес4,Вес5,Вес6))*((100/MIN(Вес1,Вес2,Вес3,Вес4,Вес5,Вес6))/AU23*Вес4/MIN(Вес1,Вес2,Вес3,Вес4,Вес5,Вес6)),"")</f>
        <v>10</v>
      </c>
      <c r="AA23" s="10">
        <f>IF(Z23="","не применяется",IF(W23=0,"не применяется",Z23*Y23/100))</f>
        <v>7</v>
      </c>
      <c r="AB23" s="10">
        <f>IF(ISNUMBER(AA23),AA23,"")</f>
        <v>7</v>
      </c>
      <c r="AC23" s="56">
        <v>1</v>
      </c>
      <c r="AD23" s="56">
        <v>1</v>
      </c>
      <c r="AE23" s="10">
        <f>AD23*100</f>
        <v>100</v>
      </c>
      <c r="AF23" s="10">
        <f>IF(E23=1,(MIN(Вес1,Вес2,Вес3,Вес4,Вес5,Вес6))*((100/MIN(Вес1,Вес2,Вес3,Вес4,Вес5,Вес6))/AU23*Вес5/MIN(Вес1,Вес2,Вес3,Вес4,Вес5,Вес6)),"")</f>
        <v>5</v>
      </c>
      <c r="AG23" s="10">
        <f>IF(AF23="","не применяется",IF(AC23=0,"не применяется",AF23*AE23/100))</f>
        <v>5</v>
      </c>
      <c r="AH23" s="10">
        <f>IF(ISNUMBER(AG23),AG23,"")</f>
        <v>5</v>
      </c>
      <c r="AI23" s="56">
        <v>1</v>
      </c>
      <c r="AJ23" s="56">
        <v>1</v>
      </c>
      <c r="AK23" s="10">
        <f>AJ23*100</f>
        <v>100</v>
      </c>
      <c r="AL23" s="10">
        <f>IF(E23=1,(MIN(Вес1,Вес2,Вес3,Вес4,Вес5,Вес6))*((100/MIN(Вес1,Вес2,Вес3,Вес4,Вес5,Вес6))/AU23*Вес6/MIN(Вес1,Вес2,Вес3,Вес4,Вес5,Вес6)),"")</f>
        <v>5</v>
      </c>
      <c r="AM23" s="10">
        <f>IF(AL23="","не применяется",IF(AI23=0,"не применяется",AL23*AK23/100))</f>
        <v>5</v>
      </c>
      <c r="AN23" s="10">
        <f>IF(ISNUMBER(AM23),AM23,"")</f>
        <v>5</v>
      </c>
      <c r="AO23" s="16">
        <f>IF(E23=1,Вес1/MIN(Вес1,Вес2,Вес3,Вес4,Вес5,Вес6),"")</f>
        <v>10</v>
      </c>
      <c r="AP23" s="16">
        <f>IF(K23=1,Вес2/MIN(Вес1,Вес2,Вес3,Вес4,Вес5,Вес6),"")</f>
        <v>3</v>
      </c>
      <c r="AQ23" s="10">
        <f>IF(Q23=1,Вес3/MIN(Вес1,Вес2,Вес3,Вес4,Вес5,Вес6),"")</f>
        <v>3</v>
      </c>
      <c r="AR23" s="10">
        <f>IF(W23=1,Вес4/MIN(Вес1,Вес2,Вес3,Вес4,Вес5,Вес6),"")</f>
        <v>2</v>
      </c>
      <c r="AS23" s="10">
        <f>IF(AC23=1,Вес5/MIN(Вес1,Вес2,Вес3,Вес4,Вес5,Вес6),"")</f>
        <v>1</v>
      </c>
      <c r="AT23" s="10">
        <f>IF(AI23=1,Вес6/MIN(Вес1,Вес2,Вес3,Вес4,Вес5,Вес6),"")</f>
        <v>1</v>
      </c>
      <c r="AU23" s="16">
        <f>SUM(AO23:AT23)</f>
        <v>20</v>
      </c>
    </row>
    <row r="24" spans="1:47" ht="25.5" x14ac:dyDescent="0.2">
      <c r="A24" s="1" t="s">
        <v>107</v>
      </c>
      <c r="B24" s="9" t="s">
        <v>26</v>
      </c>
      <c r="C24" s="10">
        <f>IF(D24&lt;&gt;1,"",SUM(J24,P24,V24,AB24,AH24,AN24))</f>
        <v>71.25</v>
      </c>
      <c r="D24" s="10">
        <f>IF(SUM(E24,K24,Q24,W24,AC24,AI24)=0,0,1)</f>
        <v>1</v>
      </c>
      <c r="E24" s="56">
        <v>1</v>
      </c>
      <c r="F24" s="55">
        <v>0.83</v>
      </c>
      <c r="G24" s="15">
        <f>F24*100</f>
        <v>83</v>
      </c>
      <c r="H24" s="16">
        <f>IF(E24=1,(MIN(Вес1,Вес2,Вес3,Вес4,Вес5,Вес6))*((100/MIN(Вес1,Вес2,Вес3,Вес4,Вес5,Вес6))/AU24*Вес1/MIN(Вес1,Вес2,Вес3,Вес4,Вес5,Вес6)),"")</f>
        <v>50</v>
      </c>
      <c r="I24" s="16">
        <f>IF(H24="","не применяется",IF(E24=0,"не применяется",H24*G24/100))</f>
        <v>41.5</v>
      </c>
      <c r="J24" s="16">
        <f>IF(ISNUMBER(I24),I24,"")</f>
        <v>41.5</v>
      </c>
      <c r="K24" s="56">
        <v>1</v>
      </c>
      <c r="L24" s="55">
        <v>0.65</v>
      </c>
      <c r="M24" s="15">
        <f>L24*100</f>
        <v>65</v>
      </c>
      <c r="N24" s="16">
        <f>IF(E24=1,(MIN(Вес1,Вес2,Вес3,Вес4,Вес5,Вес6))*((100/MIN(Вес1,Вес2,Вес3,Вес4,Вес5,Вес6))/AU24*Вес2/MIN(Вес1,Вес2,Вес3,Вес4,Вес5,Вес6)),"")</f>
        <v>15</v>
      </c>
      <c r="O24" s="16">
        <f>IF(N24="","не применяется",IF(K24=0,"не применяется",N24*M24/100))</f>
        <v>9.75</v>
      </c>
      <c r="P24" s="16">
        <f>IF(ISNUMBER(O24),O24,"")</f>
        <v>9.75</v>
      </c>
      <c r="Q24" s="56">
        <v>1</v>
      </c>
      <c r="R24" s="56">
        <v>0.15</v>
      </c>
      <c r="S24" s="10">
        <f>R24*100</f>
        <v>15</v>
      </c>
      <c r="T24" s="10">
        <f>IF(E24=1,(MIN(Вес1,Вес2,Вес3,Вес4,Вес5,Вес6))*((100/MIN(Вес1,Вес2,Вес3,Вес4,Вес5,Вес6))/AU24*Вес3/MIN(Вес1,Вес2,Вес3,Вес4,Вес5,Вес6)),"")</f>
        <v>15</v>
      </c>
      <c r="U24" s="10">
        <f>IF(T24="","не применяется",IF(Q24=0,"не применяется",T24*S24/100))</f>
        <v>2.25</v>
      </c>
      <c r="V24" s="10">
        <f>IF(ISNUMBER(U24),U24,"")</f>
        <v>2.25</v>
      </c>
      <c r="W24" s="56">
        <v>1</v>
      </c>
      <c r="X24" s="56">
        <v>0.9</v>
      </c>
      <c r="Y24" s="10">
        <f>X24*100</f>
        <v>90</v>
      </c>
      <c r="Z24" s="10">
        <f>IF(E24=1,(MIN(Вес1,Вес2,Вес3,Вес4,Вес5,Вес6))*((100/MIN(Вес1,Вес2,Вес3,Вес4,Вес5,Вес6))/AU24*Вес4/MIN(Вес1,Вес2,Вес3,Вес4,Вес5,Вес6)),"")</f>
        <v>10</v>
      </c>
      <c r="AA24" s="10">
        <f>IF(Z24="","не применяется",IF(W24=0,"не применяется",Z24*Y24/100))</f>
        <v>9</v>
      </c>
      <c r="AB24" s="10">
        <f>IF(ISNUMBER(AA24),AA24,"")</f>
        <v>9</v>
      </c>
      <c r="AC24" s="56">
        <v>1</v>
      </c>
      <c r="AD24" s="56">
        <v>0.75</v>
      </c>
      <c r="AE24" s="10">
        <f>AD24*100</f>
        <v>75</v>
      </c>
      <c r="AF24" s="10">
        <f>IF(E24=1,(MIN(Вес1,Вес2,Вес3,Вес4,Вес5,Вес6))*((100/MIN(Вес1,Вес2,Вес3,Вес4,Вес5,Вес6))/AU24*Вес5/MIN(Вес1,Вес2,Вес3,Вес4,Вес5,Вес6)),"")</f>
        <v>5</v>
      </c>
      <c r="AG24" s="10">
        <f>IF(AF24="","не применяется",IF(AC24=0,"не применяется",AF24*AE24/100))</f>
        <v>3.75</v>
      </c>
      <c r="AH24" s="10">
        <f>IF(ISNUMBER(AG24),AG24,"")</f>
        <v>3.75</v>
      </c>
      <c r="AI24" s="56">
        <v>1</v>
      </c>
      <c r="AJ24" s="56">
        <v>1</v>
      </c>
      <c r="AK24" s="10">
        <f>AJ24*100</f>
        <v>100</v>
      </c>
      <c r="AL24" s="10">
        <f>IF(E24=1,(MIN(Вес1,Вес2,Вес3,Вес4,Вес5,Вес6))*((100/MIN(Вес1,Вес2,Вес3,Вес4,Вес5,Вес6))/AU24*Вес6/MIN(Вес1,Вес2,Вес3,Вес4,Вес5,Вес6)),"")</f>
        <v>5</v>
      </c>
      <c r="AM24" s="10">
        <f>IF(AL24="","не применяется",IF(AI24=0,"не применяется",AL24*AK24/100))</f>
        <v>5</v>
      </c>
      <c r="AN24" s="10">
        <f>IF(ISNUMBER(AM24),AM24,"")</f>
        <v>5</v>
      </c>
      <c r="AO24" s="16">
        <f>IF(E24=1,Вес1/MIN(Вес1,Вес2,Вес3,Вес4,Вес5,Вес6),"")</f>
        <v>10</v>
      </c>
      <c r="AP24" s="16">
        <f>IF(K24=1,Вес2/MIN(Вес1,Вес2,Вес3,Вес4,Вес5,Вес6),"")</f>
        <v>3</v>
      </c>
      <c r="AQ24" s="10">
        <f>IF(Q24=1,Вес3/MIN(Вес1,Вес2,Вес3,Вес4,Вес5,Вес6),"")</f>
        <v>3</v>
      </c>
      <c r="AR24" s="10">
        <f>IF(W24=1,Вес4/MIN(Вес1,Вес2,Вес3,Вес4,Вес5,Вес6),"")</f>
        <v>2</v>
      </c>
      <c r="AS24" s="10">
        <f>IF(AC24=1,Вес5/MIN(Вес1,Вес2,Вес3,Вес4,Вес5,Вес6),"")</f>
        <v>1</v>
      </c>
      <c r="AT24" s="10">
        <f>IF(AI24=1,Вес6/MIN(Вес1,Вес2,Вес3,Вес4,Вес5,Вес6),"")</f>
        <v>1</v>
      </c>
      <c r="AU24" s="16">
        <f>SUM(AO24:AT24)</f>
        <v>20</v>
      </c>
    </row>
    <row r="25" spans="1:47" ht="25.5" x14ac:dyDescent="0.2">
      <c r="A25" s="1" t="s">
        <v>108</v>
      </c>
      <c r="B25" s="9" t="s">
        <v>51</v>
      </c>
      <c r="C25" s="10">
        <f>IF(D25&lt;&gt;1,"",SUM(J25,P25,V25,AB25,AH25,AN25))</f>
        <v>67.265000000000001</v>
      </c>
      <c r="D25" s="10">
        <f>IF(SUM(E25,K25,Q25,W25,AC25,AI25)=0,0,1)</f>
        <v>1</v>
      </c>
      <c r="E25" s="56">
        <v>1</v>
      </c>
      <c r="F25" s="55">
        <v>0.72030000000000005</v>
      </c>
      <c r="G25" s="15">
        <f>F25*100</f>
        <v>72.03</v>
      </c>
      <c r="H25" s="16">
        <f>IF(E25=1,(MIN(Вес1,Вес2,Вес3,Вес4,Вес5,Вес6))*((100/MIN(Вес1,Вес2,Вес3,Вес4,Вес5,Вес6))/AU25*Вес1/MIN(Вес1,Вес2,Вес3,Вес4,Вес5,Вес6)),"")</f>
        <v>50</v>
      </c>
      <c r="I25" s="16">
        <f>IF(H25="","не применяется",IF(E25=0,"не применяется",H25*G25/100))</f>
        <v>36.015000000000001</v>
      </c>
      <c r="J25" s="16">
        <f>IF(ISNUMBER(I25),I25,"")</f>
        <v>36.015000000000001</v>
      </c>
      <c r="K25" s="56">
        <v>1</v>
      </c>
      <c r="L25" s="55">
        <v>0.75</v>
      </c>
      <c r="M25" s="15">
        <f>L25*100</f>
        <v>75</v>
      </c>
      <c r="N25" s="16">
        <f>IF(E25=1,(MIN(Вес1,Вес2,Вес3,Вес4,Вес5,Вес6))*((100/MIN(Вес1,Вес2,Вес3,Вес4,Вес5,Вес6))/AU25*Вес2/MIN(Вес1,Вес2,Вес3,Вес4,Вес5,Вес6)),"")</f>
        <v>15</v>
      </c>
      <c r="O25" s="16">
        <f>IF(N25="","не применяется",IF(K25=0,"не применяется",N25*M25/100))</f>
        <v>11.25</v>
      </c>
      <c r="P25" s="16">
        <f>IF(ISNUMBER(O25),O25,"")</f>
        <v>11.25</v>
      </c>
      <c r="Q25" s="56">
        <v>1</v>
      </c>
      <c r="R25" s="56">
        <v>0.15</v>
      </c>
      <c r="S25" s="10">
        <f>R25*100</f>
        <v>15</v>
      </c>
      <c r="T25" s="10">
        <f>IF(E25=1,(MIN(Вес1,Вес2,Вес3,Вес4,Вес5,Вес6))*((100/MIN(Вес1,Вес2,Вес3,Вес4,Вес5,Вес6))/AU25*Вес3/MIN(Вес1,Вес2,Вес3,Вес4,Вес5,Вес6)),"")</f>
        <v>15</v>
      </c>
      <c r="U25" s="10">
        <f>IF(T25="","не применяется",IF(Q25=0,"не применяется",T25*S25/100))</f>
        <v>2.25</v>
      </c>
      <c r="V25" s="10">
        <f>IF(ISNUMBER(U25),U25,"")</f>
        <v>2.25</v>
      </c>
      <c r="W25" s="56">
        <v>1</v>
      </c>
      <c r="X25" s="56">
        <v>0.9</v>
      </c>
      <c r="Y25" s="10">
        <f>X25*100</f>
        <v>90</v>
      </c>
      <c r="Z25" s="10">
        <f>IF(E25=1,(MIN(Вес1,Вес2,Вес3,Вес4,Вес5,Вес6))*((100/MIN(Вес1,Вес2,Вес3,Вес4,Вес5,Вес6))/AU25*Вес4/MIN(Вес1,Вес2,Вес3,Вес4,Вес5,Вес6)),"")</f>
        <v>10</v>
      </c>
      <c r="AA25" s="10">
        <f>IF(Z25="","не применяется",IF(W25=0,"не применяется",Z25*Y25/100))</f>
        <v>9</v>
      </c>
      <c r="AB25" s="10">
        <f>IF(ISNUMBER(AA25),AA25,"")</f>
        <v>9</v>
      </c>
      <c r="AC25" s="56">
        <v>1</v>
      </c>
      <c r="AD25" s="56">
        <v>0.75</v>
      </c>
      <c r="AE25" s="10">
        <f>AD25*100</f>
        <v>75</v>
      </c>
      <c r="AF25" s="10">
        <f>IF(E25=1,(MIN(Вес1,Вес2,Вес3,Вес4,Вес5,Вес6))*((100/MIN(Вес1,Вес2,Вес3,Вес4,Вес5,Вес6))/AU25*Вес5/MIN(Вес1,Вес2,Вес3,Вес4,Вес5,Вес6)),"")</f>
        <v>5</v>
      </c>
      <c r="AG25" s="10">
        <f>IF(AF25="","не применяется",IF(AC25=0,"не применяется",AF25*AE25/100))</f>
        <v>3.75</v>
      </c>
      <c r="AH25" s="10">
        <f>IF(ISNUMBER(AG25),AG25,"")</f>
        <v>3.75</v>
      </c>
      <c r="AI25" s="56">
        <v>1</v>
      </c>
      <c r="AJ25" s="56">
        <v>1</v>
      </c>
      <c r="AK25" s="10">
        <f>AJ25*100</f>
        <v>100</v>
      </c>
      <c r="AL25" s="10">
        <f>IF(E25=1,(MIN(Вес1,Вес2,Вес3,Вес4,Вес5,Вес6))*((100/MIN(Вес1,Вес2,Вес3,Вес4,Вес5,Вес6))/AU25*Вес6/MIN(Вес1,Вес2,Вес3,Вес4,Вес5,Вес6)),"")</f>
        <v>5</v>
      </c>
      <c r="AM25" s="10">
        <f>IF(AL25="","не применяется",IF(AI25=0,"не применяется",AL25*AK25/100))</f>
        <v>5</v>
      </c>
      <c r="AN25" s="10">
        <f>IF(ISNUMBER(AM25),AM25,"")</f>
        <v>5</v>
      </c>
      <c r="AO25" s="16">
        <f>IF(E25=1,Вес1/MIN(Вес1,Вес2,Вес3,Вес4,Вес5,Вес6),"")</f>
        <v>10</v>
      </c>
      <c r="AP25" s="16">
        <f>IF(K25=1,Вес2/MIN(Вес1,Вес2,Вес3,Вес4,Вес5,Вес6),"")</f>
        <v>3</v>
      </c>
      <c r="AQ25" s="10">
        <f>IF(Q25=1,Вес3/MIN(Вес1,Вес2,Вес3,Вес4,Вес5,Вес6),"")</f>
        <v>3</v>
      </c>
      <c r="AR25" s="10">
        <f>IF(W25=1,Вес4/MIN(Вес1,Вес2,Вес3,Вес4,Вес5,Вес6),"")</f>
        <v>2</v>
      </c>
      <c r="AS25" s="10">
        <f>IF(AC25=1,Вес5/MIN(Вес1,Вес2,Вес3,Вес4,Вес5,Вес6),"")</f>
        <v>1</v>
      </c>
      <c r="AT25" s="10">
        <f>IF(AI25=1,Вес6/MIN(Вес1,Вес2,Вес3,Вес4,Вес5,Вес6),"")</f>
        <v>1</v>
      </c>
      <c r="AU25" s="16">
        <f>SUM(AO25:AT25)</f>
        <v>20</v>
      </c>
    </row>
    <row r="26" spans="1:47" ht="25.5" x14ac:dyDescent="0.2">
      <c r="A26" s="1" t="s">
        <v>109</v>
      </c>
      <c r="B26" s="9" t="s">
        <v>27</v>
      </c>
      <c r="C26" s="10">
        <f>IF(D26&lt;&gt;1,"",SUM(J26,P26,V26,AB26,AH26,AN26))</f>
        <v>68.954999999999998</v>
      </c>
      <c r="D26" s="10">
        <f>IF(SUM(E26,K26,Q26,W26,AC26,AI26)=0,0,1)</f>
        <v>1</v>
      </c>
      <c r="E26" s="56">
        <v>1</v>
      </c>
      <c r="F26" s="55">
        <v>0.75409999999999999</v>
      </c>
      <c r="G26" s="15">
        <f>F26*100</f>
        <v>75.41</v>
      </c>
      <c r="H26" s="16">
        <f>IF(E26=1,(MIN(Вес1,Вес2,Вес3,Вес4,Вес5,Вес6))*((100/MIN(Вес1,Вес2,Вес3,Вес4,Вес5,Вес6))/AU26*Вес1/MIN(Вес1,Вес2,Вес3,Вес4,Вес5,Вес6)),"")</f>
        <v>50</v>
      </c>
      <c r="I26" s="16">
        <f>IF(H26="","не применяется",IF(E26=0,"не применяется",H26*G26/100))</f>
        <v>37.704999999999998</v>
      </c>
      <c r="J26" s="16">
        <f>IF(ISNUMBER(I26),I26,"")</f>
        <v>37.704999999999998</v>
      </c>
      <c r="K26" s="56">
        <v>1</v>
      </c>
      <c r="L26" s="55">
        <v>0.85</v>
      </c>
      <c r="M26" s="15">
        <f>L26*100</f>
        <v>85</v>
      </c>
      <c r="N26" s="16">
        <f>IF(E26=1,(MIN(Вес1,Вес2,Вес3,Вес4,Вес5,Вес6))*((100/MIN(Вес1,Вес2,Вес3,Вес4,Вес5,Вес6))/AU26*Вес2/MIN(Вес1,Вес2,Вес3,Вес4,Вес5,Вес6)),"")</f>
        <v>15</v>
      </c>
      <c r="O26" s="16">
        <f>IF(N26="","не применяется",IF(K26=0,"не применяется",N26*M26/100))</f>
        <v>12.75</v>
      </c>
      <c r="P26" s="16">
        <f>IF(ISNUMBER(O26),O26,"")</f>
        <v>12.75</v>
      </c>
      <c r="Q26" s="56">
        <v>1</v>
      </c>
      <c r="R26" s="56">
        <v>0.15</v>
      </c>
      <c r="S26" s="10">
        <f>R26*100</f>
        <v>15</v>
      </c>
      <c r="T26" s="10">
        <f>IF(E26=1,(MIN(Вес1,Вес2,Вес3,Вес4,Вес5,Вес6))*((100/MIN(Вес1,Вес2,Вес3,Вес4,Вес5,Вес6))/AU26*Вес3/MIN(Вес1,Вес2,Вес3,Вес4,Вес5,Вес6)),"")</f>
        <v>15</v>
      </c>
      <c r="U26" s="10">
        <f>IF(T26="","не применяется",IF(Q26=0,"не применяется",T26*S26/100))</f>
        <v>2.25</v>
      </c>
      <c r="V26" s="10">
        <f>IF(ISNUMBER(U26),U26,"")</f>
        <v>2.25</v>
      </c>
      <c r="W26" s="56">
        <v>1</v>
      </c>
      <c r="X26" s="56">
        <v>1</v>
      </c>
      <c r="Y26" s="10">
        <f>X26*100</f>
        <v>100</v>
      </c>
      <c r="Z26" s="10">
        <f>IF(E26=1,(MIN(Вес1,Вес2,Вес3,Вес4,Вес5,Вес6))*((100/MIN(Вес1,Вес2,Вес3,Вес4,Вес5,Вес6))/AU26*Вес4/MIN(Вес1,Вес2,Вес3,Вес4,Вес5,Вес6)),"")</f>
        <v>10</v>
      </c>
      <c r="AA26" s="10">
        <f>IF(Z26="","не применяется",IF(W26=0,"не применяется",Z26*Y26/100))</f>
        <v>10</v>
      </c>
      <c r="AB26" s="10">
        <f>IF(ISNUMBER(AA26),AA26,"")</f>
        <v>10</v>
      </c>
      <c r="AC26" s="56">
        <v>1</v>
      </c>
      <c r="AD26" s="56">
        <v>0.75</v>
      </c>
      <c r="AE26" s="10">
        <f>AD26*100</f>
        <v>75</v>
      </c>
      <c r="AF26" s="10">
        <f>IF(E26=1,(MIN(Вес1,Вес2,Вес3,Вес4,Вес5,Вес6))*((100/MIN(Вес1,Вес2,Вес3,Вес4,Вес5,Вес6))/AU26*Вес5/MIN(Вес1,Вес2,Вес3,Вес4,Вес5,Вес6)),"")</f>
        <v>5</v>
      </c>
      <c r="AG26" s="10">
        <f>IF(AF26="","не применяется",IF(AC26=0,"не применяется",AF26*AE26/100))</f>
        <v>3.75</v>
      </c>
      <c r="AH26" s="10">
        <f>IF(ISNUMBER(AG26),AG26,"")</f>
        <v>3.75</v>
      </c>
      <c r="AI26" s="56">
        <v>1</v>
      </c>
      <c r="AJ26" s="56">
        <v>0.5</v>
      </c>
      <c r="AK26" s="10">
        <f>AJ26*100</f>
        <v>50</v>
      </c>
      <c r="AL26" s="10">
        <f>IF(E26=1,(MIN(Вес1,Вес2,Вес3,Вес4,Вес5,Вес6))*((100/MIN(Вес1,Вес2,Вес3,Вес4,Вес5,Вес6))/AU26*Вес6/MIN(Вес1,Вес2,Вес3,Вес4,Вес5,Вес6)),"")</f>
        <v>5</v>
      </c>
      <c r="AM26" s="10">
        <f>IF(AL26="","не применяется",IF(AI26=0,"не применяется",AL26*AK26/100))</f>
        <v>2.5</v>
      </c>
      <c r="AN26" s="10">
        <f>IF(ISNUMBER(AM26),AM26,"")</f>
        <v>2.5</v>
      </c>
      <c r="AO26" s="16">
        <f>IF(E26=1,Вес1/MIN(Вес1,Вес2,Вес3,Вес4,Вес5,Вес6),"")</f>
        <v>10</v>
      </c>
      <c r="AP26" s="16">
        <f>IF(K26=1,Вес2/MIN(Вес1,Вес2,Вес3,Вес4,Вес5,Вес6),"")</f>
        <v>3</v>
      </c>
      <c r="AQ26" s="10">
        <f>IF(Q26=1,Вес3/MIN(Вес1,Вес2,Вес3,Вес4,Вес5,Вес6),"")</f>
        <v>3</v>
      </c>
      <c r="AR26" s="10">
        <f>IF(W26=1,Вес4/MIN(Вес1,Вес2,Вес3,Вес4,Вес5,Вес6),"")</f>
        <v>2</v>
      </c>
      <c r="AS26" s="10">
        <f>IF(AC26=1,Вес5/MIN(Вес1,Вес2,Вес3,Вес4,Вес5,Вес6),"")</f>
        <v>1</v>
      </c>
      <c r="AT26" s="10">
        <f>IF(AI26=1,Вес6/MIN(Вес1,Вес2,Вес3,Вес4,Вес5,Вес6),"")</f>
        <v>1</v>
      </c>
      <c r="AU26" s="16">
        <f>SUM(AO26:AT26)</f>
        <v>20</v>
      </c>
    </row>
    <row r="27" spans="1:47" x14ac:dyDescent="0.2">
      <c r="A27" s="1" t="s">
        <v>110</v>
      </c>
      <c r="B27" s="9" t="s">
        <v>28</v>
      </c>
      <c r="C27" s="10">
        <f>IF(D27&lt;&gt;1,"",SUM(J27,P27,V27,AB27,AH27,AN27))</f>
        <v>77.724999999999994</v>
      </c>
      <c r="D27" s="10">
        <f>IF(SUM(E27,K27,Q27,W27,AC27,AI27)=0,0,1)</f>
        <v>1</v>
      </c>
      <c r="E27" s="56">
        <v>1</v>
      </c>
      <c r="F27" s="55">
        <v>0.87949999999999995</v>
      </c>
      <c r="G27" s="15">
        <f>F27*100</f>
        <v>87.949999999999989</v>
      </c>
      <c r="H27" s="16">
        <f>IF(E27=1,(MIN(Вес1,Вес2,Вес3,Вес4,Вес5,Вес6))*((100/MIN(Вес1,Вес2,Вес3,Вес4,Вес5,Вес6))/AU27*Вес1/MIN(Вес1,Вес2,Вес3,Вес4,Вес5,Вес6)),"")</f>
        <v>50</v>
      </c>
      <c r="I27" s="16">
        <f>IF(H27="","не применяется",IF(E27=0,"не применяется",H27*G27/100))</f>
        <v>43.974999999999994</v>
      </c>
      <c r="J27" s="16">
        <f>IF(ISNUMBER(I27),I27,"")</f>
        <v>43.974999999999994</v>
      </c>
      <c r="K27" s="56">
        <v>1</v>
      </c>
      <c r="L27" s="55">
        <v>0.875</v>
      </c>
      <c r="M27" s="15">
        <f>L27*100</f>
        <v>87.5</v>
      </c>
      <c r="N27" s="16">
        <f>IF(E27=1,(MIN(Вес1,Вес2,Вес3,Вес4,Вес5,Вес6))*((100/MIN(Вес1,Вес2,Вес3,Вес4,Вес5,Вес6))/AU27*Вес2/MIN(Вес1,Вес2,Вес3,Вес4,Вес5,Вес6)),"")</f>
        <v>15</v>
      </c>
      <c r="O27" s="16">
        <f>IF(N27="","не применяется",IF(K27=0,"не применяется",N27*M27/100))</f>
        <v>13.125</v>
      </c>
      <c r="P27" s="16">
        <f>IF(ISNUMBER(O27),O27,"")</f>
        <v>13.125</v>
      </c>
      <c r="Q27" s="56">
        <v>1</v>
      </c>
      <c r="R27" s="56">
        <v>0.15</v>
      </c>
      <c r="S27" s="10">
        <f>R27*100</f>
        <v>15</v>
      </c>
      <c r="T27" s="10">
        <f>IF(E27=1,(MIN(Вес1,Вес2,Вес3,Вес4,Вес5,Вес6))*((100/MIN(Вес1,Вес2,Вес3,Вес4,Вес5,Вес6))/AU27*Вес3/MIN(Вес1,Вес2,Вес3,Вес4,Вес5,Вес6)),"")</f>
        <v>15</v>
      </c>
      <c r="U27" s="10">
        <f>IF(T27="","не применяется",IF(Q27=0,"не применяется",T27*S27/100))</f>
        <v>2.25</v>
      </c>
      <c r="V27" s="10">
        <f>IF(ISNUMBER(U27),U27,"")</f>
        <v>2.25</v>
      </c>
      <c r="W27" s="56">
        <v>1</v>
      </c>
      <c r="X27" s="56">
        <v>0.96250000000000002</v>
      </c>
      <c r="Y27" s="10">
        <f>X27*100</f>
        <v>96.25</v>
      </c>
      <c r="Z27" s="10">
        <f>IF(E27=1,(MIN(Вес1,Вес2,Вес3,Вес4,Вес5,Вес6))*((100/MIN(Вес1,Вес2,Вес3,Вес4,Вес5,Вес6))/AU27*Вес4/MIN(Вес1,Вес2,Вес3,Вес4,Вес5,Вес6)),"")</f>
        <v>10</v>
      </c>
      <c r="AA27" s="10">
        <f>IF(Z27="","не применяется",IF(W27=0,"не применяется",Z27*Y27/100))</f>
        <v>9.625</v>
      </c>
      <c r="AB27" s="10">
        <f>IF(ISNUMBER(AA27),AA27,"")</f>
        <v>9.625</v>
      </c>
      <c r="AC27" s="56">
        <v>1</v>
      </c>
      <c r="AD27" s="56">
        <v>0.75</v>
      </c>
      <c r="AE27" s="10">
        <f>AD27*100</f>
        <v>75</v>
      </c>
      <c r="AF27" s="10">
        <f>IF(E27=1,(MIN(Вес1,Вес2,Вес3,Вес4,Вес5,Вес6))*((100/MIN(Вес1,Вес2,Вес3,Вес4,Вес5,Вес6))/AU27*Вес5/MIN(Вес1,Вес2,Вес3,Вес4,Вес5,Вес6)),"")</f>
        <v>5</v>
      </c>
      <c r="AG27" s="10">
        <f>IF(AF27="","не применяется",IF(AC27=0,"не применяется",AF27*AE27/100))</f>
        <v>3.75</v>
      </c>
      <c r="AH27" s="10">
        <f>IF(ISNUMBER(AG27),AG27,"")</f>
        <v>3.75</v>
      </c>
      <c r="AI27" s="56">
        <v>1</v>
      </c>
      <c r="AJ27" s="56">
        <v>1</v>
      </c>
      <c r="AK27" s="10">
        <f>AJ27*100</f>
        <v>100</v>
      </c>
      <c r="AL27" s="10">
        <f>IF(E27=1,(MIN(Вес1,Вес2,Вес3,Вес4,Вес5,Вес6))*((100/MIN(Вес1,Вес2,Вес3,Вес4,Вес5,Вес6))/AU27*Вес6/MIN(Вес1,Вес2,Вес3,Вес4,Вес5,Вес6)),"")</f>
        <v>5</v>
      </c>
      <c r="AM27" s="10">
        <f>IF(AL27="","не применяется",IF(AI27=0,"не применяется",AL27*AK27/100))</f>
        <v>5</v>
      </c>
      <c r="AN27" s="10">
        <f>IF(ISNUMBER(AM27),AM27,"")</f>
        <v>5</v>
      </c>
      <c r="AO27" s="16">
        <f>IF(E27=1,Вес1/MIN(Вес1,Вес2,Вес3,Вес4,Вес5,Вес6),"")</f>
        <v>10</v>
      </c>
      <c r="AP27" s="16">
        <f>IF(K27=1,Вес2/MIN(Вес1,Вес2,Вес3,Вес4,Вес5,Вес6),"")</f>
        <v>3</v>
      </c>
      <c r="AQ27" s="10">
        <f>IF(Q27=1,Вес3/MIN(Вес1,Вес2,Вес3,Вес4,Вес5,Вес6),"")</f>
        <v>3</v>
      </c>
      <c r="AR27" s="10">
        <f>IF(W27=1,Вес4/MIN(Вес1,Вес2,Вес3,Вес4,Вес5,Вес6),"")</f>
        <v>2</v>
      </c>
      <c r="AS27" s="10">
        <f>IF(AC27=1,Вес5/MIN(Вес1,Вес2,Вес3,Вес4,Вес5,Вес6),"")</f>
        <v>1</v>
      </c>
      <c r="AT27" s="10">
        <f>IF(AI27=1,Вес6/MIN(Вес1,Вес2,Вес3,Вес4,Вес5,Вес6),"")</f>
        <v>1</v>
      </c>
      <c r="AU27" s="16">
        <f>SUM(AO27:AT27)</f>
        <v>20</v>
      </c>
    </row>
    <row r="28" spans="1:47" ht="25.5" x14ac:dyDescent="0.2">
      <c r="A28" s="1" t="s">
        <v>121</v>
      </c>
      <c r="B28" s="9" t="s">
        <v>120</v>
      </c>
      <c r="C28" s="10">
        <f>IF(D28&lt;&gt;1,"",SUM(J28,P28,V28,AB28,AH28,AN28))</f>
        <v>71.240000000000009</v>
      </c>
      <c r="D28" s="10">
        <f>IF(SUM(E28,K28,Q28,W28,AC28,AI28)=0,0,1)</f>
        <v>1</v>
      </c>
      <c r="E28" s="56">
        <v>1</v>
      </c>
      <c r="F28" s="55">
        <v>0.74980000000000002</v>
      </c>
      <c r="G28" s="15">
        <f>F28*100</f>
        <v>74.98</v>
      </c>
      <c r="H28" s="16">
        <f>IF(E28=1,(MIN(Вес1,Вес2,Вес3,Вес4,Вес5,Вес6))*((100/MIN(Вес1,Вес2,Вес3,Вес4,Вес5,Вес6))/AU28*Вес1/MIN(Вес1,Вес2,Вес3,Вес4,Вес5,Вес6)),"")</f>
        <v>50</v>
      </c>
      <c r="I28" s="16">
        <f>IF(H28="","не применяется",IF(E28=0,"не применяется",H28*G28/100))</f>
        <v>37.49</v>
      </c>
      <c r="J28" s="16">
        <f>IF(ISNUMBER(I28),I28,"")</f>
        <v>37.49</v>
      </c>
      <c r="K28" s="56">
        <v>1</v>
      </c>
      <c r="L28" s="55">
        <v>0.85</v>
      </c>
      <c r="M28" s="15">
        <f>L28*100</f>
        <v>85</v>
      </c>
      <c r="N28" s="16">
        <f>IF(E28=1,(MIN(Вес1,Вес2,Вес3,Вес4,Вес5,Вес6))*((100/MIN(Вес1,Вес2,Вес3,Вес4,Вес5,Вес6))/AU28*Вес2/MIN(Вес1,Вес2,Вес3,Вес4,Вес5,Вес6)),"")</f>
        <v>15</v>
      </c>
      <c r="O28" s="16">
        <f>IF(N28="","не применяется",IF(K28=0,"не применяется",N28*M28/100))</f>
        <v>12.75</v>
      </c>
      <c r="P28" s="16">
        <f>IF(ISNUMBER(O28),O28,"")</f>
        <v>12.75</v>
      </c>
      <c r="Q28" s="56">
        <v>1</v>
      </c>
      <c r="R28" s="56">
        <v>0.15</v>
      </c>
      <c r="S28" s="10">
        <f>R28*100</f>
        <v>15</v>
      </c>
      <c r="T28" s="10">
        <f>IF(E28=1,(MIN(Вес1,Вес2,Вес3,Вес4,Вес5,Вес6))*((100/MIN(Вес1,Вес2,Вес3,Вес4,Вес5,Вес6))/AU28*Вес3/MIN(Вес1,Вес2,Вес3,Вес4,Вес5,Вес6)),"")</f>
        <v>15</v>
      </c>
      <c r="U28" s="10">
        <f>IF(T28="","не применяется",IF(Q28=0,"не применяется",T28*S28/100))</f>
        <v>2.25</v>
      </c>
      <c r="V28" s="10">
        <f>IF(ISNUMBER(U28),U28,"")</f>
        <v>2.25</v>
      </c>
      <c r="W28" s="56">
        <v>1</v>
      </c>
      <c r="X28" s="56">
        <v>1</v>
      </c>
      <c r="Y28" s="10">
        <f>X28*100</f>
        <v>100</v>
      </c>
      <c r="Z28" s="10">
        <f>IF(E28=1,(MIN(Вес1,Вес2,Вес3,Вес4,Вес5,Вес6))*((100/MIN(Вес1,Вес2,Вес3,Вес4,Вес5,Вес6))/AU28*Вес4/MIN(Вес1,Вес2,Вес3,Вес4,Вес5,Вес6)),"")</f>
        <v>10</v>
      </c>
      <c r="AA28" s="10">
        <f>IF(Z28="","не применяется",IF(W28=0,"не применяется",Z28*Y28/100))</f>
        <v>10</v>
      </c>
      <c r="AB28" s="10">
        <f>IF(ISNUMBER(AA28),AA28,"")</f>
        <v>10</v>
      </c>
      <c r="AC28" s="56">
        <v>1</v>
      </c>
      <c r="AD28" s="56">
        <v>0.75</v>
      </c>
      <c r="AE28" s="10">
        <f>AD28*100</f>
        <v>75</v>
      </c>
      <c r="AF28" s="10">
        <f>IF(E28=1,(MIN(Вес1,Вес2,Вес3,Вес4,Вес5,Вес6))*((100/MIN(Вес1,Вес2,Вес3,Вес4,Вес5,Вес6))/AU28*Вес5/MIN(Вес1,Вес2,Вес3,Вес4,Вес5,Вес6)),"")</f>
        <v>5</v>
      </c>
      <c r="AG28" s="10">
        <f>IF(AF28="","не применяется",IF(AC28=0,"не применяется",AF28*AE28/100))</f>
        <v>3.75</v>
      </c>
      <c r="AH28" s="10">
        <f>IF(ISNUMBER(AG28),AG28,"")</f>
        <v>3.75</v>
      </c>
      <c r="AI28" s="56">
        <v>1</v>
      </c>
      <c r="AJ28" s="56">
        <v>1</v>
      </c>
      <c r="AK28" s="10">
        <f>AJ28*100</f>
        <v>100</v>
      </c>
      <c r="AL28" s="10">
        <f>IF(E28=1,(MIN(Вес1,Вес2,Вес3,Вес4,Вес5,Вес6))*((100/MIN(Вес1,Вес2,Вес3,Вес4,Вес5,Вес6))/AU28*Вес6/MIN(Вес1,Вес2,Вес3,Вес4,Вес5,Вес6)),"")</f>
        <v>5</v>
      </c>
      <c r="AM28" s="10">
        <f>IF(AL28="","не применяется",IF(AI28=0,"не применяется",AL28*AK28/100))</f>
        <v>5</v>
      </c>
      <c r="AN28" s="10">
        <f>IF(ISNUMBER(AM28),AM28,"")</f>
        <v>5</v>
      </c>
      <c r="AO28" s="16">
        <f>IF(E28=1,Вес1/MIN(Вес1,Вес2,Вес3,Вес4,Вес5,Вес6),"")</f>
        <v>10</v>
      </c>
      <c r="AP28" s="16">
        <f>IF(K28=1,Вес2/MIN(Вес1,Вес2,Вес3,Вес4,Вес5,Вес6),"")</f>
        <v>3</v>
      </c>
      <c r="AQ28" s="10">
        <f>IF(Q28=1,Вес3/MIN(Вес1,Вес2,Вес3,Вес4,Вес5,Вес6),"")</f>
        <v>3</v>
      </c>
      <c r="AR28" s="10">
        <f>IF(W28=1,Вес4/MIN(Вес1,Вес2,Вес3,Вес4,Вес5,Вес6),"")</f>
        <v>2</v>
      </c>
      <c r="AS28" s="10">
        <f>IF(AC28=1,Вес5/MIN(Вес1,Вес2,Вес3,Вес4,Вес5,Вес6),"")</f>
        <v>1</v>
      </c>
      <c r="AT28" s="10">
        <f>IF(AI28=1,Вес6/MIN(Вес1,Вес2,Вес3,Вес4,Вес5,Вес6),"")</f>
        <v>1</v>
      </c>
      <c r="AU28" s="16">
        <f>SUM(AO28:AT28)</f>
        <v>20</v>
      </c>
    </row>
    <row r="29" spans="1:47" x14ac:dyDescent="0.2">
      <c r="A29" s="1" t="s">
        <v>111</v>
      </c>
      <c r="B29" s="9" t="s">
        <v>29</v>
      </c>
      <c r="C29" s="10">
        <f>IF(D29&lt;&gt;1,"",SUM(J29,P29,V29,AB29,AH29,AN29))</f>
        <v>71.137500000000003</v>
      </c>
      <c r="D29" s="10">
        <f>IF(SUM(E29,K29,Q29,W29,AC29,AI29)=0,0,1)</f>
        <v>1</v>
      </c>
      <c r="E29" s="56">
        <v>1</v>
      </c>
      <c r="F29" s="55">
        <v>0.80900000000000005</v>
      </c>
      <c r="G29" s="15">
        <f>F29*100</f>
        <v>80.900000000000006</v>
      </c>
      <c r="H29" s="16">
        <f>IF(E29=1,(MIN(Вес1,Вес2,Вес3,Вес4,Вес5,Вес6))*((100/MIN(Вес1,Вес2,Вес3,Вес4,Вес5,Вес6))/AU29*Вес1/MIN(Вес1,Вес2,Вес3,Вес4,Вес5,Вес6)),"")</f>
        <v>50</v>
      </c>
      <c r="I29" s="16">
        <f>IF(H29="","не применяется",IF(E29=0,"не применяется",H29*G29/100))</f>
        <v>40.450000000000003</v>
      </c>
      <c r="J29" s="16">
        <f>IF(ISNUMBER(I29),I29,"")</f>
        <v>40.450000000000003</v>
      </c>
      <c r="K29" s="56">
        <v>1</v>
      </c>
      <c r="L29" s="55">
        <v>0.5625</v>
      </c>
      <c r="M29" s="15">
        <f>L29*100</f>
        <v>56.25</v>
      </c>
      <c r="N29" s="16">
        <f>IF(E29=1,(MIN(Вес1,Вес2,Вес3,Вес4,Вес5,Вес6))*((100/MIN(Вес1,Вес2,Вес3,Вес4,Вес5,Вес6))/AU29*Вес2/MIN(Вес1,Вес2,Вес3,Вес4,Вес5,Вес6)),"")</f>
        <v>15</v>
      </c>
      <c r="O29" s="16">
        <f>IF(N29="","не применяется",IF(K29=0,"не применяется",N29*M29/100))</f>
        <v>8.4375</v>
      </c>
      <c r="P29" s="16">
        <f>IF(ISNUMBER(O29),O29,"")</f>
        <v>8.4375</v>
      </c>
      <c r="Q29" s="56">
        <v>1</v>
      </c>
      <c r="R29" s="56">
        <v>0.15</v>
      </c>
      <c r="S29" s="10">
        <f>R29*100</f>
        <v>15</v>
      </c>
      <c r="T29" s="10">
        <f>IF(E29=1,(MIN(Вес1,Вес2,Вес3,Вес4,Вес5,Вес6))*((100/MIN(Вес1,Вес2,Вес3,Вес4,Вес5,Вес6))/AU29*Вес3/MIN(Вес1,Вес2,Вес3,Вес4,Вес5,Вес6)),"")</f>
        <v>15</v>
      </c>
      <c r="U29" s="10">
        <f>IF(T29="","не применяется",IF(Q29=0,"не применяется",T29*S29/100))</f>
        <v>2.25</v>
      </c>
      <c r="V29" s="10">
        <f>IF(ISNUMBER(U29),U29,"")</f>
        <v>2.25</v>
      </c>
      <c r="W29" s="56">
        <v>1</v>
      </c>
      <c r="X29" s="56">
        <v>1</v>
      </c>
      <c r="Y29" s="10">
        <f>X29*100</f>
        <v>100</v>
      </c>
      <c r="Z29" s="10">
        <f>IF(E29=1,(MIN(Вес1,Вес2,Вес3,Вес4,Вес5,Вес6))*((100/MIN(Вес1,Вес2,Вес3,Вес4,Вес5,Вес6))/AU29*Вес4/MIN(Вес1,Вес2,Вес3,Вес4,Вес5,Вес6)),"")</f>
        <v>10</v>
      </c>
      <c r="AA29" s="10">
        <f>IF(Z29="","не применяется",IF(W29=0,"не применяется",Z29*Y29/100))</f>
        <v>10</v>
      </c>
      <c r="AB29" s="10">
        <f>IF(ISNUMBER(AA29),AA29,"")</f>
        <v>10</v>
      </c>
      <c r="AC29" s="56">
        <v>1</v>
      </c>
      <c r="AD29" s="56">
        <v>1</v>
      </c>
      <c r="AE29" s="10">
        <f>AD29*100</f>
        <v>100</v>
      </c>
      <c r="AF29" s="10">
        <f>IF(E29=1,(MIN(Вес1,Вес2,Вес3,Вес4,Вес5,Вес6))*((100/MIN(Вес1,Вес2,Вес3,Вес4,Вес5,Вес6))/AU29*Вес5/MIN(Вес1,Вес2,Вес3,Вес4,Вес5,Вес6)),"")</f>
        <v>5</v>
      </c>
      <c r="AG29" s="10">
        <f>IF(AF29="","не применяется",IF(AC29=0,"не применяется",AF29*AE29/100))</f>
        <v>5</v>
      </c>
      <c r="AH29" s="10">
        <f>IF(ISNUMBER(AG29),AG29,"")</f>
        <v>5</v>
      </c>
      <c r="AI29" s="56">
        <v>1</v>
      </c>
      <c r="AJ29" s="56">
        <v>1</v>
      </c>
      <c r="AK29" s="10">
        <f>AJ29*100</f>
        <v>100</v>
      </c>
      <c r="AL29" s="10">
        <f>IF(E29=1,(MIN(Вес1,Вес2,Вес3,Вес4,Вес5,Вес6))*((100/MIN(Вес1,Вес2,Вес3,Вес4,Вес5,Вес6))/AU29*Вес6/MIN(Вес1,Вес2,Вес3,Вес4,Вес5,Вес6)),"")</f>
        <v>5</v>
      </c>
      <c r="AM29" s="10">
        <f>IF(AL29="","не применяется",IF(AI29=0,"не применяется",AL29*AK29/100))</f>
        <v>5</v>
      </c>
      <c r="AN29" s="10">
        <f>IF(ISNUMBER(AM29),AM29,"")</f>
        <v>5</v>
      </c>
      <c r="AO29" s="16">
        <f>IF(E29=1,Вес1/MIN(Вес1,Вес2,Вес3,Вес4,Вес5,Вес6),"")</f>
        <v>10</v>
      </c>
      <c r="AP29" s="16">
        <f>IF(K29=1,Вес2/MIN(Вес1,Вес2,Вес3,Вес4,Вес5,Вес6),"")</f>
        <v>3</v>
      </c>
      <c r="AQ29" s="10">
        <f>IF(Q29=1,Вес3/MIN(Вес1,Вес2,Вес3,Вес4,Вес5,Вес6),"")</f>
        <v>3</v>
      </c>
      <c r="AR29" s="10">
        <f>IF(W29=1,Вес4/MIN(Вес1,Вес2,Вес3,Вес4,Вес5,Вес6),"")</f>
        <v>2</v>
      </c>
      <c r="AS29" s="10">
        <f>IF(AC29=1,Вес5/MIN(Вес1,Вес2,Вес3,Вес4,Вес5,Вес6),"")</f>
        <v>1</v>
      </c>
      <c r="AT29" s="10">
        <f>IF(AI29=1,Вес6/MIN(Вес1,Вес2,Вес3,Вес4,Вес5,Вес6),"")</f>
        <v>1</v>
      </c>
      <c r="AU29" s="16">
        <f>SUM(AO29:AT29)</f>
        <v>20</v>
      </c>
    </row>
    <row r="30" spans="1:47" x14ac:dyDescent="0.2">
      <c r="A30" s="1" t="s">
        <v>112</v>
      </c>
      <c r="B30" s="9" t="s">
        <v>30</v>
      </c>
      <c r="C30" s="10">
        <f>IF(D30&lt;&gt;1,"",SUM(J30,P30,V30,AB30,AH30,AN30))</f>
        <v>84.512500000000003</v>
      </c>
      <c r="D30" s="10">
        <f>IF(SUM(E30,K30,Q30,W30,AC30,AI30)=0,0,1)</f>
        <v>1</v>
      </c>
      <c r="E30" s="56">
        <v>1</v>
      </c>
      <c r="F30" s="55">
        <v>0.85150000000000003</v>
      </c>
      <c r="G30" s="15">
        <f>F30*100</f>
        <v>85.15</v>
      </c>
      <c r="H30" s="16">
        <f>IF(E30=1,(MIN(Вес1,Вес2,Вес3,Вес4,Вес5,Вес6))*((100/MIN(Вес1,Вес2,Вес3,Вес4,Вес5,Вес6))/AU30*Вес1/MIN(Вес1,Вес2,Вес3,Вес4,Вес5,Вес6)),"")</f>
        <v>50</v>
      </c>
      <c r="I30" s="16">
        <f>IF(H30="","не применяется",IF(E30=0,"не применяется",H30*G30/100))</f>
        <v>42.575000000000003</v>
      </c>
      <c r="J30" s="16">
        <f>IF(ISNUMBER(I30),I30,"")</f>
        <v>42.575000000000003</v>
      </c>
      <c r="K30" s="56">
        <v>1</v>
      </c>
      <c r="L30" s="55">
        <v>0.8125</v>
      </c>
      <c r="M30" s="15">
        <f>L30*100</f>
        <v>81.25</v>
      </c>
      <c r="N30" s="16">
        <f>IF(E30=1,(MIN(Вес1,Вес2,Вес3,Вес4,Вес5,Вес6))*((100/MIN(Вес1,Вес2,Вес3,Вес4,Вес5,Вес6))/AU30*Вес2/MIN(Вес1,Вес2,Вес3,Вес4,Вес5,Вес6)),"")</f>
        <v>15</v>
      </c>
      <c r="O30" s="16">
        <f>IF(N30="","не применяется",IF(K30=0,"не применяется",N30*M30/100))</f>
        <v>12.1875</v>
      </c>
      <c r="P30" s="16">
        <f>IF(ISNUMBER(O30),O30,"")</f>
        <v>12.1875</v>
      </c>
      <c r="Q30" s="56">
        <v>1</v>
      </c>
      <c r="R30" s="56">
        <v>0.65</v>
      </c>
      <c r="S30" s="10">
        <f>R30*100</f>
        <v>65</v>
      </c>
      <c r="T30" s="10">
        <f>IF(E30=1,(MIN(Вес1,Вес2,Вес3,Вес4,Вес5,Вес6))*((100/MIN(Вес1,Вес2,Вес3,Вес4,Вес5,Вес6))/AU30*Вес3/MIN(Вес1,Вес2,Вес3,Вес4,Вес5,Вес6)),"")</f>
        <v>15</v>
      </c>
      <c r="U30" s="10">
        <f>IF(T30="","не применяется",IF(Q30=0,"не применяется",T30*S30/100))</f>
        <v>9.75</v>
      </c>
      <c r="V30" s="10">
        <f>IF(ISNUMBER(U30),U30,"")</f>
        <v>9.75</v>
      </c>
      <c r="W30" s="56">
        <v>1</v>
      </c>
      <c r="X30" s="56">
        <v>1</v>
      </c>
      <c r="Y30" s="10">
        <f>X30*100</f>
        <v>100</v>
      </c>
      <c r="Z30" s="10">
        <f>IF(E30=1,(MIN(Вес1,Вес2,Вес3,Вес4,Вес5,Вес6))*((100/MIN(Вес1,Вес2,Вес3,Вес4,Вес5,Вес6))/AU30*Вес4/MIN(Вес1,Вес2,Вес3,Вес4,Вес5,Вес6)),"")</f>
        <v>10</v>
      </c>
      <c r="AA30" s="10">
        <f>IF(Z30="","не применяется",IF(W30=0,"не применяется",Z30*Y30/100))</f>
        <v>10</v>
      </c>
      <c r="AB30" s="10">
        <f>IF(ISNUMBER(AA30),AA30,"")</f>
        <v>10</v>
      </c>
      <c r="AC30" s="56">
        <v>1</v>
      </c>
      <c r="AD30" s="56">
        <v>1</v>
      </c>
      <c r="AE30" s="10">
        <f>AD30*100</f>
        <v>100</v>
      </c>
      <c r="AF30" s="10">
        <f>IF(E30=1,(MIN(Вес1,Вес2,Вес3,Вес4,Вес5,Вес6))*((100/MIN(Вес1,Вес2,Вес3,Вес4,Вес5,Вес6))/AU30*Вес5/MIN(Вес1,Вес2,Вес3,Вес4,Вес5,Вес6)),"")</f>
        <v>5</v>
      </c>
      <c r="AG30" s="10">
        <f>IF(AF30="","не применяется",IF(AC30=0,"не применяется",AF30*AE30/100))</f>
        <v>5</v>
      </c>
      <c r="AH30" s="10">
        <f>IF(ISNUMBER(AG30),AG30,"")</f>
        <v>5</v>
      </c>
      <c r="AI30" s="56">
        <v>1</v>
      </c>
      <c r="AJ30" s="56">
        <v>1</v>
      </c>
      <c r="AK30" s="10">
        <f>AJ30*100</f>
        <v>100</v>
      </c>
      <c r="AL30" s="10">
        <f>IF(E30=1,(MIN(Вес1,Вес2,Вес3,Вес4,Вес5,Вес6))*((100/MIN(Вес1,Вес2,Вес3,Вес4,Вес5,Вес6))/AU30*Вес6/MIN(Вес1,Вес2,Вес3,Вес4,Вес5,Вес6)),"")</f>
        <v>5</v>
      </c>
      <c r="AM30" s="10">
        <f>IF(AL30="","не применяется",IF(AI30=0,"не применяется",AL30*AK30/100))</f>
        <v>5</v>
      </c>
      <c r="AN30" s="10">
        <f>IF(ISNUMBER(AM30),AM30,"")</f>
        <v>5</v>
      </c>
      <c r="AO30" s="16">
        <f>IF(E30=1,Вес1/MIN(Вес1,Вес2,Вес3,Вес4,Вес5,Вес6),"")</f>
        <v>10</v>
      </c>
      <c r="AP30" s="16">
        <f>IF(K30=1,Вес2/MIN(Вес1,Вес2,Вес3,Вес4,Вес5,Вес6),"")</f>
        <v>3</v>
      </c>
      <c r="AQ30" s="10">
        <f>IF(Q30=1,Вес3/MIN(Вес1,Вес2,Вес3,Вес4,Вес5,Вес6),"")</f>
        <v>3</v>
      </c>
      <c r="AR30" s="10">
        <f>IF(W30=1,Вес4/MIN(Вес1,Вес2,Вес3,Вес4,Вес5,Вес6),"")</f>
        <v>2</v>
      </c>
      <c r="AS30" s="10">
        <f>IF(AC30=1,Вес5/MIN(Вес1,Вес2,Вес3,Вес4,Вес5,Вес6),"")</f>
        <v>1</v>
      </c>
      <c r="AT30" s="10">
        <f>IF(AI30=1,Вес6/MIN(Вес1,Вес2,Вес3,Вес4,Вес5,Вес6),"")</f>
        <v>1</v>
      </c>
      <c r="AU30" s="16">
        <f>SUM(AO30:AT30)</f>
        <v>20</v>
      </c>
    </row>
    <row r="31" spans="1:47" x14ac:dyDescent="0.2">
      <c r="A31" s="1" t="s">
        <v>113</v>
      </c>
      <c r="B31" s="9" t="s">
        <v>31</v>
      </c>
      <c r="C31" s="10">
        <f>IF(D31&lt;&gt;1,"",SUM(J31,P31,V31,AB31,AH31,AN31))</f>
        <v>80.422499999999999</v>
      </c>
      <c r="D31" s="10">
        <f>IF(SUM(E31,K31,Q31,W31,AC31,AI31)=0,0,1)</f>
        <v>1</v>
      </c>
      <c r="E31" s="56">
        <v>1</v>
      </c>
      <c r="F31" s="55">
        <v>0.84470000000000001</v>
      </c>
      <c r="G31" s="15">
        <f>F31*100</f>
        <v>84.47</v>
      </c>
      <c r="H31" s="16">
        <f>IF(E31=1,(MIN(Вес1,Вес2,Вес3,Вес4,Вес5,Вес6))*((100/MIN(Вес1,Вес2,Вес3,Вес4,Вес5,Вес6))/AU31*Вес1/MIN(Вес1,Вес2,Вес3,Вес4,Вес5,Вес6)),"")</f>
        <v>50</v>
      </c>
      <c r="I31" s="16">
        <f>IF(H31="","не применяется",IF(E31=0,"не применяется",H31*G31/100))</f>
        <v>42.234999999999999</v>
      </c>
      <c r="J31" s="16">
        <f>IF(ISNUMBER(I31),I31,"")</f>
        <v>42.234999999999999</v>
      </c>
      <c r="K31" s="56">
        <v>1</v>
      </c>
      <c r="L31" s="55">
        <v>0.5625</v>
      </c>
      <c r="M31" s="15">
        <f>L31*100</f>
        <v>56.25</v>
      </c>
      <c r="N31" s="16">
        <f>IF(E31=1,(MIN(Вес1,Вес2,Вес3,Вес4,Вес5,Вес6))*((100/MIN(Вес1,Вес2,Вес3,Вес4,Вес5,Вес6))/AU31*Вес2/MIN(Вес1,Вес2,Вес3,Вес4,Вес5,Вес6)),"")</f>
        <v>15</v>
      </c>
      <c r="O31" s="16">
        <f>IF(N31="","не применяется",IF(K31=0,"не применяется",N31*M31/100))</f>
        <v>8.4375</v>
      </c>
      <c r="P31" s="16">
        <f>IF(ISNUMBER(O31),O31,"")</f>
        <v>8.4375</v>
      </c>
      <c r="Q31" s="56">
        <v>1</v>
      </c>
      <c r="R31" s="56">
        <v>0.65</v>
      </c>
      <c r="S31" s="10">
        <f>R31*100</f>
        <v>65</v>
      </c>
      <c r="T31" s="10">
        <f>IF(E31=1,(MIN(Вес1,Вес2,Вес3,Вес4,Вес5,Вес6))*((100/MIN(Вес1,Вес2,Вес3,Вес4,Вес5,Вес6))/AU31*Вес3/MIN(Вес1,Вес2,Вес3,Вес4,Вес5,Вес6)),"")</f>
        <v>15</v>
      </c>
      <c r="U31" s="10">
        <f>IF(T31="","не применяется",IF(Q31=0,"не применяется",T31*S31/100))</f>
        <v>9.75</v>
      </c>
      <c r="V31" s="10">
        <f>IF(ISNUMBER(U31),U31,"")</f>
        <v>9.75</v>
      </c>
      <c r="W31" s="56">
        <v>1</v>
      </c>
      <c r="X31" s="56">
        <v>1</v>
      </c>
      <c r="Y31" s="10">
        <f>X31*100</f>
        <v>100</v>
      </c>
      <c r="Z31" s="10">
        <f>IF(E31=1,(MIN(Вес1,Вес2,Вес3,Вес4,Вес5,Вес6))*((100/MIN(Вес1,Вес2,Вес3,Вес4,Вес5,Вес6))/AU31*Вес4/MIN(Вес1,Вес2,Вес3,Вес4,Вес5,Вес6)),"")</f>
        <v>10</v>
      </c>
      <c r="AA31" s="10">
        <f>IF(Z31="","не применяется",IF(W31=0,"не применяется",Z31*Y31/100))</f>
        <v>10</v>
      </c>
      <c r="AB31" s="10">
        <f>IF(ISNUMBER(AA31),AA31,"")</f>
        <v>10</v>
      </c>
      <c r="AC31" s="56">
        <v>1</v>
      </c>
      <c r="AD31" s="56">
        <v>1</v>
      </c>
      <c r="AE31" s="10">
        <f>AD31*100</f>
        <v>100</v>
      </c>
      <c r="AF31" s="10">
        <f>IF(E31=1,(MIN(Вес1,Вес2,Вес3,Вес4,Вес5,Вес6))*((100/MIN(Вес1,Вес2,Вес3,Вес4,Вес5,Вес6))/AU31*Вес5/MIN(Вес1,Вес2,Вес3,Вес4,Вес5,Вес6)),"")</f>
        <v>5</v>
      </c>
      <c r="AG31" s="10">
        <f>IF(AF31="","не применяется",IF(AC31=0,"не применяется",AF31*AE31/100))</f>
        <v>5</v>
      </c>
      <c r="AH31" s="10">
        <f>IF(ISNUMBER(AG31),AG31,"")</f>
        <v>5</v>
      </c>
      <c r="AI31" s="56">
        <v>1</v>
      </c>
      <c r="AJ31" s="56">
        <v>1</v>
      </c>
      <c r="AK31" s="10">
        <f>AJ31*100</f>
        <v>100</v>
      </c>
      <c r="AL31" s="10">
        <f>IF(E31=1,(MIN(Вес1,Вес2,Вес3,Вес4,Вес5,Вес6))*((100/MIN(Вес1,Вес2,Вес3,Вес4,Вес5,Вес6))/AU31*Вес6/MIN(Вес1,Вес2,Вес3,Вес4,Вес5,Вес6)),"")</f>
        <v>5</v>
      </c>
      <c r="AM31" s="10">
        <f>IF(AL31="","не применяется",IF(AI31=0,"не применяется",AL31*AK31/100))</f>
        <v>5</v>
      </c>
      <c r="AN31" s="10">
        <f>IF(ISNUMBER(AM31),AM31,"")</f>
        <v>5</v>
      </c>
      <c r="AO31" s="16">
        <f>IF(E31=1,Вес1/MIN(Вес1,Вес2,Вес3,Вес4,Вес5,Вес6),"")</f>
        <v>10</v>
      </c>
      <c r="AP31" s="16">
        <f>IF(K31=1,Вес2/MIN(Вес1,Вес2,Вес3,Вес4,Вес5,Вес6),"")</f>
        <v>3</v>
      </c>
      <c r="AQ31" s="10">
        <f>IF(Q31=1,Вес3/MIN(Вес1,Вес2,Вес3,Вес4,Вес5,Вес6),"")</f>
        <v>3</v>
      </c>
      <c r="AR31" s="10">
        <f>IF(W31=1,Вес4/MIN(Вес1,Вес2,Вес3,Вес4,Вес5,Вес6),"")</f>
        <v>2</v>
      </c>
      <c r="AS31" s="10">
        <f>IF(AC31=1,Вес5/MIN(Вес1,Вес2,Вес3,Вес4,Вес5,Вес6),"")</f>
        <v>1</v>
      </c>
      <c r="AT31" s="10">
        <f>IF(AI31=1,Вес6/MIN(Вес1,Вес2,Вес3,Вес4,Вес5,Вес6),"")</f>
        <v>1</v>
      </c>
      <c r="AU31" s="16">
        <f>SUM(AO31:AT31)</f>
        <v>20</v>
      </c>
    </row>
    <row r="32" spans="1:47" x14ac:dyDescent="0.2">
      <c r="A32" s="1" t="s">
        <v>114</v>
      </c>
      <c r="B32" s="9" t="s">
        <v>32</v>
      </c>
      <c r="C32" s="10">
        <f>IF(D32&lt;&gt;1,"",SUM(J32,P32,V32,AB32,AH32,AN32))</f>
        <v>81.527500000000003</v>
      </c>
      <c r="D32" s="10">
        <f>IF(SUM(E32,K32,Q32,W32,AC32,AI32)=0,0,1)</f>
        <v>1</v>
      </c>
      <c r="E32" s="56">
        <v>1</v>
      </c>
      <c r="F32" s="55">
        <v>0.87929999999999997</v>
      </c>
      <c r="G32" s="15">
        <f>F32*100</f>
        <v>87.929999999999993</v>
      </c>
      <c r="H32" s="16">
        <f>IF(E32=1,(MIN(Вес1,Вес2,Вес3,Вес4,Вес5,Вес6))*((100/MIN(Вес1,Вес2,Вес3,Вес4,Вес5,Вес6))/AU32*Вес1/MIN(Вес1,Вес2,Вес3,Вес4,Вес5,Вес6)),"")</f>
        <v>50</v>
      </c>
      <c r="I32" s="16">
        <f>IF(H32="","не применяется",IF(E32=0,"не применяется",H32*G32/100))</f>
        <v>43.965000000000003</v>
      </c>
      <c r="J32" s="16">
        <f>IF(ISNUMBER(I32),I32,"")</f>
        <v>43.965000000000003</v>
      </c>
      <c r="K32" s="56">
        <v>1</v>
      </c>
      <c r="L32" s="55">
        <v>0.6875</v>
      </c>
      <c r="M32" s="15">
        <f>L32*100</f>
        <v>68.75</v>
      </c>
      <c r="N32" s="16">
        <f>IF(E32=1,(MIN(Вес1,Вес2,Вес3,Вес4,Вес5,Вес6))*((100/MIN(Вес1,Вес2,Вес3,Вес4,Вес5,Вес6))/AU32*Вес2/MIN(Вес1,Вес2,Вес3,Вес4,Вес5,Вес6)),"")</f>
        <v>15</v>
      </c>
      <c r="O32" s="16">
        <f>IF(N32="","не применяется",IF(K32=0,"не применяется",N32*M32/100))</f>
        <v>10.3125</v>
      </c>
      <c r="P32" s="16">
        <f>IF(ISNUMBER(O32),O32,"")</f>
        <v>10.3125</v>
      </c>
      <c r="Q32" s="56">
        <v>1</v>
      </c>
      <c r="R32" s="56">
        <v>0.65</v>
      </c>
      <c r="S32" s="10">
        <f>R32*100</f>
        <v>65</v>
      </c>
      <c r="T32" s="10">
        <f>IF(E32=1,(MIN(Вес1,Вес2,Вес3,Вес4,Вес5,Вес6))*((100/MIN(Вес1,Вес2,Вес3,Вес4,Вес5,Вес6))/AU32*Вес3/MIN(Вес1,Вес2,Вес3,Вес4,Вес5,Вес6)),"")</f>
        <v>15</v>
      </c>
      <c r="U32" s="10">
        <f>IF(T32="","не применяется",IF(Q32=0,"не применяется",T32*S32/100))</f>
        <v>9.75</v>
      </c>
      <c r="V32" s="10">
        <f>IF(ISNUMBER(U32),U32,"")</f>
        <v>9.75</v>
      </c>
      <c r="W32" s="56">
        <v>1</v>
      </c>
      <c r="X32" s="56">
        <v>1</v>
      </c>
      <c r="Y32" s="10">
        <f>X32*100</f>
        <v>100</v>
      </c>
      <c r="Z32" s="10">
        <f>IF(E32=1,(MIN(Вес1,Вес2,Вес3,Вес4,Вес5,Вес6))*((100/MIN(Вес1,Вес2,Вес3,Вес4,Вес5,Вес6))/AU32*Вес4/MIN(Вес1,Вес2,Вес3,Вес4,Вес5,Вес6)),"")</f>
        <v>10</v>
      </c>
      <c r="AA32" s="10">
        <f>IF(Z32="","не применяется",IF(W32=0,"не применяется",Z32*Y32/100))</f>
        <v>10</v>
      </c>
      <c r="AB32" s="10">
        <f>IF(ISNUMBER(AA32),AA32,"")</f>
        <v>10</v>
      </c>
      <c r="AC32" s="56">
        <v>1</v>
      </c>
      <c r="AD32" s="56">
        <v>1</v>
      </c>
      <c r="AE32" s="10">
        <f>AD32*100</f>
        <v>100</v>
      </c>
      <c r="AF32" s="10">
        <f>IF(E32=1,(MIN(Вес1,Вес2,Вес3,Вес4,Вес5,Вес6))*((100/MIN(Вес1,Вес2,Вес3,Вес4,Вес5,Вес6))/AU32*Вес5/MIN(Вес1,Вес2,Вес3,Вес4,Вес5,Вес6)),"")</f>
        <v>5</v>
      </c>
      <c r="AG32" s="10">
        <f>IF(AF32="","не применяется",IF(AC32=0,"не применяется",AF32*AE32/100))</f>
        <v>5</v>
      </c>
      <c r="AH32" s="10">
        <f>IF(ISNUMBER(AG32),AG32,"")</f>
        <v>5</v>
      </c>
      <c r="AI32" s="56">
        <v>1</v>
      </c>
      <c r="AJ32" s="56">
        <v>0.5</v>
      </c>
      <c r="AK32" s="10">
        <f>AJ32*100</f>
        <v>50</v>
      </c>
      <c r="AL32" s="10">
        <f>IF(E32=1,(MIN(Вес1,Вес2,Вес3,Вес4,Вес5,Вес6))*((100/MIN(Вес1,Вес2,Вес3,Вес4,Вес5,Вес6))/AU32*Вес6/MIN(Вес1,Вес2,Вес3,Вес4,Вес5,Вес6)),"")</f>
        <v>5</v>
      </c>
      <c r="AM32" s="10">
        <f>IF(AL32="","не применяется",IF(AI32=0,"не применяется",AL32*AK32/100))</f>
        <v>2.5</v>
      </c>
      <c r="AN32" s="10">
        <f>IF(ISNUMBER(AM32),AM32,"")</f>
        <v>2.5</v>
      </c>
      <c r="AO32" s="16">
        <f>IF(E32=1,Вес1/MIN(Вес1,Вес2,Вес3,Вес4,Вес5,Вес6),"")</f>
        <v>10</v>
      </c>
      <c r="AP32" s="16">
        <f>IF(K32=1,Вес2/MIN(Вес1,Вес2,Вес3,Вес4,Вес5,Вес6),"")</f>
        <v>3</v>
      </c>
      <c r="AQ32" s="10">
        <f>IF(Q32=1,Вес3/MIN(Вес1,Вес2,Вес3,Вес4,Вес5,Вес6),"")</f>
        <v>3</v>
      </c>
      <c r="AR32" s="10">
        <f>IF(W32=1,Вес4/MIN(Вес1,Вес2,Вес3,Вес4,Вес5,Вес6),"")</f>
        <v>2</v>
      </c>
      <c r="AS32" s="10">
        <f>IF(AC32=1,Вес5/MIN(Вес1,Вес2,Вес3,Вес4,Вес5,Вес6),"")</f>
        <v>1</v>
      </c>
      <c r="AT32" s="10">
        <f>IF(AI32=1,Вес6/MIN(Вес1,Вес2,Вес3,Вес4,Вес5,Вес6),"")</f>
        <v>1</v>
      </c>
      <c r="AU32" s="16">
        <f>SUM(AO32:AT32)</f>
        <v>20</v>
      </c>
    </row>
    <row r="33" spans="1:47" ht="25.5" x14ac:dyDescent="0.2">
      <c r="A33" s="1" t="s">
        <v>115</v>
      </c>
      <c r="B33" s="9" t="s">
        <v>33</v>
      </c>
      <c r="C33" s="10">
        <f>IF(D33&lt;&gt;1,"",SUM(J33,P33,V33,AB33,AH33,AN33))</f>
        <v>85.68</v>
      </c>
      <c r="D33" s="10">
        <f>IF(SUM(E33,K33,Q33,W33,AC33,AI33)=0,0,1)</f>
        <v>1</v>
      </c>
      <c r="E33" s="56">
        <v>1</v>
      </c>
      <c r="F33" s="55">
        <v>0.71360000000000001</v>
      </c>
      <c r="G33" s="15">
        <f>F33*100</f>
        <v>71.36</v>
      </c>
      <c r="H33" s="16">
        <f>IF(E33=1,(MIN(Вес1,Вес2,Вес3,Вес4,Вес5,Вес6))*((100/MIN(Вес1,Вес2,Вес3,Вес4,Вес5,Вес6))/AU33*Вес1/MIN(Вес1,Вес2,Вес3,Вес4,Вес5,Вес6)),"")</f>
        <v>50</v>
      </c>
      <c r="I33" s="16">
        <f>IF(H33="","не применяется",IF(E33=0,"не применяется",H33*G33/100))</f>
        <v>35.68</v>
      </c>
      <c r="J33" s="16">
        <f>IF(ISNUMBER(I33),I33,"")</f>
        <v>35.68</v>
      </c>
      <c r="K33" s="56">
        <v>1</v>
      </c>
      <c r="L33" s="55">
        <v>1</v>
      </c>
      <c r="M33" s="15">
        <f>L33*100</f>
        <v>100</v>
      </c>
      <c r="N33" s="16">
        <f>IF(E33=1,(MIN(Вес1,Вес2,Вес3,Вес4,Вес5,Вес6))*((100/MIN(Вес1,Вес2,Вес3,Вес4,Вес5,Вес6))/AU33*Вес2/MIN(Вес1,Вес2,Вес3,Вес4,Вес5,Вес6)),"")</f>
        <v>15</v>
      </c>
      <c r="O33" s="16">
        <f>IF(N33="","не применяется",IF(K33=0,"не применяется",N33*M33/100))</f>
        <v>15</v>
      </c>
      <c r="P33" s="16">
        <f>IF(ISNUMBER(O33),O33,"")</f>
        <v>15</v>
      </c>
      <c r="Q33" s="56">
        <v>1</v>
      </c>
      <c r="R33" s="56">
        <v>1</v>
      </c>
      <c r="S33" s="10">
        <f>R33*100</f>
        <v>100</v>
      </c>
      <c r="T33" s="10">
        <f>IF(E33=1,(MIN(Вес1,Вес2,Вес3,Вес4,Вес5,Вес6))*((100/MIN(Вес1,Вес2,Вес3,Вес4,Вес5,Вес6))/AU33*Вес3/MIN(Вес1,Вес2,Вес3,Вес4,Вес5,Вес6)),"")</f>
        <v>15</v>
      </c>
      <c r="U33" s="10">
        <f>IF(T33="","не применяется",IF(Q33=0,"не применяется",T33*S33/100))</f>
        <v>15</v>
      </c>
      <c r="V33" s="10">
        <f>IF(ISNUMBER(U33),U33,"")</f>
        <v>15</v>
      </c>
      <c r="W33" s="56">
        <v>1</v>
      </c>
      <c r="X33" s="56">
        <v>1</v>
      </c>
      <c r="Y33" s="10">
        <f>X33*100</f>
        <v>100</v>
      </c>
      <c r="Z33" s="10">
        <f>IF(E33=1,(MIN(Вес1,Вес2,Вес3,Вес4,Вес5,Вес6))*((100/MIN(Вес1,Вес2,Вес3,Вес4,Вес5,Вес6))/AU33*Вес4/MIN(Вес1,Вес2,Вес3,Вес4,Вес5,Вес6)),"")</f>
        <v>10</v>
      </c>
      <c r="AA33" s="10">
        <f>IF(Z33="","не применяется",IF(W33=0,"не применяется",Z33*Y33/100))</f>
        <v>10</v>
      </c>
      <c r="AB33" s="10">
        <f>IF(ISNUMBER(AA33),AA33,"")</f>
        <v>10</v>
      </c>
      <c r="AC33" s="56">
        <v>1</v>
      </c>
      <c r="AD33" s="56">
        <v>1</v>
      </c>
      <c r="AE33" s="10">
        <f>AD33*100</f>
        <v>100</v>
      </c>
      <c r="AF33" s="10">
        <f>IF(E33=1,(MIN(Вес1,Вес2,Вес3,Вес4,Вес5,Вес6))*((100/MIN(Вес1,Вес2,Вес3,Вес4,Вес5,Вес6))/AU33*Вес5/MIN(Вес1,Вес2,Вес3,Вес4,Вес5,Вес6)),"")</f>
        <v>5</v>
      </c>
      <c r="AG33" s="10">
        <f>IF(AF33="","не применяется",IF(AC33=0,"не применяется",AF33*AE33/100))</f>
        <v>5</v>
      </c>
      <c r="AH33" s="10">
        <f>IF(ISNUMBER(AG33),AG33,"")</f>
        <v>5</v>
      </c>
      <c r="AI33" s="56">
        <v>1</v>
      </c>
      <c r="AJ33" s="56">
        <v>1</v>
      </c>
      <c r="AK33" s="10">
        <f>AJ33*100</f>
        <v>100</v>
      </c>
      <c r="AL33" s="10">
        <f>IF(E33=1,(MIN(Вес1,Вес2,Вес3,Вес4,Вес5,Вес6))*((100/MIN(Вес1,Вес2,Вес3,Вес4,Вес5,Вес6))/AU33*Вес6/MIN(Вес1,Вес2,Вес3,Вес4,Вес5,Вес6)),"")</f>
        <v>5</v>
      </c>
      <c r="AM33" s="10">
        <f>IF(AL33="","не применяется",IF(AI33=0,"не применяется",AL33*AK33/100))</f>
        <v>5</v>
      </c>
      <c r="AN33" s="10">
        <f>IF(ISNUMBER(AM33),AM33,"")</f>
        <v>5</v>
      </c>
      <c r="AO33" s="16">
        <f>IF(E33=1,Вес1/MIN(Вес1,Вес2,Вес3,Вес4,Вес5,Вес6),"")</f>
        <v>10</v>
      </c>
      <c r="AP33" s="16">
        <f>IF(K33=1,Вес2/MIN(Вес1,Вес2,Вес3,Вес4,Вес5,Вес6),"")</f>
        <v>3</v>
      </c>
      <c r="AQ33" s="10">
        <f>IF(Q33=1,Вес3/MIN(Вес1,Вес2,Вес3,Вес4,Вес5,Вес6),"")</f>
        <v>3</v>
      </c>
      <c r="AR33" s="10">
        <f>IF(W33=1,Вес4/MIN(Вес1,Вес2,Вес3,Вес4,Вес5,Вес6),"")</f>
        <v>2</v>
      </c>
      <c r="AS33" s="10">
        <f>IF(AC33=1,Вес5/MIN(Вес1,Вес2,Вес3,Вес4,Вес5,Вес6),"")</f>
        <v>1</v>
      </c>
      <c r="AT33" s="10">
        <f>IF(AI33=1,Вес6/MIN(Вес1,Вес2,Вес3,Вес4,Вес5,Вес6),"")</f>
        <v>1</v>
      </c>
      <c r="AU33" s="16">
        <f>SUM(AO33:AT33)</f>
        <v>20</v>
      </c>
    </row>
    <row r="34" spans="1:47" ht="25.5" x14ac:dyDescent="0.2">
      <c r="A34" s="1" t="s">
        <v>116</v>
      </c>
      <c r="B34" s="9" t="s">
        <v>34</v>
      </c>
      <c r="C34" s="10">
        <f>IF(D34&lt;&gt;1,"",SUM(J34,P34,V34,AB34,AH34,AN34))</f>
        <v>85.91</v>
      </c>
      <c r="D34" s="10">
        <f>IF(SUM(E34,K34,Q34,W34,AC34,AI34)=0,0,1)</f>
        <v>1</v>
      </c>
      <c r="E34" s="56">
        <v>1</v>
      </c>
      <c r="F34" s="55">
        <v>0.91820000000000002</v>
      </c>
      <c r="G34" s="15">
        <f>F34*100</f>
        <v>91.820000000000007</v>
      </c>
      <c r="H34" s="16">
        <f>IF(E34=1,(MIN(Вес1,Вес2,Вес3,Вес4,Вес5,Вес6))*((100/MIN(Вес1,Вес2,Вес3,Вес4,Вес5,Вес6))/AU34*Вес1/MIN(Вес1,Вес2,Вес3,Вес4,Вес5,Вес6)),"")</f>
        <v>50</v>
      </c>
      <c r="I34" s="16">
        <f>IF(H34="","не применяется",IF(E34=0,"не применяется",H34*G34/100))</f>
        <v>45.91</v>
      </c>
      <c r="J34" s="16">
        <f>IF(ISNUMBER(I34),I34,"")</f>
        <v>45.91</v>
      </c>
      <c r="K34" s="56">
        <v>1</v>
      </c>
      <c r="L34" s="55">
        <v>1</v>
      </c>
      <c r="M34" s="15">
        <f>L34*100</f>
        <v>100</v>
      </c>
      <c r="N34" s="16">
        <f>IF(E34=1,(MIN(Вес1,Вес2,Вес3,Вес4,Вес5,Вес6))*((100/MIN(Вес1,Вес2,Вес3,Вес4,Вес5,Вес6))/AU34*Вес2/MIN(Вес1,Вес2,Вес3,Вес4,Вес5,Вес6)),"")</f>
        <v>15</v>
      </c>
      <c r="O34" s="16">
        <f>IF(N34="","не применяется",IF(K34=0,"не применяется",N34*M34/100))</f>
        <v>15</v>
      </c>
      <c r="P34" s="16">
        <f>IF(ISNUMBER(O34),O34,"")</f>
        <v>15</v>
      </c>
      <c r="Q34" s="56">
        <v>1</v>
      </c>
      <c r="R34" s="56">
        <v>0.65</v>
      </c>
      <c r="S34" s="10">
        <f>R34*100</f>
        <v>65</v>
      </c>
      <c r="T34" s="10">
        <f>IF(E34=1,(MIN(Вес1,Вес2,Вес3,Вес4,Вес5,Вес6))*((100/MIN(Вес1,Вес2,Вес3,Вес4,Вес5,Вес6))/AU34*Вес3/MIN(Вес1,Вес2,Вес3,Вес4,Вес5,Вес6)),"")</f>
        <v>15</v>
      </c>
      <c r="U34" s="10">
        <f>IF(T34="","не применяется",IF(Q34=0,"не применяется",T34*S34/100))</f>
        <v>9.75</v>
      </c>
      <c r="V34" s="10">
        <f>IF(ISNUMBER(U34),U34,"")</f>
        <v>9.75</v>
      </c>
      <c r="W34" s="56">
        <v>1</v>
      </c>
      <c r="X34" s="56">
        <v>0.52500000000000002</v>
      </c>
      <c r="Y34" s="10">
        <f>X34*100</f>
        <v>52.5</v>
      </c>
      <c r="Z34" s="10">
        <f>IF(E34=1,(MIN(Вес1,Вес2,Вес3,Вес4,Вес5,Вес6))*((100/MIN(Вес1,Вес2,Вес3,Вес4,Вес5,Вес6))/AU34*Вес4/MIN(Вес1,Вес2,Вес3,Вес4,Вес5,Вес6)),"")</f>
        <v>10</v>
      </c>
      <c r="AA34" s="10">
        <f>IF(Z34="","не применяется",IF(W34=0,"не применяется",Z34*Y34/100))</f>
        <v>5.25</v>
      </c>
      <c r="AB34" s="10">
        <f>IF(ISNUMBER(AA34),AA34,"")</f>
        <v>5.25</v>
      </c>
      <c r="AC34" s="56">
        <v>1</v>
      </c>
      <c r="AD34" s="56">
        <v>1</v>
      </c>
      <c r="AE34" s="10">
        <f>AD34*100</f>
        <v>100</v>
      </c>
      <c r="AF34" s="10">
        <f>IF(E34=1,(MIN(Вес1,Вес2,Вес3,Вес4,Вес5,Вес6))*((100/MIN(Вес1,Вес2,Вес3,Вес4,Вес5,Вес6))/AU34*Вес5/MIN(Вес1,Вес2,Вес3,Вес4,Вес5,Вес6)),"")</f>
        <v>5</v>
      </c>
      <c r="AG34" s="10">
        <f>IF(AF34="","не применяется",IF(AC34=0,"не применяется",AF34*AE34/100))</f>
        <v>5</v>
      </c>
      <c r="AH34" s="10">
        <f>IF(ISNUMBER(AG34),AG34,"")</f>
        <v>5</v>
      </c>
      <c r="AI34" s="56">
        <v>1</v>
      </c>
      <c r="AJ34" s="56">
        <v>1</v>
      </c>
      <c r="AK34" s="10">
        <f>AJ34*100</f>
        <v>100</v>
      </c>
      <c r="AL34" s="10">
        <f>IF(E34=1,(MIN(Вес1,Вес2,Вес3,Вес4,Вес5,Вес6))*((100/MIN(Вес1,Вес2,Вес3,Вес4,Вес5,Вес6))/AU34*Вес6/MIN(Вес1,Вес2,Вес3,Вес4,Вес5,Вес6)),"")</f>
        <v>5</v>
      </c>
      <c r="AM34" s="10">
        <f>IF(AL34="","не применяется",IF(AI34=0,"не применяется",AL34*AK34/100))</f>
        <v>5</v>
      </c>
      <c r="AN34" s="10">
        <f>IF(ISNUMBER(AM34),AM34,"")</f>
        <v>5</v>
      </c>
      <c r="AO34" s="16">
        <f>IF(E34=1,Вес1/MIN(Вес1,Вес2,Вес3,Вес4,Вес5,Вес6),"")</f>
        <v>10</v>
      </c>
      <c r="AP34" s="16">
        <f>IF(K34=1,Вес2/MIN(Вес1,Вес2,Вес3,Вес4,Вес5,Вес6),"")</f>
        <v>3</v>
      </c>
      <c r="AQ34" s="10">
        <f>IF(Q34=1,Вес3/MIN(Вес1,Вес2,Вес3,Вес4,Вес5,Вес6),"")</f>
        <v>3</v>
      </c>
      <c r="AR34" s="10">
        <f>IF(W34=1,Вес4/MIN(Вес1,Вес2,Вес3,Вес4,Вес5,Вес6),"")</f>
        <v>2</v>
      </c>
      <c r="AS34" s="10">
        <f>IF(AC34=1,Вес5/MIN(Вес1,Вес2,Вес3,Вес4,Вес5,Вес6),"")</f>
        <v>1</v>
      </c>
      <c r="AT34" s="10">
        <f>IF(AI34=1,Вес6/MIN(Вес1,Вес2,Вес3,Вес4,Вес5,Вес6),"")</f>
        <v>1</v>
      </c>
      <c r="AU34" s="16">
        <f>SUM(AO34:AT34)</f>
        <v>20</v>
      </c>
    </row>
    <row r="35" spans="1:47" ht="25.5" x14ac:dyDescent="0.2">
      <c r="A35" s="1" t="s">
        <v>117</v>
      </c>
      <c r="B35" s="9" t="s">
        <v>89</v>
      </c>
      <c r="C35" s="10">
        <f>IF(D35&lt;&gt;1,"",SUM(J35,P35,V35,AB35,AH35,AN35))</f>
        <v>80.905000000000001</v>
      </c>
      <c r="D35" s="10">
        <f>IF(SUM(E35,K35,Q35,W35,AC35,AI35)=0,0,1)</f>
        <v>1</v>
      </c>
      <c r="E35" s="56">
        <v>1</v>
      </c>
      <c r="F35" s="55">
        <v>0.85809999999999997</v>
      </c>
      <c r="G35" s="15">
        <f>F35*100</f>
        <v>85.81</v>
      </c>
      <c r="H35" s="16">
        <f>IF(E35=1,(MIN(Вес1,Вес2,Вес3,Вес4,Вес5,Вес6))*((100/MIN(Вес1,Вес2,Вес3,Вес4,Вес5,Вес6))/AU35*Вес1/MIN(Вес1,Вес2,Вес3,Вес4,Вес5,Вес6)),"")</f>
        <v>50</v>
      </c>
      <c r="I35" s="16">
        <f>IF(H35="","не применяется",IF(E35=0,"не применяется",H35*G35/100))</f>
        <v>42.905000000000001</v>
      </c>
      <c r="J35" s="16">
        <f>IF(ISNUMBER(I35),I35,"")</f>
        <v>42.905000000000001</v>
      </c>
      <c r="K35" s="56">
        <v>1</v>
      </c>
      <c r="L35" s="55">
        <v>0.75</v>
      </c>
      <c r="M35" s="15">
        <f>L35*100</f>
        <v>75</v>
      </c>
      <c r="N35" s="16">
        <f>IF(E35=1,(MIN(Вес1,Вес2,Вес3,Вес4,Вес5,Вес6))*((100/MIN(Вес1,Вес2,Вес3,Вес4,Вес5,Вес6))/AU35*Вес2/MIN(Вес1,Вес2,Вес3,Вес4,Вес5,Вес6)),"")</f>
        <v>15</v>
      </c>
      <c r="O35" s="16">
        <f>IF(N35="","не применяется",IF(K35=0,"не применяется",N35*M35/100))</f>
        <v>11.25</v>
      </c>
      <c r="P35" s="16">
        <f>IF(ISNUMBER(O35),O35,"")</f>
        <v>11.25</v>
      </c>
      <c r="Q35" s="56">
        <v>1</v>
      </c>
      <c r="R35" s="56">
        <v>0.65</v>
      </c>
      <c r="S35" s="10">
        <f>R35*100</f>
        <v>65</v>
      </c>
      <c r="T35" s="10">
        <f>IF(E35=1,(MIN(Вес1,Вес2,Вес3,Вес4,Вес5,Вес6))*((100/MIN(Вес1,Вес2,Вес3,Вес4,Вес5,Вес6))/AU35*Вес3/MIN(Вес1,Вес2,Вес3,Вес4,Вес5,Вес6)),"")</f>
        <v>15</v>
      </c>
      <c r="U35" s="10">
        <f>IF(T35="","не применяется",IF(Q35=0,"не применяется",T35*S35/100))</f>
        <v>9.75</v>
      </c>
      <c r="V35" s="10">
        <f>IF(ISNUMBER(U35),U35,"")</f>
        <v>9.75</v>
      </c>
      <c r="W35" s="56">
        <v>1</v>
      </c>
      <c r="X35" s="56">
        <v>0.7</v>
      </c>
      <c r="Y35" s="10">
        <f>X35*100</f>
        <v>70</v>
      </c>
      <c r="Z35" s="10">
        <f>IF(E35=1,(MIN(Вес1,Вес2,Вес3,Вес4,Вес5,Вес6))*((100/MIN(Вес1,Вес2,Вес3,Вес4,Вес5,Вес6))/AU35*Вес4/MIN(Вес1,Вес2,Вес3,Вес4,Вес5,Вес6)),"")</f>
        <v>10</v>
      </c>
      <c r="AA35" s="10">
        <f>IF(Z35="","не применяется",IF(W35=0,"не применяется",Z35*Y35/100))</f>
        <v>7</v>
      </c>
      <c r="AB35" s="10">
        <f>IF(ISNUMBER(AA35),AA35,"")</f>
        <v>7</v>
      </c>
      <c r="AC35" s="56">
        <v>1</v>
      </c>
      <c r="AD35" s="56">
        <v>1</v>
      </c>
      <c r="AE35" s="10">
        <f>AD35*100</f>
        <v>100</v>
      </c>
      <c r="AF35" s="10">
        <f>IF(E35=1,(MIN(Вес1,Вес2,Вес3,Вес4,Вес5,Вес6))*((100/MIN(Вес1,Вес2,Вес3,Вес4,Вес5,Вес6))/AU35*Вес5/MIN(Вес1,Вес2,Вес3,Вес4,Вес5,Вес6)),"")</f>
        <v>5</v>
      </c>
      <c r="AG35" s="10">
        <f>IF(AF35="","не применяется",IF(AC35=0,"не применяется",AF35*AE35/100))</f>
        <v>5</v>
      </c>
      <c r="AH35" s="10">
        <f>IF(ISNUMBER(AG35),AG35,"")</f>
        <v>5</v>
      </c>
      <c r="AI35" s="56">
        <v>1</v>
      </c>
      <c r="AJ35" s="56">
        <v>1</v>
      </c>
      <c r="AK35" s="10">
        <f>AJ35*100</f>
        <v>100</v>
      </c>
      <c r="AL35" s="10">
        <f>IF(E35=1,(MIN(Вес1,Вес2,Вес3,Вес4,Вес5,Вес6))*((100/MIN(Вес1,Вес2,Вес3,Вес4,Вес5,Вес6))/AU35*Вес6/MIN(Вес1,Вес2,Вес3,Вес4,Вес5,Вес6)),"")</f>
        <v>5</v>
      </c>
      <c r="AM35" s="10">
        <f>IF(AL35="","не применяется",IF(AI35=0,"не применяется",AL35*AK35/100))</f>
        <v>5</v>
      </c>
      <c r="AN35" s="10">
        <f>IF(ISNUMBER(AM35),AM35,"")</f>
        <v>5</v>
      </c>
      <c r="AO35" s="16">
        <f>IF(E35=1,Вес1/MIN(Вес1,Вес2,Вес3,Вес4,Вес5,Вес6),"")</f>
        <v>10</v>
      </c>
      <c r="AP35" s="16">
        <f>IF(K35=1,Вес2/MIN(Вес1,Вес2,Вес3,Вес4,Вес5,Вес6),"")</f>
        <v>3</v>
      </c>
      <c r="AQ35" s="10">
        <f>IF(Q35=1,Вес3/MIN(Вес1,Вес2,Вес3,Вес4,Вес5,Вес6),"")</f>
        <v>3</v>
      </c>
      <c r="AR35" s="10">
        <f>IF(W35=1,Вес4/MIN(Вес1,Вес2,Вес3,Вес4,Вес5,Вес6),"")</f>
        <v>2</v>
      </c>
      <c r="AS35" s="10">
        <f>IF(AC35=1,Вес5/MIN(Вес1,Вес2,Вес3,Вес4,Вес5,Вес6),"")</f>
        <v>1</v>
      </c>
      <c r="AT35" s="10">
        <f>IF(AI35=1,Вес6/MIN(Вес1,Вес2,Вес3,Вес4,Вес5,Вес6),"")</f>
        <v>1</v>
      </c>
      <c r="AU35" s="16">
        <f>SUM(AO35:AT35)</f>
        <v>20</v>
      </c>
    </row>
    <row r="36" spans="1:47" ht="25.5" x14ac:dyDescent="0.2">
      <c r="A36" s="1" t="s">
        <v>118</v>
      </c>
      <c r="B36" s="9" t="s">
        <v>35</v>
      </c>
      <c r="C36" s="10">
        <f>IF(D36&lt;&gt;1,"",SUM(J36,P36,V36,AB36,AH36,AN36))</f>
        <v>84.194999999999993</v>
      </c>
      <c r="D36" s="10">
        <f>IF(SUM(E36,K36,Q36,W36,AC36,AI36)=0,0,1)</f>
        <v>1</v>
      </c>
      <c r="E36" s="56">
        <v>1</v>
      </c>
      <c r="F36" s="55">
        <v>0.84889999999999999</v>
      </c>
      <c r="G36" s="15">
        <f>F36*100</f>
        <v>84.89</v>
      </c>
      <c r="H36" s="16">
        <f>IF(E36=1,(MIN(Вес1,Вес2,Вес3,Вес4,Вес5,Вес6))*((100/MIN(Вес1,Вес2,Вес3,Вес4,Вес5,Вес6))/AU36*Вес1/MIN(Вес1,Вес2,Вес3,Вес4,Вес5,Вес6)),"")</f>
        <v>50</v>
      </c>
      <c r="I36" s="16">
        <f>IF(H36="","не применяется",IF(E36=0,"не применяется",H36*G36/100))</f>
        <v>42.445</v>
      </c>
      <c r="J36" s="16">
        <f>IF(ISNUMBER(I36),I36,"")</f>
        <v>42.445</v>
      </c>
      <c r="K36" s="56">
        <v>1</v>
      </c>
      <c r="L36" s="55">
        <v>0.8</v>
      </c>
      <c r="M36" s="15">
        <f>L36*100</f>
        <v>80</v>
      </c>
      <c r="N36" s="16">
        <f>IF(E36=1,(MIN(Вес1,Вес2,Вес3,Вес4,Вес5,Вес6))*((100/MIN(Вес1,Вес2,Вес3,Вес4,Вес5,Вес6))/AU36*Вес2/MIN(Вес1,Вес2,Вес3,Вес4,Вес5,Вес6)),"")</f>
        <v>15</v>
      </c>
      <c r="O36" s="16">
        <f>IF(N36="","не применяется",IF(K36=0,"не применяется",N36*M36/100))</f>
        <v>12</v>
      </c>
      <c r="P36" s="16">
        <f>IF(ISNUMBER(O36),O36,"")</f>
        <v>12</v>
      </c>
      <c r="Q36" s="56">
        <v>1</v>
      </c>
      <c r="R36" s="56">
        <v>0.65</v>
      </c>
      <c r="S36" s="10">
        <f>R36*100</f>
        <v>65</v>
      </c>
      <c r="T36" s="10">
        <f>IF(E36=1,(MIN(Вес1,Вес2,Вес3,Вес4,Вес5,Вес6))*((100/MIN(Вес1,Вес2,Вес3,Вес4,Вес5,Вес6))/AU36*Вес3/MIN(Вес1,Вес2,Вес3,Вес4,Вес5,Вес6)),"")</f>
        <v>15</v>
      </c>
      <c r="U36" s="10">
        <f>IF(T36="","не применяется",IF(Q36=0,"не применяется",T36*S36/100))</f>
        <v>9.75</v>
      </c>
      <c r="V36" s="10">
        <f>IF(ISNUMBER(U36),U36,"")</f>
        <v>9.75</v>
      </c>
      <c r="W36" s="56">
        <v>1</v>
      </c>
      <c r="X36" s="56">
        <v>1</v>
      </c>
      <c r="Y36" s="10">
        <f>X36*100</f>
        <v>100</v>
      </c>
      <c r="Z36" s="10">
        <f>IF(E36=1,(MIN(Вес1,Вес2,Вес3,Вес4,Вес5,Вес6))*((100/MIN(Вес1,Вес2,Вес3,Вес4,Вес5,Вес6))/AU36*Вес4/MIN(Вес1,Вес2,Вес3,Вес4,Вес5,Вес6)),"")</f>
        <v>10</v>
      </c>
      <c r="AA36" s="10">
        <f>IF(Z36="","не применяется",IF(W36=0,"не применяется",Z36*Y36/100))</f>
        <v>10</v>
      </c>
      <c r="AB36" s="10">
        <f>IF(ISNUMBER(AA36),AA36,"")</f>
        <v>10</v>
      </c>
      <c r="AC36" s="56">
        <v>1</v>
      </c>
      <c r="AD36" s="56">
        <v>1</v>
      </c>
      <c r="AE36" s="10">
        <f>AD36*100</f>
        <v>100</v>
      </c>
      <c r="AF36" s="10">
        <f>IF(E36=1,(MIN(Вес1,Вес2,Вес3,Вес4,Вес5,Вес6))*((100/MIN(Вес1,Вес2,Вес3,Вес4,Вес5,Вес6))/AU36*Вес5/MIN(Вес1,Вес2,Вес3,Вес4,Вес5,Вес6)),"")</f>
        <v>5</v>
      </c>
      <c r="AG36" s="10">
        <f>IF(AF36="","не применяется",IF(AC36=0,"не применяется",AF36*AE36/100))</f>
        <v>5</v>
      </c>
      <c r="AH36" s="10">
        <f>IF(ISNUMBER(AG36),AG36,"")</f>
        <v>5</v>
      </c>
      <c r="AI36" s="56">
        <v>1</v>
      </c>
      <c r="AJ36" s="56">
        <v>1</v>
      </c>
      <c r="AK36" s="10">
        <f>AJ36*100</f>
        <v>100</v>
      </c>
      <c r="AL36" s="10">
        <f>IF(E36=1,(MIN(Вес1,Вес2,Вес3,Вес4,Вес5,Вес6))*((100/MIN(Вес1,Вес2,Вес3,Вес4,Вес5,Вес6))/AU36*Вес6/MIN(Вес1,Вес2,Вес3,Вес4,Вес5,Вес6)),"")</f>
        <v>5</v>
      </c>
      <c r="AM36" s="10">
        <f>IF(AL36="","не применяется",IF(AI36=0,"не применяется",AL36*AK36/100))</f>
        <v>5</v>
      </c>
      <c r="AN36" s="10">
        <f>IF(ISNUMBER(AM36),AM36,"")</f>
        <v>5</v>
      </c>
      <c r="AO36" s="16">
        <f>IF(E36=1,Вес1/MIN(Вес1,Вес2,Вес3,Вес4,Вес5,Вес6),"")</f>
        <v>10</v>
      </c>
      <c r="AP36" s="16">
        <f>IF(K36=1,Вес2/MIN(Вес1,Вес2,Вес3,Вес4,Вес5,Вес6),"")</f>
        <v>3</v>
      </c>
      <c r="AQ36" s="10">
        <f>IF(Q36=1,Вес3/MIN(Вес1,Вес2,Вес3,Вес4,Вес5,Вес6),"")</f>
        <v>3</v>
      </c>
      <c r="AR36" s="10">
        <f>IF(W36=1,Вес4/MIN(Вес1,Вес2,Вес3,Вес4,Вес5,Вес6),"")</f>
        <v>2</v>
      </c>
      <c r="AS36" s="10">
        <f>IF(AC36=1,Вес5/MIN(Вес1,Вес2,Вес3,Вес4,Вес5,Вес6),"")</f>
        <v>1</v>
      </c>
      <c r="AT36" s="10">
        <f>IF(AI36=1,Вес6/MIN(Вес1,Вес2,Вес3,Вес4,Вес5,Вес6),"")</f>
        <v>1</v>
      </c>
      <c r="AU36" s="16">
        <f>SUM(AO36:AT36)</f>
        <v>20</v>
      </c>
    </row>
    <row r="37" spans="1:47" x14ac:dyDescent="0.2">
      <c r="A37" s="1" t="s">
        <v>119</v>
      </c>
      <c r="B37" s="9" t="s">
        <v>36</v>
      </c>
      <c r="C37" s="10">
        <f>IF(D37&lt;&gt;1,"",SUM(J37,P37,V37,AB37,AH37,AN37))</f>
        <v>86.977000000000004</v>
      </c>
      <c r="D37" s="10">
        <f>IF(SUM(E37,K37,Q37,W37,AC37,AI37)=0,0,1)</f>
        <v>1</v>
      </c>
      <c r="E37" s="56">
        <v>1</v>
      </c>
      <c r="F37" s="55">
        <v>0.91120000000000001</v>
      </c>
      <c r="G37" s="15">
        <f>F37*100</f>
        <v>91.12</v>
      </c>
      <c r="H37" s="16">
        <f>IF(E37=1,(MIN(Вес1,Вес2,Вес3,Вес4,Вес5,Вес6))*((100/MIN(Вес1,Вес2,Вес3,Вес4,Вес5,Вес6))/AU37*Вес1/MIN(Вес1,Вес2,Вес3,Вес4,Вес5,Вес6)),"")</f>
        <v>50</v>
      </c>
      <c r="I37" s="16">
        <f>IF(H37="","не применяется",IF(E37=0,"не применяется",H37*G37/100))</f>
        <v>45.56</v>
      </c>
      <c r="J37" s="16">
        <f>IF(ISNUMBER(I37),I37,"")</f>
        <v>45.56</v>
      </c>
      <c r="K37" s="56">
        <v>1</v>
      </c>
      <c r="L37" s="55">
        <v>1</v>
      </c>
      <c r="M37" s="15">
        <f>L37*100</f>
        <v>100</v>
      </c>
      <c r="N37" s="16">
        <f>IF(E37=1,(MIN(Вес1,Вес2,Вес3,Вес4,Вес5,Вес6))*((100/MIN(Вес1,Вес2,Вес3,Вес4,Вес5,Вес6))/AU37*Вес2/MIN(Вес1,Вес2,Вес3,Вес4,Вес5,Вес6)),"")</f>
        <v>15</v>
      </c>
      <c r="O37" s="16">
        <f>IF(N37="","не применяется",IF(K37=0,"не применяется",N37*M37/100))</f>
        <v>15</v>
      </c>
      <c r="P37" s="16">
        <f>IF(ISNUMBER(O37),O37,"")</f>
        <v>15</v>
      </c>
      <c r="Q37" s="56">
        <v>1</v>
      </c>
      <c r="R37" s="56">
        <v>0.65</v>
      </c>
      <c r="S37" s="10">
        <f>R37*100</f>
        <v>65</v>
      </c>
      <c r="T37" s="10">
        <f>IF(E37=1,(MIN(Вес1,Вес2,Вес3,Вес4,Вес5,Вес6))*((100/MIN(Вес1,Вес2,Вес3,Вес4,Вес5,Вес6))/AU37*Вес3/MIN(Вес1,Вес2,Вес3,Вес4,Вес5,Вес6)),"")</f>
        <v>15</v>
      </c>
      <c r="U37" s="10">
        <f>IF(T37="","не применяется",IF(Q37=0,"не применяется",T37*S37/100))</f>
        <v>9.75</v>
      </c>
      <c r="V37" s="10">
        <f>IF(ISNUMBER(U37),U37,"")</f>
        <v>9.75</v>
      </c>
      <c r="W37" s="56">
        <v>1</v>
      </c>
      <c r="X37" s="56">
        <v>0.66669999999999996</v>
      </c>
      <c r="Y37" s="10">
        <f>X37*100</f>
        <v>66.67</v>
      </c>
      <c r="Z37" s="10">
        <f>IF(E37=1,(MIN(Вес1,Вес2,Вес3,Вес4,Вес5,Вес6))*((100/MIN(Вес1,Вес2,Вес3,Вес4,Вес5,Вес6))/AU37*Вес4/MIN(Вес1,Вес2,Вес3,Вес4,Вес5,Вес6)),"")</f>
        <v>10</v>
      </c>
      <c r="AA37" s="10">
        <f>IF(Z37="","не применяется",IF(W37=0,"не применяется",Z37*Y37/100))</f>
        <v>6.6670000000000007</v>
      </c>
      <c r="AB37" s="10">
        <f>IF(ISNUMBER(AA37),AA37,"")</f>
        <v>6.6670000000000007</v>
      </c>
      <c r="AC37" s="56">
        <v>1</v>
      </c>
      <c r="AD37" s="56">
        <v>1</v>
      </c>
      <c r="AE37" s="10">
        <f>AD37*100</f>
        <v>100</v>
      </c>
      <c r="AF37" s="10">
        <f>IF(E37=1,(MIN(Вес1,Вес2,Вес3,Вес4,Вес5,Вес6))*((100/MIN(Вес1,Вес2,Вес3,Вес4,Вес5,Вес6))/AU37*Вес5/MIN(Вес1,Вес2,Вес3,Вес4,Вес5,Вес6)),"")</f>
        <v>5</v>
      </c>
      <c r="AG37" s="10">
        <f>IF(AF37="","не применяется",IF(AC37=0,"не применяется",AF37*AE37/100))</f>
        <v>5</v>
      </c>
      <c r="AH37" s="10">
        <f>IF(ISNUMBER(AG37),AG37,"")</f>
        <v>5</v>
      </c>
      <c r="AI37" s="56">
        <v>1</v>
      </c>
      <c r="AJ37" s="56">
        <v>1</v>
      </c>
      <c r="AK37" s="10">
        <f>AJ37*100</f>
        <v>100</v>
      </c>
      <c r="AL37" s="10">
        <f>IF(E37=1,(MIN(Вес1,Вес2,Вес3,Вес4,Вес5,Вес6))*((100/MIN(Вес1,Вес2,Вес3,Вес4,Вес5,Вес6))/AU37*Вес6/MIN(Вес1,Вес2,Вес3,Вес4,Вес5,Вес6)),"")</f>
        <v>5</v>
      </c>
      <c r="AM37" s="10">
        <f>IF(AL37="","не применяется",IF(AI37=0,"не применяется",AL37*AK37/100))</f>
        <v>5</v>
      </c>
      <c r="AN37" s="10">
        <f>IF(ISNUMBER(AM37),AM37,"")</f>
        <v>5</v>
      </c>
      <c r="AO37" s="16">
        <f>IF(E37=1,Вес1/MIN(Вес1,Вес2,Вес3,Вес4,Вес5,Вес6),"")</f>
        <v>10</v>
      </c>
      <c r="AP37" s="16">
        <f>IF(K37=1,Вес2/MIN(Вес1,Вес2,Вес3,Вес4,Вес5,Вес6),"")</f>
        <v>3</v>
      </c>
      <c r="AQ37" s="10">
        <f>IF(Q37=1,Вес3/MIN(Вес1,Вес2,Вес3,Вес4,Вес5,Вес6),"")</f>
        <v>3</v>
      </c>
      <c r="AR37" s="10">
        <f>IF(W37=1,Вес4/MIN(Вес1,Вес2,Вес3,Вес4,Вес5,Вес6),"")</f>
        <v>2</v>
      </c>
      <c r="AS37" s="10">
        <f>IF(AC37=1,Вес5/MIN(Вес1,Вес2,Вес3,Вес4,Вес5,Вес6),"")</f>
        <v>1</v>
      </c>
      <c r="AT37" s="10">
        <f>IF(AI37=1,Вес6/MIN(Вес1,Вес2,Вес3,Вес4,Вес5,Вес6),"")</f>
        <v>1</v>
      </c>
      <c r="AU37" s="16">
        <f>SUM(AO37:AT37)</f>
        <v>20</v>
      </c>
    </row>
  </sheetData>
  <sheetProtection algorithmName="SHA-512" hashValue="Eem8R/iml+AWJDDsBlzA+CDXDlEt1+3vm35ZKXjzzkgbiGk8tIPbsKXmeAzMAZa8b9MYg+Gt8Wor3USvSleKpw==" saltValue="4TdaavQ4Bbe9h1w/E+Jufw==" spinCount="100000" sheet="1" objects="1" scenarios="1" formatCells="0" formatColumns="0" formatRows="0" deleteColumns="0" deleteRows="0"/>
  <protectedRanges>
    <protectedRange sqref="C17:C37" name="krista_tr_25389_0_0"/>
    <protectedRange sqref="D17:D37" name="krista_tr_237_0_5"/>
    <protectedRange sqref="G17:G37" name="krista_tf_16747_0_4"/>
    <protectedRange sqref="H17:H37" name="krista_tf_529_0_4"/>
    <protectedRange sqref="I17:I37" name="krista_tf_530_0_4"/>
    <protectedRange sqref="J17:J37" name="krista_tr_531_0_4"/>
    <protectedRange sqref="M17:M37" name="krista_tf_16748_0_4"/>
    <protectedRange sqref="N17:N37" name="krista_tf_534_0_4"/>
    <protectedRange sqref="O17:O37" name="krista_tf_535_0_4"/>
    <protectedRange sqref="P17:P37" name="krista_tr_536_0_4"/>
    <protectedRange sqref="S17:S37" name="krista_tf_25801_0_0"/>
    <protectedRange sqref="T17:T37" name="krista_tf_25803_0_0"/>
    <protectedRange sqref="U17:U37" name="krista_tf_25804_0_0"/>
    <protectedRange sqref="V17:V37" name="krista_tr_25805_0_0"/>
    <protectedRange sqref="Y17:Y37" name="krista_tf_25808_0_0"/>
    <protectedRange sqref="Z17:Z37" name="krista_tf_25810_0_0"/>
    <protectedRange sqref="AA17:AA37" name="krista_tf_25811_0_0"/>
    <protectedRange sqref="AB17:AB37" name="krista_tr_25812_0_0"/>
    <protectedRange sqref="AE17:AE37" name="krista_tf_25817_0_0"/>
    <protectedRange sqref="AF17:AF37" name="krista_tf_25819_0_0"/>
    <protectedRange sqref="AG17:AG37" name="krista_tf_25820_0_0"/>
    <protectedRange sqref="AH17:AH37" name="krista_tr_25821_0_0"/>
    <protectedRange sqref="AK17:AK37" name="krista_tf_25823_0_0"/>
    <protectedRange sqref="AL17:AL37" name="krista_tf_25825_0_0"/>
    <protectedRange sqref="AM17:AM37" name="krista_tf_25826_0_0"/>
    <protectedRange sqref="AN17:AN37" name="krista_tr_25827_0_0"/>
    <protectedRange sqref="AO17:AO37" name="krista_tf_552_0_4"/>
    <protectedRange sqref="AP17:AP37" name="krista_tf_553_0_4"/>
    <protectedRange sqref="AQ17:AQ37" name="krista_tf_25806_0_0"/>
    <protectedRange sqref="AR17:AR37" name="krista_tf_25813_0_0"/>
    <protectedRange sqref="AS17:AS37" name="krista_tf_25814_0_0"/>
    <protectedRange sqref="AT17:AT37" name="krista_tf_25815_0_0"/>
    <protectedRange sqref="AU17:AU37" name="krista_tf_557_0_4"/>
  </protectedRanges>
  <mergeCells count="12">
    <mergeCell ref="AO15:AU15"/>
    <mergeCell ref="A1:B1"/>
    <mergeCell ref="A15:A16"/>
    <mergeCell ref="B15:B16"/>
    <mergeCell ref="C15:C16"/>
    <mergeCell ref="D15:D16"/>
    <mergeCell ref="E15:J15"/>
    <mergeCell ref="K15:P15"/>
    <mergeCell ref="Q15:V15"/>
    <mergeCell ref="W15:AB15"/>
    <mergeCell ref="AC15:AH15"/>
    <mergeCell ref="AI15:AN15"/>
  </mergeCells>
  <conditionalFormatting sqref="A8:A13">
    <cfRule type="expression" dxfId="0" priority="1" stopIfTrue="1">
      <formula>"(сумм(A8:F12)&lt;&gt;100"</formula>
    </cfRule>
  </conditionalFormatting>
  <dataValidations count="1">
    <dataValidation type="list" allowBlank="1" showDropDown="1" showInputMessage="1" showErrorMessage="1" sqref="K17:K37 D17:E37">
      <formula1>"0,1,"</formula1>
    </dataValidation>
  </dataValidations>
  <pageMargins left="0.31496062992125984" right="0.23622047244094491" top="0.27559055118110237" bottom="0.23622047244094491" header="0.27559055118110237" footer="0.23622047244094491"/>
  <pageSetup paperSize="8" scale="98" fitToWidth="0" orientation="landscape" r:id="rId1"/>
  <headerFooter alignWithMargins="0"/>
  <colBreaks count="3" manualBreakCount="3">
    <brk id="10" max="1048575" man="1"/>
    <brk id="22" max="37" man="1"/>
    <brk id="34" max="1048575" man="1"/>
  </colBreaks>
  <customProperties>
    <customPr name="15241" r:id="rId2"/>
    <customPr name="15242" r:id="rId3"/>
    <customPr name="15243" r:id="rId4"/>
    <customPr name="25828" r:id="rId5"/>
    <customPr name="25829" r:id="rId6"/>
    <customPr name="25830" r:id="rId7"/>
    <customPr name="25831" r:id="rId8"/>
    <customPr name="krista_fm_columnsmarkup" r:id="rId9"/>
    <customPr name="krista_fm_consts" r:id="rId10"/>
    <customPr name="krista_fm_Events" r:id="rId11"/>
    <customPr name="krista_fm_metadataXML" r:id="rId12"/>
    <customPr name="krista_fm_rowsaxis" r:id="rId13"/>
    <customPr name="krista_fm_rowsmarkup" r:id="rId14"/>
    <customPr name="krista_SheetHistory" r:id="rId15"/>
    <customPr name="p14" r:id="rId16"/>
    <customPr name="p16" r:id="rId17"/>
    <customPr name="p17" r:id="rId18"/>
  </customProperties>
  <legacyDrawing r:id="rId1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tabColor indexed="48"/>
  </sheetPr>
  <dimension ref="A1:AZ28"/>
  <sheetViews>
    <sheetView tabSelected="1" zoomScaleNormal="100" workbookViewId="0">
      <selection activeCell="D30" sqref="D30"/>
    </sheetView>
  </sheetViews>
  <sheetFormatPr defaultColWidth="9.140625" defaultRowHeight="12.75" outlineLevelRow="1" x14ac:dyDescent="0.2"/>
  <cols>
    <col min="1" max="1" width="6.28515625" style="12" customWidth="1"/>
    <col min="2" max="2" width="108" style="12" customWidth="1"/>
    <col min="3" max="3" width="16.85546875" style="12" customWidth="1"/>
    <col min="4" max="4" width="13" style="12" customWidth="1"/>
    <col min="5" max="7" width="16.140625" style="12" customWidth="1"/>
    <col min="8" max="32" width="16.7109375" style="12" customWidth="1"/>
    <col min="33" max="33" width="16.7109375" style="12" hidden="1" customWidth="1"/>
    <col min="34" max="34" width="20.7109375" style="12" customWidth="1"/>
    <col min="35" max="37" width="16.7109375" style="12" customWidth="1"/>
    <col min="38" max="38" width="17.28515625" style="12" hidden="1" customWidth="1"/>
    <col min="39" max="42" width="17.28515625" style="12" customWidth="1"/>
    <col min="43" max="48" width="17.28515625" style="12" hidden="1" customWidth="1"/>
    <col min="49" max="51" width="13" style="12" hidden="1" customWidth="1"/>
    <col min="52" max="52" width="19" style="12" hidden="1" customWidth="1"/>
    <col min="53" max="53" width="13" style="12" customWidth="1"/>
    <col min="54" max="58" width="12" style="12" customWidth="1"/>
    <col min="59" max="63" width="27.42578125" style="12" customWidth="1"/>
    <col min="64" max="64" width="41.42578125" style="12" customWidth="1"/>
    <col min="65" max="65" width="36.85546875" style="12" customWidth="1"/>
    <col min="66" max="67" width="27.42578125" style="12" customWidth="1"/>
    <col min="68" max="70" width="37.28515625" style="12" customWidth="1"/>
    <col min="71" max="79" width="27.42578125" style="12" customWidth="1"/>
    <col min="80" max="80" width="60.85546875" style="12" customWidth="1"/>
    <col min="81" max="86" width="27.42578125" style="12" customWidth="1"/>
    <col min="87" max="89" width="31.28515625" style="12" customWidth="1"/>
    <col min="90" max="90" width="27.42578125" style="12" customWidth="1"/>
    <col min="91" max="93" width="34.28515625" style="12" customWidth="1"/>
    <col min="94" max="97" width="27.42578125" style="12" customWidth="1"/>
    <col min="98" max="98" width="39.42578125" style="12" customWidth="1"/>
    <col min="99" max="99" width="41.28515625" style="12" customWidth="1"/>
    <col min="100" max="111" width="27.42578125" style="12" customWidth="1"/>
    <col min="112" max="113" width="9.140625" style="12"/>
    <col min="114" max="114" width="10.28515625" style="12" bestFit="1" customWidth="1"/>
    <col min="115" max="116" width="9.140625" style="12"/>
    <col min="117" max="117" width="10.28515625" style="12" bestFit="1" customWidth="1"/>
    <col min="118" max="119" width="9.140625" style="12"/>
    <col min="120" max="120" width="10.28515625" style="12" bestFit="1" customWidth="1"/>
    <col min="121" max="122" width="9.140625" style="12"/>
    <col min="123" max="123" width="10.28515625" style="12" bestFit="1" customWidth="1"/>
    <col min="124" max="125" width="9.140625" style="12"/>
    <col min="126" max="126" width="10.28515625" style="12" bestFit="1" customWidth="1"/>
    <col min="127" max="128" width="9.140625" style="12"/>
    <col min="129" max="129" width="10.28515625" style="12" bestFit="1" customWidth="1"/>
    <col min="130" max="131" width="9.140625" style="12"/>
    <col min="132" max="132" width="10.28515625" style="12" bestFit="1" customWidth="1"/>
    <col min="133" max="134" width="9.140625" style="12"/>
    <col min="135" max="135" width="10.28515625" style="12" bestFit="1" customWidth="1"/>
    <col min="136" max="137" width="9.140625" style="12"/>
    <col min="138" max="138" width="10.28515625" style="12" bestFit="1" customWidth="1"/>
    <col min="139" max="140" width="9.140625" style="12"/>
    <col min="141" max="141" width="10.28515625" style="12" bestFit="1" customWidth="1"/>
    <col min="142" max="143" width="9.140625" style="12"/>
    <col min="144" max="144" width="10.28515625" style="12" bestFit="1" customWidth="1"/>
    <col min="145" max="146" width="9.140625" style="12"/>
    <col min="147" max="147" width="10.28515625" style="12" bestFit="1" customWidth="1"/>
    <col min="148" max="149" width="9.140625" style="12"/>
    <col min="150" max="150" width="10.28515625" style="12" bestFit="1" customWidth="1"/>
    <col min="151" max="152" width="9.140625" style="12"/>
    <col min="153" max="153" width="10.28515625" style="12" bestFit="1" customWidth="1"/>
    <col min="154" max="155" width="9.140625" style="12"/>
    <col min="156" max="156" width="10.28515625" style="12" bestFit="1" customWidth="1"/>
    <col min="157" max="158" width="9.140625" style="12"/>
    <col min="159" max="159" width="10.28515625" style="12" bestFit="1" customWidth="1"/>
    <col min="160" max="161" width="9.140625" style="12"/>
    <col min="162" max="162" width="10.28515625" style="12" bestFit="1" customWidth="1"/>
    <col min="163" max="164" width="9.140625" style="12"/>
    <col min="165" max="165" width="10.28515625" style="12" bestFit="1" customWidth="1"/>
    <col min="166" max="167" width="9.140625" style="12"/>
    <col min="168" max="168" width="10.28515625" style="12" bestFit="1" customWidth="1"/>
    <col min="169" max="170" width="9.140625" style="12"/>
    <col min="171" max="171" width="10.28515625" style="12" bestFit="1" customWidth="1"/>
    <col min="172" max="173" width="9.140625" style="12"/>
    <col min="174" max="174" width="10.28515625" style="12" bestFit="1" customWidth="1"/>
    <col min="175" max="176" width="9.140625" style="12"/>
    <col min="177" max="177" width="10.28515625" style="12" bestFit="1" customWidth="1"/>
    <col min="178" max="179" width="9.140625" style="12"/>
    <col min="180" max="180" width="10.28515625" style="12" bestFit="1" customWidth="1"/>
    <col min="181" max="182" width="9.140625" style="12"/>
    <col min="183" max="183" width="10.28515625" style="12" bestFit="1" customWidth="1"/>
    <col min="184" max="185" width="9.140625" style="12"/>
    <col min="186" max="186" width="10.28515625" style="12" bestFit="1" customWidth="1"/>
    <col min="187" max="188" width="9.140625" style="12"/>
    <col min="189" max="189" width="10.28515625" style="12" bestFit="1" customWidth="1"/>
    <col min="190" max="191" width="9.140625" style="12"/>
    <col min="192" max="192" width="10.28515625" style="12" bestFit="1" customWidth="1"/>
    <col min="193" max="194" width="9.140625" style="12"/>
    <col min="195" max="195" width="10.28515625" style="12" bestFit="1" customWidth="1"/>
    <col min="196" max="197" width="9.140625" style="12"/>
    <col min="198" max="198" width="10.28515625" style="12" bestFit="1" customWidth="1"/>
    <col min="199" max="200" width="9.140625" style="12"/>
    <col min="201" max="201" width="10.28515625" style="12" bestFit="1" customWidth="1"/>
    <col min="202" max="203" width="9.140625" style="12"/>
    <col min="204" max="204" width="10.28515625" style="12" bestFit="1" customWidth="1"/>
    <col min="205" max="206" width="9.140625" style="12"/>
    <col min="207" max="207" width="10.28515625" style="12" bestFit="1" customWidth="1"/>
    <col min="208" max="209" width="9.140625" style="12"/>
    <col min="210" max="210" width="10.28515625" style="12" bestFit="1" customWidth="1"/>
    <col min="211" max="212" width="9.140625" style="12"/>
    <col min="213" max="213" width="10.28515625" style="12" bestFit="1" customWidth="1"/>
    <col min="214" max="215" width="9.140625" style="12"/>
    <col min="216" max="216" width="10.28515625" style="12" bestFit="1" customWidth="1"/>
    <col min="217" max="218" width="9.140625" style="12"/>
    <col min="219" max="219" width="10.28515625" style="12" bestFit="1" customWidth="1"/>
    <col min="220" max="221" width="9.140625" style="12"/>
    <col min="222" max="222" width="10.28515625" style="12" bestFit="1" customWidth="1"/>
    <col min="223" max="224" width="9.140625" style="12"/>
    <col min="225" max="225" width="10.28515625" style="12" bestFit="1" customWidth="1"/>
    <col min="226" max="227" width="9.140625" style="12"/>
    <col min="228" max="228" width="10.28515625" style="12" bestFit="1" customWidth="1"/>
    <col min="229" max="230" width="9.140625" style="12"/>
    <col min="231" max="231" width="10.28515625" style="12" bestFit="1" customWidth="1"/>
    <col min="232" max="233" width="9.140625" style="12"/>
    <col min="234" max="234" width="10.28515625" style="12" bestFit="1" customWidth="1"/>
    <col min="235" max="236" width="9.140625" style="12"/>
    <col min="237" max="237" width="10.28515625" style="12" bestFit="1" customWidth="1"/>
    <col min="238" max="239" width="9.140625" style="12"/>
    <col min="240" max="240" width="10.28515625" style="12" bestFit="1" customWidth="1"/>
    <col min="241" max="242" width="9.140625" style="12"/>
    <col min="243" max="243" width="10.28515625" style="12" bestFit="1" customWidth="1"/>
    <col min="244" max="245" width="9.140625" style="12"/>
    <col min="246" max="246" width="10.28515625" style="12" bestFit="1" customWidth="1"/>
    <col min="247" max="248" width="9.140625" style="12"/>
    <col min="249" max="249" width="10.28515625" style="12" bestFit="1" customWidth="1"/>
    <col min="250" max="251" width="9.140625" style="12"/>
    <col min="252" max="252" width="10.28515625" style="12" bestFit="1" customWidth="1"/>
    <col min="253" max="16384" width="9.140625" style="12"/>
  </cols>
  <sheetData>
    <row r="1" spans="1:7" ht="26.25" customHeight="1" x14ac:dyDescent="0.2">
      <c r="A1" s="140" t="s">
        <v>41</v>
      </c>
      <c r="B1" s="141"/>
      <c r="C1" s="141"/>
      <c r="D1" s="141"/>
      <c r="E1" s="11"/>
      <c r="F1" s="11"/>
      <c r="G1" s="11"/>
    </row>
    <row r="2" spans="1:7" ht="12.75" customHeight="1" x14ac:dyDescent="0.2"/>
    <row r="3" spans="1:7" ht="12.75" hidden="1" customHeight="1" outlineLevel="1" x14ac:dyDescent="0.2">
      <c r="A3" s="13" t="s">
        <v>14</v>
      </c>
      <c r="B3" s="13"/>
      <c r="C3" s="54"/>
      <c r="D3" s="54"/>
    </row>
    <row r="4" spans="1:7" ht="12.75" hidden="1" customHeight="1" outlineLevel="1" x14ac:dyDescent="0.2">
      <c r="A4" s="13" t="s">
        <v>42</v>
      </c>
      <c r="B4" s="13"/>
      <c r="C4" s="54"/>
      <c r="D4" s="54"/>
    </row>
    <row r="5" spans="1:7" ht="12.75" customHeight="1" collapsed="1" thickBot="1" x14ac:dyDescent="0.25"/>
    <row r="6" spans="1:7" ht="28.5" customHeight="1" thickBot="1" x14ac:dyDescent="0.25">
      <c r="A6" s="14" t="s">
        <v>9</v>
      </c>
      <c r="B6" s="14" t="s">
        <v>8</v>
      </c>
      <c r="C6" s="14" t="s">
        <v>6</v>
      </c>
      <c r="D6" s="14" t="s">
        <v>43</v>
      </c>
    </row>
    <row r="7" spans="1:7" customFormat="1" x14ac:dyDescent="0.2">
      <c r="A7" s="1" t="s">
        <v>100</v>
      </c>
      <c r="B7" s="9" t="s">
        <v>20</v>
      </c>
      <c r="C7" s="55">
        <v>88.452500000000001</v>
      </c>
      <c r="D7" s="10">
        <f>IF(C7="","",RANK(C7,Криста_Мера_17_0))</f>
        <v>3</v>
      </c>
    </row>
    <row r="8" spans="1:7" customFormat="1" x14ac:dyDescent="0.2">
      <c r="A8" s="1" t="s">
        <v>101</v>
      </c>
      <c r="B8" s="9" t="s">
        <v>52</v>
      </c>
      <c r="C8" s="55">
        <v>78.150000000000006</v>
      </c>
      <c r="D8" s="10">
        <f>IF(C8="","",RANK(C8,Криста_Мера_17_0))</f>
        <v>13</v>
      </c>
    </row>
    <row r="9" spans="1:7" customFormat="1" x14ac:dyDescent="0.2">
      <c r="A9" s="1" t="s">
        <v>102</v>
      </c>
      <c r="B9" s="9" t="s">
        <v>21</v>
      </c>
      <c r="C9" s="55">
        <v>89.421999999999997</v>
      </c>
      <c r="D9" s="10">
        <f>IF(C9="","",RANK(C9,Криста_Мера_17_0))</f>
        <v>2</v>
      </c>
    </row>
    <row r="10" spans="1:7" customFormat="1" x14ac:dyDescent="0.2">
      <c r="A10" s="1" t="s">
        <v>103</v>
      </c>
      <c r="B10" s="9" t="s">
        <v>22</v>
      </c>
      <c r="C10" s="55">
        <v>92.652500000000003</v>
      </c>
      <c r="D10" s="10">
        <f>IF(C10="","",RANK(C10,Криста_Мера_17_0))</f>
        <v>1</v>
      </c>
    </row>
    <row r="11" spans="1:7" customFormat="1" x14ac:dyDescent="0.2">
      <c r="A11" s="1" t="s">
        <v>104</v>
      </c>
      <c r="B11" s="9" t="s">
        <v>23</v>
      </c>
      <c r="C11" s="55">
        <v>79.417500000000004</v>
      </c>
      <c r="D11" s="10">
        <f>IF(C11="","",RANK(C11,Криста_Мера_17_0))</f>
        <v>12</v>
      </c>
    </row>
    <row r="12" spans="1:7" customFormat="1" x14ac:dyDescent="0.2">
      <c r="A12" s="1" t="s">
        <v>105</v>
      </c>
      <c r="B12" s="9" t="s">
        <v>24</v>
      </c>
      <c r="C12" s="55">
        <v>66.75</v>
      </c>
      <c r="D12" s="10">
        <f>IF(C12="","",RANK(C12,Криста_Мера_17_0))</f>
        <v>20</v>
      </c>
    </row>
    <row r="13" spans="1:7" customFormat="1" x14ac:dyDescent="0.2">
      <c r="A13" s="1" t="s">
        <v>106</v>
      </c>
      <c r="B13" s="9" t="s">
        <v>25</v>
      </c>
      <c r="C13" s="55">
        <v>66.002499999999998</v>
      </c>
      <c r="D13" s="10">
        <f>IF(C13="","",RANK(C13,Криста_Мера_17_0))</f>
        <v>21</v>
      </c>
    </row>
    <row r="14" spans="1:7" customFormat="1" ht="25.5" x14ac:dyDescent="0.2">
      <c r="A14" s="1" t="s">
        <v>107</v>
      </c>
      <c r="B14" s="9" t="s">
        <v>26</v>
      </c>
      <c r="C14" s="55">
        <v>71.25</v>
      </c>
      <c r="D14" s="10">
        <f>IF(C14="","",RANK(C14,Криста_Мера_17_0))</f>
        <v>15</v>
      </c>
    </row>
    <row r="15" spans="1:7" customFormat="1" ht="25.5" x14ac:dyDescent="0.2">
      <c r="A15" s="1" t="s">
        <v>108</v>
      </c>
      <c r="B15" s="9" t="s">
        <v>51</v>
      </c>
      <c r="C15" s="55">
        <v>67.265000000000001</v>
      </c>
      <c r="D15" s="10">
        <f>IF(C15="","",RANK(C15,Криста_Мера_17_0))</f>
        <v>19</v>
      </c>
    </row>
    <row r="16" spans="1:7" customFormat="1" x14ac:dyDescent="0.2">
      <c r="A16" s="1" t="s">
        <v>109</v>
      </c>
      <c r="B16" s="9" t="s">
        <v>27</v>
      </c>
      <c r="C16" s="55">
        <v>68.954999999999998</v>
      </c>
      <c r="D16" s="10">
        <f>IF(C16="","",RANK(C16,Криста_Мера_17_0))</f>
        <v>18</v>
      </c>
    </row>
    <row r="17" spans="1:4" customFormat="1" x14ac:dyDescent="0.2">
      <c r="A17" s="1" t="s">
        <v>110</v>
      </c>
      <c r="B17" s="9" t="s">
        <v>28</v>
      </c>
      <c r="C17" s="55">
        <v>77.724999999999994</v>
      </c>
      <c r="D17" s="10">
        <f>IF(C17="","",RANK(C17,Криста_Мера_17_0))</f>
        <v>14</v>
      </c>
    </row>
    <row r="18" spans="1:4" customFormat="1" x14ac:dyDescent="0.2">
      <c r="A18" s="1" t="s">
        <v>121</v>
      </c>
      <c r="B18" s="9" t="s">
        <v>120</v>
      </c>
      <c r="C18" s="55">
        <v>71.239999999999995</v>
      </c>
      <c r="D18" s="10">
        <f>IF(C18="","",RANK(C18,Криста_Мера_17_0))</f>
        <v>16</v>
      </c>
    </row>
    <row r="19" spans="1:4" customFormat="1" x14ac:dyDescent="0.2">
      <c r="A19" s="1" t="s">
        <v>111</v>
      </c>
      <c r="B19" s="9" t="s">
        <v>29</v>
      </c>
      <c r="C19" s="55">
        <v>71.137500000000003</v>
      </c>
      <c r="D19" s="10">
        <f>IF(C19="","",RANK(C19,Криста_Мера_17_0))</f>
        <v>17</v>
      </c>
    </row>
    <row r="20" spans="1:4" customFormat="1" x14ac:dyDescent="0.2">
      <c r="A20" s="1" t="s">
        <v>112</v>
      </c>
      <c r="B20" s="9" t="s">
        <v>30</v>
      </c>
      <c r="C20" s="55">
        <v>84.512500000000003</v>
      </c>
      <c r="D20" s="10">
        <f>IF(C20="","",RANK(C20,Криста_Мера_17_0))</f>
        <v>7</v>
      </c>
    </row>
    <row r="21" spans="1:4" customFormat="1" x14ac:dyDescent="0.2">
      <c r="A21" s="1" t="s">
        <v>113</v>
      </c>
      <c r="B21" s="9" t="s">
        <v>31</v>
      </c>
      <c r="C21" s="55">
        <v>80.422499999999999</v>
      </c>
      <c r="D21" s="10">
        <f>IF(C21="","",RANK(C21,Криста_Мера_17_0))</f>
        <v>11</v>
      </c>
    </row>
    <row r="22" spans="1:4" customFormat="1" x14ac:dyDescent="0.2">
      <c r="A22" s="1" t="s">
        <v>114</v>
      </c>
      <c r="B22" s="9" t="s">
        <v>32</v>
      </c>
      <c r="C22" s="55">
        <v>81.527500000000003</v>
      </c>
      <c r="D22" s="10">
        <f>IF(C22="","",RANK(C22,Криста_Мера_17_0))</f>
        <v>9</v>
      </c>
    </row>
    <row r="23" spans="1:4" customFormat="1" x14ac:dyDescent="0.2">
      <c r="A23" s="1" t="s">
        <v>115</v>
      </c>
      <c r="B23" s="9" t="s">
        <v>33</v>
      </c>
      <c r="C23" s="55">
        <v>85.68</v>
      </c>
      <c r="D23" s="10">
        <f>IF(C23="","",RANK(C23,Криста_Мера_17_0))</f>
        <v>6</v>
      </c>
    </row>
    <row r="24" spans="1:4" customFormat="1" x14ac:dyDescent="0.2">
      <c r="A24" s="1" t="s">
        <v>116</v>
      </c>
      <c r="B24" s="9" t="s">
        <v>34</v>
      </c>
      <c r="C24" s="55">
        <v>85.91</v>
      </c>
      <c r="D24" s="10">
        <f>IF(C24="","",RANK(C24,Криста_Мера_17_0))</f>
        <v>5</v>
      </c>
    </row>
    <row r="25" spans="1:4" customFormat="1" x14ac:dyDescent="0.2">
      <c r="A25" s="1" t="s">
        <v>117</v>
      </c>
      <c r="B25" s="9" t="s">
        <v>89</v>
      </c>
      <c r="C25" s="55">
        <v>80.905000000000001</v>
      </c>
      <c r="D25" s="10">
        <f>IF(C25="","",RANK(C25,Криста_Мера_17_0))</f>
        <v>10</v>
      </c>
    </row>
    <row r="26" spans="1:4" customFormat="1" x14ac:dyDescent="0.2">
      <c r="A26" s="1" t="s">
        <v>118</v>
      </c>
      <c r="B26" s="9" t="s">
        <v>35</v>
      </c>
      <c r="C26" s="55">
        <v>84.194999999999993</v>
      </c>
      <c r="D26" s="10">
        <f>IF(C26="","",RANK(C26,Криста_Мера_17_0))</f>
        <v>8</v>
      </c>
    </row>
    <row r="27" spans="1:4" customFormat="1" x14ac:dyDescent="0.2">
      <c r="A27" s="1" t="s">
        <v>119</v>
      </c>
      <c r="B27" s="9" t="s">
        <v>36</v>
      </c>
      <c r="C27" s="55">
        <v>86.977000000000004</v>
      </c>
      <c r="D27" s="10">
        <f>IF(C27="","",RANK(C27,Криста_Мера_17_0))</f>
        <v>4</v>
      </c>
    </row>
    <row r="28" spans="1:4" x14ac:dyDescent="0.2">
      <c r="C28" s="35"/>
    </row>
  </sheetData>
  <sheetProtection algorithmName="SHA-512" hashValue="neWewM7plkpj6fJcvm/5X0Sap0VVdAKWvOhqV4Is9ZePxSRPzWNBrHnMncIlHWAqw7QNEVMDOAGLKWkaTZBKLw==" saltValue="BC4jLdnFX+nSWtB7x7W/Dg==" spinCount="100000" sheet="1" objects="1" scenarios="1" formatCells="0" formatColumns="0" formatRows="0" deleteColumns="0" deleteRows="0"/>
  <protectedRanges>
    <protectedRange sqref="D7:D27" name="krista_tf_8792_0_0"/>
  </protectedRanges>
  <sortState ref="A8:D30">
    <sortCondition ref="D8"/>
  </sortState>
  <mergeCells count="1">
    <mergeCell ref="A1:D1"/>
  </mergeCells>
  <pageMargins left="0" right="0" top="0" bottom="0" header="0" footer="0"/>
  <pageSetup paperSize="9" scale="90" orientation="landscape" r:id="rId1"/>
  <headerFooter alignWithMargins="0"/>
  <customProperties>
    <customPr name="273" r:id="rId2"/>
    <customPr name="krista_fm_columnsmarkup" r:id="rId3"/>
    <customPr name="krista_fm_consts" r:id="rId4"/>
    <customPr name="krista_fm_Events" r:id="rId5"/>
    <customPr name="krista_fm_metadataXML" r:id="rId6"/>
    <customPr name="krista_fm_rowsaxis" r:id="rId7"/>
    <customPr name="krista_fm_rowsmarkup" r:id="rId8"/>
    <customPr name="krista_SheetHistory" r:id="rId9"/>
    <customPr name="p8" r:id="rId10"/>
    <customPr name="p9" r:id="rId11"/>
  </customProperties>
  <legacyDrawing r:id="rId1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BA28"/>
  <sheetViews>
    <sheetView zoomScaleNormal="100" workbookViewId="0">
      <selection activeCell="A6" sqref="A6"/>
    </sheetView>
  </sheetViews>
  <sheetFormatPr defaultColWidth="9.140625" defaultRowHeight="12.75" outlineLevelRow="1" x14ac:dyDescent="0.2"/>
  <cols>
    <col min="1" max="1" width="6.28515625" style="12" customWidth="1"/>
    <col min="2" max="2" width="117.5703125" style="12" customWidth="1"/>
    <col min="3" max="3" width="10.7109375" style="12" customWidth="1"/>
    <col min="4" max="4" width="13" style="12" customWidth="1"/>
    <col min="5" max="8" width="16.140625" style="12" customWidth="1"/>
    <col min="9" max="33" width="16.7109375" style="12" customWidth="1"/>
    <col min="34" max="34" width="16.7109375" style="12" hidden="1" customWidth="1"/>
    <col min="35" max="35" width="20.7109375" style="12" customWidth="1"/>
    <col min="36" max="38" width="16.7109375" style="12" customWidth="1"/>
    <col min="39" max="39" width="17.28515625" style="12" hidden="1" customWidth="1"/>
    <col min="40" max="43" width="17.28515625" style="12" customWidth="1"/>
    <col min="44" max="49" width="17.28515625" style="12" hidden="1" customWidth="1"/>
    <col min="50" max="52" width="13" style="12" hidden="1" customWidth="1"/>
    <col min="53" max="53" width="19" style="12" hidden="1" customWidth="1"/>
    <col min="54" max="54" width="13" style="12" customWidth="1"/>
    <col min="55" max="59" width="12" style="12" customWidth="1"/>
    <col min="60" max="64" width="27.42578125" style="12" customWidth="1"/>
    <col min="65" max="65" width="41.42578125" style="12" customWidth="1"/>
    <col min="66" max="66" width="36.85546875" style="12" customWidth="1"/>
    <col min="67" max="68" width="27.42578125" style="12" customWidth="1"/>
    <col min="69" max="71" width="37.28515625" style="12" customWidth="1"/>
    <col min="72" max="80" width="27.42578125" style="12" customWidth="1"/>
    <col min="81" max="81" width="60.85546875" style="12" customWidth="1"/>
    <col min="82" max="87" width="27.42578125" style="12" customWidth="1"/>
    <col min="88" max="90" width="31.28515625" style="12" customWidth="1"/>
    <col min="91" max="91" width="27.42578125" style="12" customWidth="1"/>
    <col min="92" max="94" width="34.28515625" style="12" customWidth="1"/>
    <col min="95" max="98" width="27.42578125" style="12" customWidth="1"/>
    <col min="99" max="99" width="39.42578125" style="12" customWidth="1"/>
    <col min="100" max="100" width="41.28515625" style="12" customWidth="1"/>
    <col min="101" max="112" width="27.42578125" style="12" customWidth="1"/>
    <col min="113" max="114" width="9.140625" style="12"/>
    <col min="115" max="115" width="10.28515625" style="12" bestFit="1" customWidth="1"/>
    <col min="116" max="117" width="9.140625" style="12"/>
    <col min="118" max="118" width="10.28515625" style="12" bestFit="1" customWidth="1"/>
    <col min="119" max="120" width="9.140625" style="12"/>
    <col min="121" max="121" width="10.28515625" style="12" bestFit="1" customWidth="1"/>
    <col min="122" max="123" width="9.140625" style="12"/>
    <col min="124" max="124" width="10.28515625" style="12" bestFit="1" customWidth="1"/>
    <col min="125" max="126" width="9.140625" style="12"/>
    <col min="127" max="127" width="10.28515625" style="12" bestFit="1" customWidth="1"/>
    <col min="128" max="129" width="9.140625" style="12"/>
    <col min="130" max="130" width="10.28515625" style="12" bestFit="1" customWidth="1"/>
    <col min="131" max="132" width="9.140625" style="12"/>
    <col min="133" max="133" width="10.28515625" style="12" bestFit="1" customWidth="1"/>
    <col min="134" max="135" width="9.140625" style="12"/>
    <col min="136" max="136" width="10.28515625" style="12" bestFit="1" customWidth="1"/>
    <col min="137" max="138" width="9.140625" style="12"/>
    <col min="139" max="139" width="10.28515625" style="12" bestFit="1" customWidth="1"/>
    <col min="140" max="141" width="9.140625" style="12"/>
    <col min="142" max="142" width="10.28515625" style="12" bestFit="1" customWidth="1"/>
    <col min="143" max="144" width="9.140625" style="12"/>
    <col min="145" max="145" width="10.28515625" style="12" bestFit="1" customWidth="1"/>
    <col min="146" max="147" width="9.140625" style="12"/>
    <col min="148" max="148" width="10.28515625" style="12" bestFit="1" customWidth="1"/>
    <col min="149" max="150" width="9.140625" style="12"/>
    <col min="151" max="151" width="10.28515625" style="12" bestFit="1" customWidth="1"/>
    <col min="152" max="153" width="9.140625" style="12"/>
    <col min="154" max="154" width="10.28515625" style="12" bestFit="1" customWidth="1"/>
    <col min="155" max="156" width="9.140625" style="12"/>
    <col min="157" max="157" width="10.28515625" style="12" bestFit="1" customWidth="1"/>
    <col min="158" max="159" width="9.140625" style="12"/>
    <col min="160" max="160" width="10.28515625" style="12" bestFit="1" customWidth="1"/>
    <col min="161" max="162" width="9.140625" style="12"/>
    <col min="163" max="163" width="10.28515625" style="12" bestFit="1" customWidth="1"/>
    <col min="164" max="165" width="9.140625" style="12"/>
    <col min="166" max="166" width="10.28515625" style="12" bestFit="1" customWidth="1"/>
    <col min="167" max="168" width="9.140625" style="12"/>
    <col min="169" max="169" width="10.28515625" style="12" bestFit="1" customWidth="1"/>
    <col min="170" max="171" width="9.140625" style="12"/>
    <col min="172" max="172" width="10.28515625" style="12" bestFit="1" customWidth="1"/>
    <col min="173" max="174" width="9.140625" style="12"/>
    <col min="175" max="175" width="10.28515625" style="12" bestFit="1" customWidth="1"/>
    <col min="176" max="177" width="9.140625" style="12"/>
    <col min="178" max="178" width="10.28515625" style="12" bestFit="1" customWidth="1"/>
    <col min="179" max="180" width="9.140625" style="12"/>
    <col min="181" max="181" width="10.28515625" style="12" bestFit="1" customWidth="1"/>
    <col min="182" max="183" width="9.140625" style="12"/>
    <col min="184" max="184" width="10.28515625" style="12" bestFit="1" customWidth="1"/>
    <col min="185" max="186" width="9.140625" style="12"/>
    <col min="187" max="187" width="10.28515625" style="12" bestFit="1" customWidth="1"/>
    <col min="188" max="189" width="9.140625" style="12"/>
    <col min="190" max="190" width="10.28515625" style="12" bestFit="1" customWidth="1"/>
    <col min="191" max="192" width="9.140625" style="12"/>
    <col min="193" max="193" width="10.28515625" style="12" bestFit="1" customWidth="1"/>
    <col min="194" max="195" width="9.140625" style="12"/>
    <col min="196" max="196" width="10.28515625" style="12" bestFit="1" customWidth="1"/>
    <col min="197" max="198" width="9.140625" style="12"/>
    <col min="199" max="199" width="10.28515625" style="12" bestFit="1" customWidth="1"/>
    <col min="200" max="201" width="9.140625" style="12"/>
    <col min="202" max="202" width="10.28515625" style="12" bestFit="1" customWidth="1"/>
    <col min="203" max="204" width="9.140625" style="12"/>
    <col min="205" max="205" width="10.28515625" style="12" bestFit="1" customWidth="1"/>
    <col min="206" max="207" width="9.140625" style="12"/>
    <col min="208" max="208" width="10.28515625" style="12" bestFit="1" customWidth="1"/>
    <col min="209" max="210" width="9.140625" style="12"/>
    <col min="211" max="211" width="10.28515625" style="12" bestFit="1" customWidth="1"/>
    <col min="212" max="213" width="9.140625" style="12"/>
    <col min="214" max="214" width="10.28515625" style="12" bestFit="1" customWidth="1"/>
    <col min="215" max="216" width="9.140625" style="12"/>
    <col min="217" max="217" width="10.28515625" style="12" bestFit="1" customWidth="1"/>
    <col min="218" max="219" width="9.140625" style="12"/>
    <col min="220" max="220" width="10.28515625" style="12" bestFit="1" customWidth="1"/>
    <col min="221" max="222" width="9.140625" style="12"/>
    <col min="223" max="223" width="10.28515625" style="12" bestFit="1" customWidth="1"/>
    <col min="224" max="225" width="9.140625" style="12"/>
    <col min="226" max="226" width="10.28515625" style="12" bestFit="1" customWidth="1"/>
    <col min="227" max="228" width="9.140625" style="12"/>
    <col min="229" max="229" width="10.28515625" style="12" bestFit="1" customWidth="1"/>
    <col min="230" max="231" width="9.140625" style="12"/>
    <col min="232" max="232" width="10.28515625" style="12" bestFit="1" customWidth="1"/>
    <col min="233" max="234" width="9.140625" style="12"/>
    <col min="235" max="235" width="10.28515625" style="12" bestFit="1" customWidth="1"/>
    <col min="236" max="237" width="9.140625" style="12"/>
    <col min="238" max="238" width="10.28515625" style="12" bestFit="1" customWidth="1"/>
    <col min="239" max="240" width="9.140625" style="12"/>
    <col min="241" max="241" width="10.28515625" style="12" bestFit="1" customWidth="1"/>
    <col min="242" max="243" width="9.140625" style="12"/>
    <col min="244" max="244" width="10.28515625" style="12" bestFit="1" customWidth="1"/>
    <col min="245" max="246" width="9.140625" style="12"/>
    <col min="247" max="247" width="10.28515625" style="12" bestFit="1" customWidth="1"/>
    <col min="248" max="249" width="9.140625" style="12"/>
    <col min="250" max="250" width="10.28515625" style="12" bestFit="1" customWidth="1"/>
    <col min="251" max="252" width="9.140625" style="12"/>
    <col min="253" max="253" width="10.28515625" style="12" bestFit="1" customWidth="1"/>
    <col min="254" max="16384" width="9.140625" style="12"/>
  </cols>
  <sheetData>
    <row r="1" spans="1:8" ht="26.25" customHeight="1" x14ac:dyDescent="0.2">
      <c r="A1" s="140" t="s">
        <v>96</v>
      </c>
      <c r="B1" s="141"/>
      <c r="C1" s="141"/>
      <c r="D1" s="141"/>
      <c r="E1" s="141"/>
      <c r="F1" s="11"/>
      <c r="G1" s="11"/>
      <c r="H1" s="11"/>
    </row>
    <row r="2" spans="1:8" ht="12.75" customHeight="1" x14ac:dyDescent="0.2"/>
    <row r="3" spans="1:8" ht="12.75" customHeight="1" outlineLevel="1" x14ac:dyDescent="0.2">
      <c r="A3" s="13" t="s">
        <v>14</v>
      </c>
      <c r="B3" s="13"/>
      <c r="C3" s="13"/>
      <c r="D3" s="13"/>
      <c r="E3" s="13"/>
    </row>
    <row r="4" spans="1:8" ht="12.75" customHeight="1" outlineLevel="1" x14ac:dyDescent="0.2">
      <c r="A4" s="13" t="s">
        <v>42</v>
      </c>
      <c r="B4" s="13"/>
      <c r="C4" s="13"/>
      <c r="D4" s="13"/>
      <c r="E4" s="13"/>
    </row>
    <row r="5" spans="1:8" ht="12.75" customHeight="1" thickBot="1" x14ac:dyDescent="0.25"/>
    <row r="6" spans="1:8" ht="28.5" customHeight="1" thickBot="1" x14ac:dyDescent="0.25">
      <c r="A6" s="14" t="s">
        <v>9</v>
      </c>
      <c r="B6" s="14" t="s">
        <v>8</v>
      </c>
      <c r="C6" s="14" t="s">
        <v>6</v>
      </c>
      <c r="D6" s="14" t="s">
        <v>96</v>
      </c>
    </row>
    <row r="7" spans="1:8" customFormat="1" x14ac:dyDescent="0.2">
      <c r="A7" s="1" t="s">
        <v>100</v>
      </c>
      <c r="B7" s="9" t="s">
        <v>20</v>
      </c>
      <c r="C7" s="55">
        <v>88.452500000000001</v>
      </c>
      <c r="D7" s="10" t="str">
        <f>IF(C7="","",IF(C7=100,"Максимальный",IF(AND(70&lt;C7,C7&lt;=99.9),"Высокий",IF(AND(55&lt;C7,C7&lt;=70),"Хороший",IF(AND(45&lt;C7,C7&lt;=55),"Удовлетворительный",IF(AND(35&lt;C7,C7&lt;=45),"Низкий",""))))))</f>
        <v>Высокий</v>
      </c>
    </row>
    <row r="8" spans="1:8" customFormat="1" x14ac:dyDescent="0.2">
      <c r="A8" s="1" t="s">
        <v>101</v>
      </c>
      <c r="B8" s="9" t="s">
        <v>52</v>
      </c>
      <c r="C8" s="55">
        <v>78.150000000000006</v>
      </c>
      <c r="D8" s="10" t="str">
        <f>IF(C8="","",IF(C8=100,"Максимальный",IF(AND(70&lt;C8,C8&lt;=99.9),"Высокий",IF(AND(55&lt;C8,C8&lt;=70),"Хороший",IF(AND(45&lt;C8,C8&lt;=55),"Удовлетворительный",IF(AND(35&lt;C8,C8&lt;=45),"Низкий",""))))))</f>
        <v>Высокий</v>
      </c>
    </row>
    <row r="9" spans="1:8" customFormat="1" x14ac:dyDescent="0.2">
      <c r="A9" s="1" t="s">
        <v>102</v>
      </c>
      <c r="B9" s="9" t="s">
        <v>21</v>
      </c>
      <c r="C9" s="55">
        <v>89.421999999999997</v>
      </c>
      <c r="D9" s="10" t="str">
        <f>IF(C9="","",IF(C9=100,"Максимальный",IF(AND(70&lt;C9,C9&lt;=99.9),"Высокий",IF(AND(55&lt;C9,C9&lt;=70),"Хороший",IF(AND(45&lt;C9,C9&lt;=55),"Удовлетворительный",IF(AND(35&lt;C9,C9&lt;=45),"Низкий",""))))))</f>
        <v>Высокий</v>
      </c>
    </row>
    <row r="10" spans="1:8" customFormat="1" x14ac:dyDescent="0.2">
      <c r="A10" s="1" t="s">
        <v>103</v>
      </c>
      <c r="B10" s="9" t="s">
        <v>22</v>
      </c>
      <c r="C10" s="55">
        <v>92.652500000000003</v>
      </c>
      <c r="D10" s="10" t="str">
        <f>IF(C10="","",IF(C10=100,"Максимальный",IF(AND(70&lt;C10,C10&lt;=99.9),"Высокий",IF(AND(55&lt;C10,C10&lt;=70),"Хороший",IF(AND(45&lt;C10,C10&lt;=55),"Удовлетворительный",IF(AND(35&lt;C10,C10&lt;=45),"Низкий",""))))))</f>
        <v>Высокий</v>
      </c>
    </row>
    <row r="11" spans="1:8" customFormat="1" x14ac:dyDescent="0.2">
      <c r="A11" s="1" t="s">
        <v>104</v>
      </c>
      <c r="B11" s="9" t="s">
        <v>23</v>
      </c>
      <c r="C11" s="55">
        <v>79.417500000000004</v>
      </c>
      <c r="D11" s="10" t="str">
        <f>IF(C11="","",IF(C11=100,"Максимальный",IF(AND(70&lt;C11,C11&lt;=99.9),"Высокий",IF(AND(55&lt;C11,C11&lt;=70),"Хороший",IF(AND(45&lt;C11,C11&lt;=55),"Удовлетворительный",IF(AND(35&lt;C11,C11&lt;=45),"Низкий",""))))))</f>
        <v>Высокий</v>
      </c>
    </row>
    <row r="12" spans="1:8" customFormat="1" x14ac:dyDescent="0.2">
      <c r="A12" s="1" t="s">
        <v>105</v>
      </c>
      <c r="B12" s="9" t="s">
        <v>24</v>
      </c>
      <c r="C12" s="55">
        <v>66.75</v>
      </c>
      <c r="D12" s="10" t="str">
        <f>IF(C12="","",IF(C12=100,"Максимальный",IF(AND(70&lt;C12,C12&lt;=99.9),"Высокий",IF(AND(55&lt;C12,C12&lt;=70),"Хороший",IF(AND(45&lt;C12,C12&lt;=55),"Удовлетворительный",IF(AND(35&lt;C12,C12&lt;=45),"Низкий",""))))))</f>
        <v>Хороший</v>
      </c>
    </row>
    <row r="13" spans="1:8" customFormat="1" x14ac:dyDescent="0.2">
      <c r="A13" s="1" t="s">
        <v>106</v>
      </c>
      <c r="B13" s="9" t="s">
        <v>25</v>
      </c>
      <c r="C13" s="55">
        <v>66.002499999999998</v>
      </c>
      <c r="D13" s="10" t="str">
        <f>IF(C13="","",IF(C13=100,"Максимальный",IF(AND(70&lt;C13,C13&lt;=99.9),"Высокий",IF(AND(55&lt;C13,C13&lt;=70),"Хороший",IF(AND(45&lt;C13,C13&lt;=55),"Удовлетворительный",IF(AND(35&lt;C13,C13&lt;=45),"Низкий",""))))))</f>
        <v>Хороший</v>
      </c>
    </row>
    <row r="14" spans="1:8" customFormat="1" x14ac:dyDescent="0.2">
      <c r="A14" s="1" t="s">
        <v>107</v>
      </c>
      <c r="B14" s="9" t="s">
        <v>26</v>
      </c>
      <c r="C14" s="55">
        <v>71.25</v>
      </c>
      <c r="D14" s="10" t="str">
        <f>IF(C14="","",IF(C14=100,"Максимальный",IF(AND(70&lt;C14,C14&lt;=99.9),"Высокий",IF(AND(55&lt;C14,C14&lt;=70),"Хороший",IF(AND(45&lt;C14,C14&lt;=55),"Удовлетворительный",IF(AND(35&lt;C14,C14&lt;=45),"Низкий",""))))))</f>
        <v>Высокий</v>
      </c>
    </row>
    <row r="15" spans="1:8" customFormat="1" ht="25.5" x14ac:dyDescent="0.2">
      <c r="A15" s="1" t="s">
        <v>108</v>
      </c>
      <c r="B15" s="9" t="s">
        <v>51</v>
      </c>
      <c r="C15" s="55">
        <v>67.265000000000001</v>
      </c>
      <c r="D15" s="10" t="str">
        <f>IF(C15="","",IF(C15=100,"Максимальный",IF(AND(70&lt;C15,C15&lt;=99.9),"Высокий",IF(AND(55&lt;C15,C15&lt;=70),"Хороший",IF(AND(45&lt;C15,C15&lt;=55),"Удовлетворительный",IF(AND(35&lt;C15,C15&lt;=45),"Низкий",""))))))</f>
        <v>Хороший</v>
      </c>
    </row>
    <row r="16" spans="1:8" customFormat="1" x14ac:dyDescent="0.2">
      <c r="A16" s="1" t="s">
        <v>109</v>
      </c>
      <c r="B16" s="9" t="s">
        <v>27</v>
      </c>
      <c r="C16" s="55">
        <v>68.954999999999998</v>
      </c>
      <c r="D16" s="10" t="str">
        <f>IF(C16="","",IF(C16=100,"Максимальный",IF(AND(70&lt;C16,C16&lt;=99.9),"Высокий",IF(AND(55&lt;C16,C16&lt;=70),"Хороший",IF(AND(45&lt;C16,C16&lt;=55),"Удовлетворительный",IF(AND(35&lt;C16,C16&lt;=45),"Низкий",""))))))</f>
        <v>Хороший</v>
      </c>
    </row>
    <row r="17" spans="1:4" customFormat="1" x14ac:dyDescent="0.2">
      <c r="A17" s="1" t="s">
        <v>110</v>
      </c>
      <c r="B17" s="9" t="s">
        <v>28</v>
      </c>
      <c r="C17" s="55">
        <v>77.724999999999994</v>
      </c>
      <c r="D17" s="10" t="str">
        <f>IF(C17="","",IF(C17=100,"Максимальный",IF(AND(70&lt;C17,C17&lt;=99.9),"Высокий",IF(AND(55&lt;C17,C17&lt;=70),"Хороший",IF(AND(45&lt;C17,C17&lt;=55),"Удовлетворительный",IF(AND(35&lt;C17,C17&lt;=45),"Низкий",""))))))</f>
        <v>Высокий</v>
      </c>
    </row>
    <row r="18" spans="1:4" customFormat="1" x14ac:dyDescent="0.2">
      <c r="A18" s="1" t="s">
        <v>121</v>
      </c>
      <c r="B18" s="9" t="s">
        <v>120</v>
      </c>
      <c r="C18" s="55">
        <v>71.239999999999995</v>
      </c>
      <c r="D18" s="10" t="str">
        <f>IF(C18="","",IF(C18=100,"Максимальный",IF(AND(70&lt;C18,C18&lt;=99.9),"Высокий",IF(AND(55&lt;C18,C18&lt;=70),"Хороший",IF(AND(45&lt;C18,C18&lt;=55),"Удовлетворительный",IF(AND(35&lt;C18,C18&lt;=45),"Низкий",""))))))</f>
        <v>Высокий</v>
      </c>
    </row>
    <row r="19" spans="1:4" customFormat="1" x14ac:dyDescent="0.2">
      <c r="A19" s="1" t="s">
        <v>111</v>
      </c>
      <c r="B19" s="9" t="s">
        <v>29</v>
      </c>
      <c r="C19" s="55">
        <v>71.137500000000003</v>
      </c>
      <c r="D19" s="10" t="str">
        <f>IF(C19="","",IF(C19=100,"Максимальный",IF(AND(70&lt;C19,C19&lt;=99.9),"Высокий",IF(AND(55&lt;C19,C19&lt;=70),"Хороший",IF(AND(45&lt;C19,C19&lt;=55),"Удовлетворительный",IF(AND(35&lt;C19,C19&lt;=45),"Низкий",""))))))</f>
        <v>Высокий</v>
      </c>
    </row>
    <row r="20" spans="1:4" customFormat="1" x14ac:dyDescent="0.2">
      <c r="A20" s="1" t="s">
        <v>112</v>
      </c>
      <c r="B20" s="9" t="s">
        <v>30</v>
      </c>
      <c r="C20" s="55">
        <v>84.512500000000003</v>
      </c>
      <c r="D20" s="10" t="str">
        <f>IF(C20="","",IF(C20=100,"Максимальный",IF(AND(70&lt;C20,C20&lt;=99.9),"Высокий",IF(AND(55&lt;C20,C20&lt;=70),"Хороший",IF(AND(45&lt;C20,C20&lt;=55),"Удовлетворительный",IF(AND(35&lt;C20,C20&lt;=45),"Низкий",""))))))</f>
        <v>Высокий</v>
      </c>
    </row>
    <row r="21" spans="1:4" customFormat="1" x14ac:dyDescent="0.2">
      <c r="A21" s="1" t="s">
        <v>113</v>
      </c>
      <c r="B21" s="9" t="s">
        <v>31</v>
      </c>
      <c r="C21" s="55">
        <v>80.422499999999999</v>
      </c>
      <c r="D21" s="10" t="str">
        <f>IF(C21="","",IF(C21=100,"Максимальный",IF(AND(70&lt;C21,C21&lt;=99.9),"Высокий",IF(AND(55&lt;C21,C21&lt;=70),"Хороший",IF(AND(45&lt;C21,C21&lt;=55),"Удовлетворительный",IF(AND(35&lt;C21,C21&lt;=45),"Низкий",""))))))</f>
        <v>Высокий</v>
      </c>
    </row>
    <row r="22" spans="1:4" customFormat="1" x14ac:dyDescent="0.2">
      <c r="A22" s="1" t="s">
        <v>114</v>
      </c>
      <c r="B22" s="9" t="s">
        <v>32</v>
      </c>
      <c r="C22" s="55">
        <v>81.527500000000003</v>
      </c>
      <c r="D22" s="10" t="str">
        <f>IF(C22="","",IF(C22=100,"Максимальный",IF(AND(70&lt;C22,C22&lt;=99.9),"Высокий",IF(AND(55&lt;C22,C22&lt;=70),"Хороший",IF(AND(45&lt;C22,C22&lt;=55),"Удовлетворительный",IF(AND(35&lt;C22,C22&lt;=45),"Низкий",""))))))</f>
        <v>Высокий</v>
      </c>
    </row>
    <row r="23" spans="1:4" customFormat="1" x14ac:dyDescent="0.2">
      <c r="A23" s="1" t="s">
        <v>115</v>
      </c>
      <c r="B23" s="9" t="s">
        <v>33</v>
      </c>
      <c r="C23" s="55">
        <v>85.68</v>
      </c>
      <c r="D23" s="10" t="str">
        <f>IF(C23="","",IF(C23=100,"Максимальный",IF(AND(70&lt;C23,C23&lt;=99.9),"Высокий",IF(AND(55&lt;C23,C23&lt;=70),"Хороший",IF(AND(45&lt;C23,C23&lt;=55),"Удовлетворительный",IF(AND(35&lt;C23,C23&lt;=45),"Низкий",""))))))</f>
        <v>Высокий</v>
      </c>
    </row>
    <row r="24" spans="1:4" customFormat="1" x14ac:dyDescent="0.2">
      <c r="A24" s="1" t="s">
        <v>116</v>
      </c>
      <c r="B24" s="9" t="s">
        <v>34</v>
      </c>
      <c r="C24" s="55">
        <v>85.91</v>
      </c>
      <c r="D24" s="10" t="str">
        <f>IF(C24="","",IF(C24=100,"Максимальный",IF(AND(70&lt;C24,C24&lt;=99.9),"Высокий",IF(AND(55&lt;C24,C24&lt;=70),"Хороший",IF(AND(45&lt;C24,C24&lt;=55),"Удовлетворительный",IF(AND(35&lt;C24,C24&lt;=45),"Низкий",""))))))</f>
        <v>Высокий</v>
      </c>
    </row>
    <row r="25" spans="1:4" customFormat="1" x14ac:dyDescent="0.2">
      <c r="A25" s="1" t="s">
        <v>117</v>
      </c>
      <c r="B25" s="9" t="s">
        <v>89</v>
      </c>
      <c r="C25" s="55">
        <v>80.905000000000001</v>
      </c>
      <c r="D25" s="10" t="str">
        <f>IF(C25="","",IF(C25=100,"Максимальный",IF(AND(70&lt;C25,C25&lt;=99.9),"Высокий",IF(AND(55&lt;C25,C25&lt;=70),"Хороший",IF(AND(45&lt;C25,C25&lt;=55),"Удовлетворительный",IF(AND(35&lt;C25,C25&lt;=45),"Низкий",""))))))</f>
        <v>Высокий</v>
      </c>
    </row>
    <row r="26" spans="1:4" customFormat="1" x14ac:dyDescent="0.2">
      <c r="A26" s="1" t="s">
        <v>118</v>
      </c>
      <c r="B26" s="9" t="s">
        <v>35</v>
      </c>
      <c r="C26" s="55">
        <v>84.194999999999993</v>
      </c>
      <c r="D26" s="10" t="str">
        <f>IF(C26="","",IF(C26=100,"Максимальный",IF(AND(70&lt;C26,C26&lt;=99.9),"Высокий",IF(AND(55&lt;C26,C26&lt;=70),"Хороший",IF(AND(45&lt;C26,C26&lt;=55),"Удовлетворительный",IF(AND(35&lt;C26,C26&lt;=45),"Низкий",""))))))</f>
        <v>Высокий</v>
      </c>
    </row>
    <row r="27" spans="1:4" customFormat="1" x14ac:dyDescent="0.2">
      <c r="A27" s="1" t="s">
        <v>119</v>
      </c>
      <c r="B27" s="9" t="s">
        <v>36</v>
      </c>
      <c r="C27" s="55">
        <v>86.977000000000004</v>
      </c>
      <c r="D27" s="10" t="str">
        <f>IF(C27="","",IF(C27=100,"Максимальный",IF(AND(70&lt;C27,C27&lt;=99.9),"Высокий",IF(AND(55&lt;C27,C27&lt;=70),"Хороший",IF(AND(45&lt;C27,C27&lt;=55),"Удовлетворительный",IF(AND(35&lt;C27,C27&lt;=45),"Низкий",""))))))</f>
        <v>Высокий</v>
      </c>
    </row>
    <row r="28" spans="1:4" x14ac:dyDescent="0.2">
      <c r="C28" s="35"/>
    </row>
  </sheetData>
  <sheetProtection algorithmName="SHA-512" hashValue="Au+nJqEevo5fkrolAQaQR7nGS9O7pF8nBzMq8BevXSx0qPawnEirl7Ny9oqpRtHQein6yx6B9AIFL0pgfTCvhQ==" saltValue="MReinyjRo958qUx35OPxyg==" spinCount="100000" sheet="1" objects="1" scenarios="1" formatCells="0" formatColumns="0" formatRows="0" deleteColumns="0" deleteRows="0"/>
  <protectedRanges>
    <protectedRange sqref="D7:D27" name="krista_tf_8792_0_0"/>
  </protectedRanges>
  <mergeCells count="1">
    <mergeCell ref="A1:E1"/>
  </mergeCells>
  <pageMargins left="0" right="0" top="0" bottom="0" header="0" footer="0"/>
  <pageSetup paperSize="9" scale="90" orientation="landscape" r:id="rId1"/>
  <headerFooter alignWithMargins="0"/>
  <customProperties>
    <customPr name="273" r:id="rId2"/>
    <customPr name="krista_fm_columnsmarkup" r:id="rId3"/>
    <customPr name="krista_fm_consts" r:id="rId4"/>
    <customPr name="krista_fm_Events" r:id="rId5"/>
    <customPr name="krista_fm_metadataXML" r:id="rId6"/>
    <customPr name="krista_fm_rowsaxis" r:id="rId7"/>
    <customPr name="krista_fm_rowsmarkup" r:id="rId8"/>
    <customPr name="krista_SheetHistory" r:id="rId9"/>
    <customPr name="p8" r:id="rId10"/>
    <customPr name="p9" r:id="rId11"/>
  </customProperties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351</vt:i4>
      </vt:variant>
    </vt:vector>
  </HeadingPairs>
  <TitlesOfParts>
    <vt:vector size="360" baseType="lpstr">
      <vt:lpstr>1. Управление расходами</vt:lpstr>
      <vt:lpstr>2. Управление доходами</vt:lpstr>
      <vt:lpstr>3. Вед учета и сост отчетности</vt:lpstr>
      <vt:lpstr>4. Внутр фин аудит</vt:lpstr>
      <vt:lpstr>5. Исполн бюджет процедур</vt:lpstr>
      <vt:lpstr>6. Управл активами</vt:lpstr>
      <vt:lpstr>Итог</vt:lpstr>
      <vt:lpstr>Рейтинг</vt:lpstr>
      <vt:lpstr>Уровень качества</vt:lpstr>
      <vt:lpstr>'1. Управление расходами'!Print_Area</vt:lpstr>
      <vt:lpstr>'6. Управл активами'!Print_Area</vt:lpstr>
      <vt:lpstr>Итог!Print_Area</vt:lpstr>
      <vt:lpstr>Итог!Print_Titles</vt:lpstr>
      <vt:lpstr>Итог!Вес1</vt:lpstr>
      <vt:lpstr>'1. Управление расходами'!Вес1.1</vt:lpstr>
      <vt:lpstr>Вес1.11</vt:lpstr>
      <vt:lpstr>Вес1.12</vt:lpstr>
      <vt:lpstr>Вес1.13</vt:lpstr>
      <vt:lpstr>Вес1.14</vt:lpstr>
      <vt:lpstr>Вес1.15</vt:lpstr>
      <vt:lpstr>Вес1.16</vt:lpstr>
      <vt:lpstr>Вес1.17</vt:lpstr>
      <vt:lpstr>Вес1.18</vt:lpstr>
      <vt:lpstr>'1. Управление расходами'!Вес1.3</vt:lpstr>
      <vt:lpstr>'1. Управление расходами'!Вес1.4</vt:lpstr>
      <vt:lpstr>'1. Управление расходами'!Вес1.5</vt:lpstr>
      <vt:lpstr>'1. Управление расходами'!Вес1.6</vt:lpstr>
      <vt:lpstr>'1. Управление расходами'!Вес1.7</vt:lpstr>
      <vt:lpstr>Вес1.8</vt:lpstr>
      <vt:lpstr>Вес1.9</vt:lpstr>
      <vt:lpstr>Итог!Вес2</vt:lpstr>
      <vt:lpstr>'2. Управление доходами'!Вес2.1</vt:lpstr>
      <vt:lpstr>'2. Управление доходами'!Вес2.2</vt:lpstr>
      <vt:lpstr>'2. Управление доходами'!Вес2.3</vt:lpstr>
      <vt:lpstr>Вес2.4</vt:lpstr>
      <vt:lpstr>Вес2.5</vt:lpstr>
      <vt:lpstr>Итог!Вес3</vt:lpstr>
      <vt:lpstr>'3. Вед учета и сост отчетности'!Вес3.1</vt:lpstr>
      <vt:lpstr>'3. Вед учета и сост отчетности'!Вес3.2</vt:lpstr>
      <vt:lpstr>'3. Вед учета и сост отчетности'!Вес3.3</vt:lpstr>
      <vt:lpstr>Итог!Вес4</vt:lpstr>
      <vt:lpstr>'4. Внутр фин аудит'!Вес4.1</vt:lpstr>
      <vt:lpstr>'4. Внутр фин аудит'!Вес4.2</vt:lpstr>
      <vt:lpstr>'4. Внутр фин аудит'!Вес4.3</vt:lpstr>
      <vt:lpstr>'4. Внутр фин аудит'!Вес4.4</vt:lpstr>
      <vt:lpstr>Итог!Вес5</vt:lpstr>
      <vt:lpstr>'5. Исполн бюджет процедур'!Вес5.1</vt:lpstr>
      <vt:lpstr>'5. Исполн бюджет процедур'!Вес5.2</vt:lpstr>
      <vt:lpstr>Итог!Вес6</vt:lpstr>
      <vt:lpstr>'6. Управл активами'!Вес6.1</vt:lpstr>
      <vt:lpstr>'6. Управл активами'!Вес6.2</vt:lpstr>
      <vt:lpstr>Итог!Криста_Мера_15_0</vt:lpstr>
      <vt:lpstr>Итог!Криста_Мера_16_0</vt:lpstr>
      <vt:lpstr>Итог!Криста_Мера_17_0</vt:lpstr>
      <vt:lpstr>Рейтинг!Криста_Мера_17_0</vt:lpstr>
      <vt:lpstr>'Уровень качества'!Криста_Мера_17_0</vt:lpstr>
      <vt:lpstr>Итог!Криста_Мера_19_0</vt:lpstr>
      <vt:lpstr>Итог!Криста_Мера_21_0</vt:lpstr>
      <vt:lpstr>Итог!Криста_Мера_23_0</vt:lpstr>
      <vt:lpstr>Итог!Криста_Мера_25_0</vt:lpstr>
      <vt:lpstr>Итог!Криста_Мера_26_0</vt:lpstr>
      <vt:lpstr>Итог!Криста_Мера_27_0</vt:lpstr>
      <vt:lpstr>'2. Управление доходами'!Криста_Мера_28_0</vt:lpstr>
      <vt:lpstr>'3. Вед учета и сост отчетности'!Криста_Мера_28_0</vt:lpstr>
      <vt:lpstr>'4. Внутр фин аудит'!Криста_Мера_28_0</vt:lpstr>
      <vt:lpstr>'5. Исполн бюджет процедур'!Криста_Мера_28_0</vt:lpstr>
      <vt:lpstr>'6. Управл активами'!Криста_Мера_28_0</vt:lpstr>
      <vt:lpstr>Итог!Криста_Мера_28_0</vt:lpstr>
      <vt:lpstr>'2. Управление доходами'!Криста_Мера_29_0</vt:lpstr>
      <vt:lpstr>'3. Вед учета и сост отчетности'!Криста_Мера_29_0</vt:lpstr>
      <vt:lpstr>'4. Внутр фин аудит'!Криста_Мера_29_0</vt:lpstr>
      <vt:lpstr>'5. Исполн бюджет процедур'!Криста_Мера_29_0</vt:lpstr>
      <vt:lpstr>'6. Управл активами'!Криста_Мера_29_0</vt:lpstr>
      <vt:lpstr>Итог!Криста_Мера_29_0</vt:lpstr>
      <vt:lpstr>'2. Управление доходами'!Криста_Мера_30_0</vt:lpstr>
      <vt:lpstr>'3. Вед учета и сост отчетности'!Криста_Мера_30_0</vt:lpstr>
      <vt:lpstr>'4. Внутр фин аудит'!Криста_Мера_30_0</vt:lpstr>
      <vt:lpstr>'5. Исполн бюджет процедур'!Криста_Мера_30_0</vt:lpstr>
      <vt:lpstr>'6. Управл активами'!Криста_Мера_30_0</vt:lpstr>
      <vt:lpstr>Итог!Криста_Мера_30_0</vt:lpstr>
      <vt:lpstr>'2. Управление доходами'!Криста_Мера_31_0</vt:lpstr>
      <vt:lpstr>'3. Вед учета и сост отчетности'!Криста_Мера_31_0</vt:lpstr>
      <vt:lpstr>'4. Внутр фин аудит'!Криста_Мера_31_0</vt:lpstr>
      <vt:lpstr>'5. Исполн бюджет процедур'!Криста_Мера_31_0</vt:lpstr>
      <vt:lpstr>'6. Управл активами'!Криста_Мера_31_0</vt:lpstr>
      <vt:lpstr>'1. Управление расходами'!Криста_Мера_32_0</vt:lpstr>
      <vt:lpstr>'2. Управление доходами'!Криста_Мера_32_0</vt:lpstr>
      <vt:lpstr>'3. Вед учета и сост отчетности'!Криста_Мера_32_0</vt:lpstr>
      <vt:lpstr>'4. Внутр фин аудит'!Криста_Мера_32_0</vt:lpstr>
      <vt:lpstr>'1. Управление расходами'!Криста_Мера_33_0</vt:lpstr>
      <vt:lpstr>'2. Управление доходами'!Криста_Мера_33_0</vt:lpstr>
      <vt:lpstr>'3. Вед учета и сост отчетности'!Криста_Мера_33_0</vt:lpstr>
      <vt:lpstr>'4. Внутр фин аудит'!Криста_Мера_33_0</vt:lpstr>
      <vt:lpstr>'1. Управление расходами'!Криста_Мера_34_0</vt:lpstr>
      <vt:lpstr>'4. Внутр фин аудит'!Криста_Мера_34_0</vt:lpstr>
      <vt:lpstr>'1. Управление расходами'!Криста_Мера_35_0</vt:lpstr>
      <vt:lpstr>'4. Внутр фин аудит'!Криста_Мера_35_0</vt:lpstr>
      <vt:lpstr>'1. Управление расходами'!Криста_Мера_36_0</vt:lpstr>
      <vt:lpstr>'1. Управление расходами'!Криста_Мера_37_0</vt:lpstr>
      <vt:lpstr>'1. Управление расходами'!Криста_Мера_38_0</vt:lpstr>
      <vt:lpstr>'1. Управление расходами'!Криста_Мера_39_0</vt:lpstr>
      <vt:lpstr>'1. Управление расходами'!Криста_Мера_40_0</vt:lpstr>
      <vt:lpstr>'1. Управление расходами'!Криста_Мера_41_0</vt:lpstr>
      <vt:lpstr>'1. Управление расходами'!Криста_Мера_44_0</vt:lpstr>
      <vt:lpstr>'2. Управление доходами'!Криста_Мера_44_0</vt:lpstr>
      <vt:lpstr>'3. Вед учета и сост отчетности'!Криста_Мера_44_0</vt:lpstr>
      <vt:lpstr>'4. Внутр фин аудит'!Криста_Мера_44_0</vt:lpstr>
      <vt:lpstr>'5. Исполн бюджет процедур'!Криста_Мера_44_0</vt:lpstr>
      <vt:lpstr>'6. Управл активами'!Криста_Мера_44_0</vt:lpstr>
      <vt:lpstr>'2. Управление доходами'!Криста_Мера_45_0</vt:lpstr>
      <vt:lpstr>'3. Вед учета и сост отчетности'!Криста_Мера_45_0</vt:lpstr>
      <vt:lpstr>'4. Внутр фин аудит'!Криста_Мера_45_0</vt:lpstr>
      <vt:lpstr>'5. Исполн бюджет процедур'!Криста_Мера_45_0</vt:lpstr>
      <vt:lpstr>'6. Управл активами'!Криста_Мера_45_0</vt:lpstr>
      <vt:lpstr>'1. Управление расходами'!Криста_Мера_46_0</vt:lpstr>
      <vt:lpstr>'2. Управление доходами'!Криста_Мера_46_0</vt:lpstr>
      <vt:lpstr>'3. Вед учета и сост отчетности'!Криста_Мера_46_0</vt:lpstr>
      <vt:lpstr>'4. Внутр фин аудит'!Криста_Мера_46_0</vt:lpstr>
      <vt:lpstr>'1. Управление расходами'!Криста_Мера_47_0</vt:lpstr>
      <vt:lpstr>'4. Внутр фин аудит'!Криста_Мера_47_0</vt:lpstr>
      <vt:lpstr>'1. Управление расходами'!Криста_Мера_48_0</vt:lpstr>
      <vt:lpstr>'1. Управление расходами'!Криста_Мера_49_0</vt:lpstr>
      <vt:lpstr>'1. Управление расходами'!Криста_Мера_50_0</vt:lpstr>
      <vt:lpstr>'2. Управление доходами'!Криста_Мера_52_0</vt:lpstr>
      <vt:lpstr>'1. Управление расходами'!Криста_Мера_53_0</vt:lpstr>
      <vt:lpstr>'2. Управление доходами'!Криста_Мера_53_0</vt:lpstr>
      <vt:lpstr>'1. Управление расходами'!Криста_Мера_54_0</vt:lpstr>
      <vt:lpstr>'2. Управление доходами'!Криста_Мера_54_0</vt:lpstr>
      <vt:lpstr>'1. Управление расходами'!Криста_Мера_55_0</vt:lpstr>
      <vt:lpstr>'2. Управление доходами'!Криста_Мера_55_0</vt:lpstr>
      <vt:lpstr>'1. Управление расходами'!Криста_Мера_56_0</vt:lpstr>
      <vt:lpstr>'2. Управление доходами'!Криста_Мера_56_0</vt:lpstr>
      <vt:lpstr>'1. Управление расходами'!Криста_Мера_57_0</vt:lpstr>
      <vt:lpstr>'2. Управление доходами'!Криста_Мера_57_0</vt:lpstr>
      <vt:lpstr>'1. Управление расходами'!Криста_Мера_58_0</vt:lpstr>
      <vt:lpstr>'1. Управление расходами'!Криста_Мера_59_0</vt:lpstr>
      <vt:lpstr>'1. Управление расходами'!Криста_Мера_60_0</vt:lpstr>
      <vt:lpstr>'1. Управление расходами'!Криста_Мера_61_0</vt:lpstr>
      <vt:lpstr>'1. Управление расходами'!Криста_Мера_62_0</vt:lpstr>
      <vt:lpstr>'1. Управление расходами'!Криста_Мера_63_0</vt:lpstr>
      <vt:lpstr>'1. Управление расходами'!Криста_Мера_64_0</vt:lpstr>
      <vt:lpstr>'1. Управление расходами'!Криста_Мера_65_0</vt:lpstr>
      <vt:lpstr>'1. Управление расходами'!Криста_Мера_66_0</vt:lpstr>
      <vt:lpstr>'1. Управление расходами'!Криста_Мера_67_0</vt:lpstr>
      <vt:lpstr>'1. Управление расходами'!Криста_Мера_68_0</vt:lpstr>
      <vt:lpstr>'1. Управление расходами'!Криста_Мера_69_0</vt:lpstr>
      <vt:lpstr>'1. Управление расходами'!Криста_Мера_70_0</vt:lpstr>
      <vt:lpstr>'1. Управление расходами'!Криста_Мера_71_0</vt:lpstr>
      <vt:lpstr>'1. Управление расходами'!Криста_Мера_72_0</vt:lpstr>
      <vt:lpstr>'1. Управление расходами'!Криста_Мера_73_0</vt:lpstr>
      <vt:lpstr>'1. Управление расходами'!Криста_Мера_74_0</vt:lpstr>
      <vt:lpstr>'1. Управление расходами'!Криста_Мера_75_0</vt:lpstr>
      <vt:lpstr>'1. Управление расходами'!Криста_Мера_76_0</vt:lpstr>
      <vt:lpstr>'1. Управление расходами'!Криста_Мера_77_0</vt:lpstr>
      <vt:lpstr>'1. Управление расходами'!Криста_Мера_78_0</vt:lpstr>
      <vt:lpstr>'1. Управление расходами'!Криста_Мера_79_0</vt:lpstr>
      <vt:lpstr>'1. Управление расходами'!Криста_Мера_80_0</vt:lpstr>
      <vt:lpstr>'1. Управление расходами'!Криста_Мера_81_0</vt:lpstr>
      <vt:lpstr>'1. Управление расходами'!Криста_Мера_82_0</vt:lpstr>
      <vt:lpstr>'1. Управление расходами'!Криста_Мера_83_0</vt:lpstr>
      <vt:lpstr>'1. Управление расходами'!Криста_Мера_84_0</vt:lpstr>
      <vt:lpstr>Итог!Криста_Результат_11_0</vt:lpstr>
      <vt:lpstr>Итог!Криста_Результат_2_0</vt:lpstr>
      <vt:lpstr>Итог!Криста_Результат_30_0</vt:lpstr>
      <vt:lpstr>Итог!Криста_Результат_31_0</vt:lpstr>
      <vt:lpstr>Итог!Криста_Результат_32_0</vt:lpstr>
      <vt:lpstr>Итог!Криста_Результат_33_0</vt:lpstr>
      <vt:lpstr>Итог!Криста_Результат_34_0</vt:lpstr>
      <vt:lpstr>'1. Управление расходами'!Криста_Результат_39_0</vt:lpstr>
      <vt:lpstr>'2. Управление доходами'!Криста_Результат_39_0</vt:lpstr>
      <vt:lpstr>'3. Вед учета и сост отчетности'!Криста_Результат_39_0</vt:lpstr>
      <vt:lpstr>'4. Внутр фин аудит'!Криста_Результат_39_0</vt:lpstr>
      <vt:lpstr>'5. Исполн бюджет процедур'!Криста_Результат_39_0</vt:lpstr>
      <vt:lpstr>'6. Управл активами'!Криста_Результат_39_0</vt:lpstr>
      <vt:lpstr>'1. Управление расходами'!Криста_Результат_41_0</vt:lpstr>
      <vt:lpstr>'2. Управление доходами'!Криста_Результат_41_0</vt:lpstr>
      <vt:lpstr>'3. Вед учета и сост отчетности'!Криста_Результат_41_0</vt:lpstr>
      <vt:lpstr>'4. Внутр фин аудит'!Криста_Результат_41_0</vt:lpstr>
      <vt:lpstr>'5. Исполн бюджет процедур'!Криста_Результат_41_0</vt:lpstr>
      <vt:lpstr>'6. Управл активами'!Криста_Результат_41_0</vt:lpstr>
      <vt:lpstr>'2. Управление доходами'!Криста_Результат_43_0</vt:lpstr>
      <vt:lpstr>'3. Вед учета и сост отчетности'!Криста_Результат_43_0</vt:lpstr>
      <vt:lpstr>'4. Внутр фин аудит'!Криста_Результат_43_0</vt:lpstr>
      <vt:lpstr>'5. Исполн бюджет процедур'!Криста_Результат_43_0</vt:lpstr>
      <vt:lpstr>'6. Управл активами'!Криста_Результат_43_0</vt:lpstr>
      <vt:lpstr>'1. Управление расходами'!Криста_Результат_45_0</vt:lpstr>
      <vt:lpstr>'2. Управление доходами'!Криста_Результат_45_0</vt:lpstr>
      <vt:lpstr>'3. Вед учета и сост отчетности'!Криста_Результат_45_0</vt:lpstr>
      <vt:lpstr>'4. Внутр фин аудит'!Криста_Результат_45_0</vt:lpstr>
      <vt:lpstr>'1. Управление расходами'!Криста_Результат_47_0</vt:lpstr>
      <vt:lpstr>'4. Внутр фин аудит'!Криста_Результат_47_0</vt:lpstr>
      <vt:lpstr>'1. Управление расходами'!Криста_Результат_49_0</vt:lpstr>
      <vt:lpstr>'1. Управление расходами'!Криста_Результат_51_0</vt:lpstr>
      <vt:lpstr>'1. Управление расходами'!Криста_Результат_53_0</vt:lpstr>
      <vt:lpstr>'4. Внутр фин аудит'!Криста_Результат_57_0</vt:lpstr>
      <vt:lpstr>'5. Исполн бюджет процедур'!Криста_Результат_57_0</vt:lpstr>
      <vt:lpstr>'6. Управл активами'!Криста_Результат_57_0</vt:lpstr>
      <vt:lpstr>'1. Управление расходами'!Криста_Результат_58_0</vt:lpstr>
      <vt:lpstr>'2. Управление доходами'!Криста_Результат_58_0</vt:lpstr>
      <vt:lpstr>'3. Вед учета и сост отчетности'!Криста_Результат_58_0</vt:lpstr>
      <vt:lpstr>'2. Управление доходами'!Криста_Результат_59_0</vt:lpstr>
      <vt:lpstr>'1. Управление расходами'!Криста_Результат_60_0</vt:lpstr>
      <vt:lpstr>'2. Управление доходами'!Криста_Результат_60_0</vt:lpstr>
      <vt:lpstr>'1. Управление расходами'!Криста_Результат_61_0</vt:lpstr>
      <vt:lpstr>'1. Управление расходами'!Криста_Результат_62_0</vt:lpstr>
      <vt:lpstr>'1. Управление расходами'!Криста_Результат_63_0</vt:lpstr>
      <vt:lpstr>'1. Управление расходами'!Криста_Результат_64_0</vt:lpstr>
      <vt:lpstr>'1. Управление расходами'!Криста_Результат_65_0</vt:lpstr>
      <vt:lpstr>'1. Управление расходами'!Криста_Результат_66_0</vt:lpstr>
      <vt:lpstr>'1. Управление расходами'!Криста_Результат_67_0</vt:lpstr>
      <vt:lpstr>'1. Управление расходами'!Криста_Результат_68_0</vt:lpstr>
      <vt:lpstr>'1. Управление расходами'!Криста_Результат_69_0</vt:lpstr>
      <vt:lpstr>Итог!Криста_Результат_8_0</vt:lpstr>
      <vt:lpstr>'1. Управление расходами'!Криста_Свободный_100_0</vt:lpstr>
      <vt:lpstr>'1. Управление расходами'!Криста_Свободный_101_0</vt:lpstr>
      <vt:lpstr>'1. Управление расходами'!Криста_Свободный_102_0</vt:lpstr>
      <vt:lpstr>'1. Управление расходами'!Криста_Свободный_103_0</vt:lpstr>
      <vt:lpstr>'1. Управление расходами'!Криста_Свободный_104_0</vt:lpstr>
      <vt:lpstr>'1. Управление расходами'!Криста_Свободный_105_0</vt:lpstr>
      <vt:lpstr>'1. Управление расходами'!Криста_Свободный_106_0</vt:lpstr>
      <vt:lpstr>'1. Управление расходами'!Криста_Свободный_107_0</vt:lpstr>
      <vt:lpstr>'1. Управление расходами'!Криста_Свободный_108_0</vt:lpstr>
      <vt:lpstr>'1. Управление расходами'!Криста_Свободный_109_0</vt:lpstr>
      <vt:lpstr>'1. Управление расходами'!Криста_Свободный_110_0</vt:lpstr>
      <vt:lpstr>'1. Управление расходами'!Криста_Свободный_112_0</vt:lpstr>
      <vt:lpstr>'1. Управление расходами'!Криста_Свободный_113_0</vt:lpstr>
      <vt:lpstr>'1. Управление расходами'!Криста_Свободный_114_0</vt:lpstr>
      <vt:lpstr>'1. Управление расходами'!Криста_Свободный_115_0</vt:lpstr>
      <vt:lpstr>'1. Управление расходами'!Криста_Свободный_116_0</vt:lpstr>
      <vt:lpstr>'1. Управление расходами'!Криста_Свободный_117_0</vt:lpstr>
      <vt:lpstr>'1. Управление расходами'!Криста_Свободный_118_0</vt:lpstr>
      <vt:lpstr>'1. Управление расходами'!Криста_Свободный_119_0</vt:lpstr>
      <vt:lpstr>'1. Управление расходами'!Криста_Свободный_120_0</vt:lpstr>
      <vt:lpstr>'1. Управление расходами'!Криста_Свободный_121_0</vt:lpstr>
      <vt:lpstr>'1. Управление расходами'!Криста_Свободный_122_0</vt:lpstr>
      <vt:lpstr>'1. Управление расходами'!Криста_Свободный_123_0</vt:lpstr>
      <vt:lpstr>'1. Управление расходами'!Криста_Свободный_124_0</vt:lpstr>
      <vt:lpstr>'1. Управление расходами'!Криста_Свободный_125_0</vt:lpstr>
      <vt:lpstr>Итог!Криста_Свободный_13_0</vt:lpstr>
      <vt:lpstr>Итог!Криста_Свободный_14_0</vt:lpstr>
      <vt:lpstr>Итог!Криста_Свободный_18_0</vt:lpstr>
      <vt:lpstr>Итог!Криста_Свободный_3_0</vt:lpstr>
      <vt:lpstr>Итог!Криста_Свободный_31_0</vt:lpstr>
      <vt:lpstr>Рейтинг!Криста_Свободный_31_0</vt:lpstr>
      <vt:lpstr>'Уровень качества'!Криста_Свободный_31_0</vt:lpstr>
      <vt:lpstr>Итог!Криста_Свободный_32_0</vt:lpstr>
      <vt:lpstr>Итог!Криста_Свободный_34_0</vt:lpstr>
      <vt:lpstr>Итог!Криста_Свободный_35_0</vt:lpstr>
      <vt:lpstr>Итог!Криста_Свободный_36_0</vt:lpstr>
      <vt:lpstr>Итог!Криста_Свободный_37_0</vt:lpstr>
      <vt:lpstr>Итог!Криста_Свободный_38_0</vt:lpstr>
      <vt:lpstr>Итог!Криста_Свободный_39_0</vt:lpstr>
      <vt:lpstr>Итог!Криста_Свободный_4_0</vt:lpstr>
      <vt:lpstr>Итог!Криста_Свободный_40_0</vt:lpstr>
      <vt:lpstr>Итог!Криста_Свободный_41_0</vt:lpstr>
      <vt:lpstr>Итог!Криста_Свободный_42_0</vt:lpstr>
      <vt:lpstr>Итог!Криста_Свободный_43_0</vt:lpstr>
      <vt:lpstr>Итог!Криста_Свободный_44_0</vt:lpstr>
      <vt:lpstr>Итог!Криста_Свободный_45_0</vt:lpstr>
      <vt:lpstr>Итог!Криста_Свободный_46_0</vt:lpstr>
      <vt:lpstr>Итог!Криста_Свободный_47_0</vt:lpstr>
      <vt:lpstr>Итог!Криста_Свободный_48_0</vt:lpstr>
      <vt:lpstr>Итог!Криста_Свободный_49_0</vt:lpstr>
      <vt:lpstr>Итог!Криста_Свободный_5_0</vt:lpstr>
      <vt:lpstr>'1. Управление расходами'!Криста_Свободный_52_0</vt:lpstr>
      <vt:lpstr>'2. Управление доходами'!Криста_Свободный_52_0</vt:lpstr>
      <vt:lpstr>'3. Вед учета и сост отчетности'!Криста_Свободный_52_0</vt:lpstr>
      <vt:lpstr>'4. Внутр фин аудит'!Криста_Свободный_52_0</vt:lpstr>
      <vt:lpstr>'5. Исполн бюджет процедур'!Криста_Свободный_52_0</vt:lpstr>
      <vt:lpstr>'6. Управл активами'!Криста_Свободный_52_0</vt:lpstr>
      <vt:lpstr>'1. Управление расходами'!Криста_Свободный_53_0</vt:lpstr>
      <vt:lpstr>'2. Управление доходами'!Криста_Свободный_53_0</vt:lpstr>
      <vt:lpstr>'3. Вед учета и сост отчетности'!Криста_Свободный_53_0</vt:lpstr>
      <vt:lpstr>'4. Внутр фин аудит'!Криста_Свободный_53_0</vt:lpstr>
      <vt:lpstr>'5. Исполн бюджет процедур'!Криста_Свободный_53_0</vt:lpstr>
      <vt:lpstr>'6. Управл активами'!Криста_Свободный_53_0</vt:lpstr>
      <vt:lpstr>'2. Управление доходами'!Криста_Свободный_54_0</vt:lpstr>
      <vt:lpstr>'3. Вед учета и сост отчетности'!Криста_Свободный_54_0</vt:lpstr>
      <vt:lpstr>'4. Внутр фин аудит'!Криста_Свободный_54_0</vt:lpstr>
      <vt:lpstr>'5. Исполн бюджет процедур'!Криста_Свободный_54_0</vt:lpstr>
      <vt:lpstr>'6. Управл активами'!Криста_Свободный_54_0</vt:lpstr>
      <vt:lpstr>'2. Управление доходами'!Криста_Свободный_55_0</vt:lpstr>
      <vt:lpstr>'3. Вед учета и сост отчетности'!Криста_Свободный_55_0</vt:lpstr>
      <vt:lpstr>'4. Внутр фин аудит'!Криста_Свободный_55_0</vt:lpstr>
      <vt:lpstr>'5. Исполн бюджет процедур'!Криста_Свободный_55_0</vt:lpstr>
      <vt:lpstr>'6. Управл активами'!Криста_Свободный_55_0</vt:lpstr>
      <vt:lpstr>'1. Управление расходами'!Криста_Свободный_56_0</vt:lpstr>
      <vt:lpstr>'2. Управление доходами'!Криста_Свободный_56_0</vt:lpstr>
      <vt:lpstr>'3. Вед учета и сост отчетности'!Криста_Свободный_56_0</vt:lpstr>
      <vt:lpstr>'4. Внутр фин аудит'!Криста_Свободный_56_0</vt:lpstr>
      <vt:lpstr>'1. Управление расходами'!Криста_Свободный_57_0</vt:lpstr>
      <vt:lpstr>'2. Управление доходами'!Криста_Свободный_57_0</vt:lpstr>
      <vt:lpstr>'3. Вед учета и сост отчетности'!Криста_Свободный_57_0</vt:lpstr>
      <vt:lpstr>'4. Внутр фин аудит'!Криста_Свободный_57_0</vt:lpstr>
      <vt:lpstr>'1. Управление расходами'!Криста_Свободный_58_0</vt:lpstr>
      <vt:lpstr>'4. Внутр фин аудит'!Криста_Свободный_58_0</vt:lpstr>
      <vt:lpstr>'1. Управление расходами'!Криста_Свободный_59_0</vt:lpstr>
      <vt:lpstr>'4. Внутр фин аудит'!Криста_Свободный_59_0</vt:lpstr>
      <vt:lpstr>Итог!Криста_Свободный_6_0</vt:lpstr>
      <vt:lpstr>'1. Управление расходами'!Криста_Свободный_60_0</vt:lpstr>
      <vt:lpstr>'1. Управление расходами'!Криста_Свободный_61_0</vt:lpstr>
      <vt:lpstr>'1. Управление расходами'!Криста_Свободный_62_0</vt:lpstr>
      <vt:lpstr>'1. Управление расходами'!Криста_Свободный_63_0</vt:lpstr>
      <vt:lpstr>'1. Управление расходами'!Криста_Свободный_64_0</vt:lpstr>
      <vt:lpstr>'1. Управление расходами'!Криста_Свободный_65_0</vt:lpstr>
      <vt:lpstr>'2. Управление доходами'!Криста_Свободный_68_0</vt:lpstr>
      <vt:lpstr>'3. Вед учета и сост отчетности'!Криста_Свободный_68_0</vt:lpstr>
      <vt:lpstr>'4. Внутр фин аудит'!Криста_Свободный_68_0</vt:lpstr>
      <vt:lpstr>'5. Исполн бюджет процедур'!Криста_Свободный_68_0</vt:lpstr>
      <vt:lpstr>'6. Управл активами'!Криста_Свободный_68_0</vt:lpstr>
      <vt:lpstr>'2. Управление доходами'!Криста_Свободный_69_0</vt:lpstr>
      <vt:lpstr>'3. Вед учета и сост отчетности'!Криста_Свободный_69_0</vt:lpstr>
      <vt:lpstr>'4. Внутр фин аудит'!Криста_Свободный_69_0</vt:lpstr>
      <vt:lpstr>'5. Исполн бюджет процедур'!Криста_Свободный_69_0</vt:lpstr>
      <vt:lpstr>'6. Управл активами'!Криста_Свободный_69_0</vt:lpstr>
      <vt:lpstr>'2. Управление доходами'!Криста_Свободный_70_0</vt:lpstr>
      <vt:lpstr>'3. Вед учета и сост отчетности'!Криста_Свободный_70_0</vt:lpstr>
      <vt:lpstr>'4. Внутр фин аудит'!Криста_Свободный_70_0</vt:lpstr>
      <vt:lpstr>'4. Внутр фин аудит'!Криста_Свободный_71_0</vt:lpstr>
      <vt:lpstr>'1. Управление расходами'!Криста_Свободный_76_0</vt:lpstr>
      <vt:lpstr>'2. Управление доходами'!Криста_Свободный_76_0</vt:lpstr>
      <vt:lpstr>'3. Вед учета и сост отчетности'!Криста_Свободный_76_0</vt:lpstr>
      <vt:lpstr>'4. Внутр фин аудит'!Криста_Свободный_76_0</vt:lpstr>
      <vt:lpstr>'5. Исполн бюджет процедур'!Криста_Свободный_76_0</vt:lpstr>
      <vt:lpstr>'6. Управл активами'!Криста_Свободный_76_0</vt:lpstr>
      <vt:lpstr>'2. Управление доходами'!Криста_Свободный_77_0</vt:lpstr>
      <vt:lpstr>'2. Управление доходами'!Криста_Свободный_78_0</vt:lpstr>
      <vt:lpstr>'2. Управление доходами'!Криста_Свободный_79_0</vt:lpstr>
      <vt:lpstr>'2. Управление доходами'!Криста_Свободный_80_0</vt:lpstr>
      <vt:lpstr>'2. Управление доходами'!Криста_Свободный_81_0</vt:lpstr>
      <vt:lpstr>'2. Управление доходами'!Криста_Свободный_82_0</vt:lpstr>
      <vt:lpstr>'1. Управление расходами'!Криста_Свободный_89_0</vt:lpstr>
      <vt:lpstr>'1. Управление расходами'!Криста_Свободный_90_0</vt:lpstr>
      <vt:lpstr>'1. Управление расходами'!Криста_Свободный_91_0</vt:lpstr>
      <vt:lpstr>'1. Управление расходами'!Криста_Свободный_92_0</vt:lpstr>
      <vt:lpstr>'1. Управление расходами'!Криста_Свободный_93_0</vt:lpstr>
      <vt:lpstr>'1. Управление расходами'!Криста_Свободный_94_0</vt:lpstr>
      <vt:lpstr>'1. Управление расходами'!Криста_Свободный_95_0</vt:lpstr>
      <vt:lpstr>'1. Управление расходами'!Криста_Свободный_96_0</vt:lpstr>
      <vt:lpstr>'1. Управление расходами'!Криста_Свободный_97_0</vt:lpstr>
      <vt:lpstr>'1. Управление расходами'!Криста_Свободный_98_0</vt:lpstr>
      <vt:lpstr>'1. Управление расходами'!Криста_Свободный_99_0</vt:lpstr>
      <vt:lpstr>'1. Управление расходами'!Криста_Таблица</vt:lpstr>
      <vt:lpstr>'2. Управление доходами'!Криста_Таблица</vt:lpstr>
      <vt:lpstr>'3. Вед учета и сост отчетности'!Криста_Таблица</vt:lpstr>
      <vt:lpstr>'4. Внутр фин аудит'!Криста_Таблица</vt:lpstr>
      <vt:lpstr>'5. Исполн бюджет процедур'!Криста_Таблица</vt:lpstr>
      <vt:lpstr>'6. Управл активами'!Криста_Таблица</vt:lpstr>
      <vt:lpstr>Итог!Криста_Таблица</vt:lpstr>
      <vt:lpstr>Рейтинг!Криста_Таблица</vt:lpstr>
      <vt:lpstr>'Уровень качества'!Криста_Таблица</vt:lpstr>
      <vt:lpstr>'1. Управление расходами'!ОбластьИмпорта</vt:lpstr>
      <vt:lpstr>'2. Управление доходами'!ОбластьИмпорта</vt:lpstr>
      <vt:lpstr>'3. Вед учета и сост отчетности'!ОбластьИмпорта</vt:lpstr>
      <vt:lpstr>'4. Внутр фин аудит'!ОбластьИмпорта</vt:lpstr>
      <vt:lpstr>'5. Исполн бюджет процедур'!ОбластьИмпорта</vt:lpstr>
      <vt:lpstr>'6. Управл активами'!ОбластьИмпорта</vt:lpstr>
      <vt:lpstr>Итог!ОбластьИмпорта</vt:lpstr>
      <vt:lpstr>Рейтинг!ОбластьИмпорта</vt:lpstr>
      <vt:lpstr>'Уровень качества'!ОбластьИмпорта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Балабанова Татьяна Георгиевна</dc:creator>
  <cp:lastModifiedBy>Скрынникова Ж.А.</cp:lastModifiedBy>
  <cp:lastPrinted>2024-09-23T12:51:11Z</cp:lastPrinted>
  <dcterms:created xsi:type="dcterms:W3CDTF">2012-04-25T03:36:51Z</dcterms:created>
  <dcterms:modified xsi:type="dcterms:W3CDTF">2025-10-03T13:11:12Z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Path">
    <vt:lpwstr>C:\Program Files (x86)\Krista\FM\Krista.FM.Client\Workplace\TasksDocuments\274_437_ИТОГОВАЯ ОЦЕНКА.xlsx</vt:lpwstr>
  </property>
  <property fmtid="{D5CDD505-2E9C-101B-9397-08002B2CF9AE}" pid="3" name="fm.DocumentName">
    <vt:lpwstr>ИТОГОВАЯ ОЦЕНКА</vt:lpwstr>
  </property>
  <property fmtid="{D5CDD505-2E9C-101B-9397-08002B2CF9AE}" pid="4" name="fm.DocumentId">
    <vt:lpwstr>437</vt:lpwstr>
  </property>
  <property fmtid="{D5CDD505-2E9C-101B-9397-08002B2CF9AE}" pid="5" name="fm.TaskName">
    <vt:lpwstr>Отдел сводного планирования</vt:lpwstr>
  </property>
  <property fmtid="{D5CDD505-2E9C-101B-9397-08002B2CF9AE}" pid="6" name="fm.TaskId">
    <vt:lpwstr>274</vt:lpwstr>
  </property>
  <property fmtid="{D5CDD505-2E9C-101B-9397-08002B2CF9AE}" pid="7" name="fm.Owner">
    <vt:lpwstr>DF\zskrynnikova</vt:lpwstr>
  </property>
  <property fmtid="{D5CDD505-2E9C-101B-9397-08002B2CF9AE}" pid="8" name="fm.DocPath">
    <vt:lpwstr>C:\Program Files (x86)\Krista\FM\Krista.FM.Client\Workplace\TasksDocuments\274_437_ИТОГОВАЯ ОЦЕНКА.xlsx</vt:lpwstr>
  </property>
  <property fmtid="{D5CDD505-2E9C-101B-9397-08002B2CF9AE}" pid="9" name="fm.DocType">
    <vt:lpwstr>0</vt:lpwstr>
  </property>
  <property fmtid="{D5CDD505-2E9C-101B-9397-08002B2CF9AE}" pid="10" name="fm.ConnectionStr">
    <vt:lpwstr>SERVER4:8008</vt:lpwstr>
  </property>
  <property fmtid="{D5CDD505-2E9C-101B-9397-08002B2CF9AE}" pid="11" name="fm.AlterConnection">
    <vt:lpwstr>http://fmserv/Krista.FM.Server.WebServices/PlaningService.asmx</vt:lpwstr>
  </property>
  <property fmtid="{D5CDD505-2E9C-101B-9397-08002B2CF9AE}" pid="12" name="fm.SchemeName">
    <vt:lpwstr>Краснодар ГО</vt:lpwstr>
  </property>
  <property fmtid="{D5CDD505-2E9C-101B-9397-08002B2CF9AE}" pid="13" name="fm.tc.Data.Size">
    <vt:lpwstr>2584</vt:lpwstr>
  </property>
  <property fmtid="{D5CDD505-2E9C-101B-9397-08002B2CF9AE}" pid="14" name="fm.Result.Success">
    <vt:lpwstr>true</vt:lpwstr>
  </property>
  <property fmtid="{D5CDD505-2E9C-101B-9397-08002B2CF9AE}" pid="15" name="fm.Result.Message">
    <vt:lpwstr>
    </vt:lpwstr>
  </property>
</Properties>
</file>