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activeTab="3"/>
  </bookViews>
  <sheets>
    <sheet name="смета на 2013 (утвержд)" sheetId="1" r:id="rId1"/>
    <sheet name="2013" sheetId="2" r:id="rId2"/>
    <sheet name="пояснител. записка" sheetId="3" r:id="rId3"/>
    <sheet name="должники" sheetId="4" r:id="rId4"/>
  </sheets>
  <definedNames>
    <definedName name="__shared_1_0_0">985837.7+143741.34</definedName>
    <definedName name="Print_Titles_1">'смета на 2013 (утвержд)'!$2:$2</definedName>
    <definedName name="Print_Titles_2">'2013'!$29:$29</definedName>
  </definedNames>
  <calcPr calcId="125725" iterateDelta="1E-4"/>
</workbook>
</file>

<file path=xl/calcChain.xml><?xml version="1.0" encoding="utf-8"?>
<calcChain xmlns="http://schemas.openxmlformats.org/spreadsheetml/2006/main">
  <c r="F116" i="1"/>
  <c r="H21" i="4"/>
  <c r="G21"/>
  <c r="F21"/>
  <c r="E21"/>
  <c r="D21"/>
  <c r="C21"/>
  <c r="J20"/>
  <c r="J19"/>
  <c r="J18"/>
  <c r="J17"/>
  <c r="J16"/>
  <c r="J15"/>
  <c r="J14"/>
  <c r="J13"/>
  <c r="J12"/>
  <c r="J11"/>
  <c r="I10"/>
  <c r="I21" s="1"/>
  <c r="J9"/>
  <c r="J8"/>
  <c r="C8"/>
  <c r="J7"/>
  <c r="J10" l="1"/>
  <c r="J21" s="1"/>
  <c r="E114" i="1" l="1"/>
  <c r="D9" i="2"/>
  <c r="D74" l="1"/>
  <c r="D71"/>
  <c r="D70" s="1"/>
  <c r="D68"/>
  <c r="D66"/>
  <c r="D65"/>
  <c r="D64"/>
  <c r="D63"/>
  <c r="D62"/>
  <c r="D60"/>
  <c r="D57"/>
  <c r="D53"/>
  <c r="D49"/>
  <c r="D46"/>
  <c r="D38"/>
  <c r="D36"/>
  <c r="D35"/>
  <c r="D34"/>
  <c r="D32"/>
  <c r="D69" s="1"/>
  <c r="F30"/>
  <c r="G30" s="1"/>
  <c r="E30"/>
  <c r="C27"/>
  <c r="D17"/>
  <c r="D24" s="1"/>
  <c r="C13"/>
  <c r="D8"/>
  <c r="D75" s="1"/>
  <c r="D5"/>
  <c r="J80" i="1"/>
  <c r="G80"/>
  <c r="J79"/>
  <c r="H79"/>
  <c r="G79"/>
  <c r="E79"/>
  <c r="J78"/>
  <c r="H78"/>
  <c r="G78"/>
  <c r="E78"/>
  <c r="H77"/>
  <c r="I76"/>
  <c r="J75"/>
  <c r="G75"/>
  <c r="J74"/>
  <c r="G74"/>
  <c r="J73"/>
  <c r="G73"/>
  <c r="J72"/>
  <c r="H72"/>
  <c r="G72"/>
  <c r="E72"/>
  <c r="C72"/>
  <c r="J71"/>
  <c r="H71"/>
  <c r="G71"/>
  <c r="E71"/>
  <c r="C71"/>
  <c r="I70"/>
  <c r="J70" s="1"/>
  <c r="G70"/>
  <c r="F70"/>
  <c r="E70"/>
  <c r="D70"/>
  <c r="C70"/>
  <c r="I69"/>
  <c r="J69" s="1"/>
  <c r="G69"/>
  <c r="F69"/>
  <c r="E69"/>
  <c r="D69"/>
  <c r="C69"/>
  <c r="I68"/>
  <c r="J67"/>
  <c r="G67"/>
  <c r="J66"/>
  <c r="J65"/>
  <c r="J64"/>
  <c r="J63"/>
  <c r="J62"/>
  <c r="H62"/>
  <c r="G62"/>
  <c r="E62"/>
  <c r="C62"/>
  <c r="J61"/>
  <c r="H61"/>
  <c r="G61"/>
  <c r="E61"/>
  <c r="C61"/>
  <c r="I60"/>
  <c r="J60" s="1"/>
  <c r="E60"/>
  <c r="D60"/>
  <c r="C60" s="1"/>
  <c r="J59"/>
  <c r="G59"/>
  <c r="J58"/>
  <c r="G58"/>
  <c r="J57"/>
  <c r="H57"/>
  <c r="G57"/>
  <c r="E57"/>
  <c r="C57"/>
  <c r="I56"/>
  <c r="J56" s="1"/>
  <c r="G56"/>
  <c r="F56"/>
  <c r="E56"/>
  <c r="D56"/>
  <c r="C56"/>
  <c r="J55"/>
  <c r="H55"/>
  <c r="G55"/>
  <c r="E55"/>
  <c r="C55"/>
  <c r="J54"/>
  <c r="H54"/>
  <c r="G54"/>
  <c r="E54"/>
  <c r="C54"/>
  <c r="J53"/>
  <c r="H53"/>
  <c r="G53"/>
  <c r="E53"/>
  <c r="C53"/>
  <c r="J52"/>
  <c r="H52"/>
  <c r="G52"/>
  <c r="E52"/>
  <c r="C52"/>
  <c r="J51"/>
  <c r="H51"/>
  <c r="G51"/>
  <c r="E51"/>
  <c r="C51"/>
  <c r="I50"/>
  <c r="H50"/>
  <c r="F50"/>
  <c r="G50" s="1"/>
  <c r="D50"/>
  <c r="C50" s="1"/>
  <c r="J49"/>
  <c r="H49"/>
  <c r="G49"/>
  <c r="E49"/>
  <c r="C49"/>
  <c r="H48"/>
  <c r="F48"/>
  <c r="J48" s="1"/>
  <c r="D48"/>
  <c r="C48" s="1"/>
  <c r="C46" s="1"/>
  <c r="C45" s="1"/>
  <c r="J47"/>
  <c r="G47"/>
  <c r="I46"/>
  <c r="H46"/>
  <c r="F46"/>
  <c r="G46" s="1"/>
  <c r="D46"/>
  <c r="F45"/>
  <c r="G45" s="1"/>
  <c r="D45"/>
  <c r="J44"/>
  <c r="G44"/>
  <c r="J43"/>
  <c r="G43"/>
  <c r="J42"/>
  <c r="H42"/>
  <c r="G42"/>
  <c r="F42"/>
  <c r="E42"/>
  <c r="D42"/>
  <c r="C42"/>
  <c r="I41"/>
  <c r="J41" s="1"/>
  <c r="G41"/>
  <c r="F41"/>
  <c r="E41"/>
  <c r="D41"/>
  <c r="C41"/>
  <c r="J40"/>
  <c r="G40"/>
  <c r="J39"/>
  <c r="G39"/>
  <c r="I38"/>
  <c r="J38" s="1"/>
  <c r="G38"/>
  <c r="F38"/>
  <c r="E38"/>
  <c r="D38"/>
  <c r="C38"/>
  <c r="J37"/>
  <c r="G37"/>
  <c r="J36"/>
  <c r="H36"/>
  <c r="G36"/>
  <c r="E36"/>
  <c r="C36"/>
  <c r="J35"/>
  <c r="G35"/>
  <c r="I34"/>
  <c r="H34"/>
  <c r="F34"/>
  <c r="G34" s="1"/>
  <c r="D34"/>
  <c r="C34" s="1"/>
  <c r="J33"/>
  <c r="H33"/>
  <c r="G33"/>
  <c r="F33"/>
  <c r="E33"/>
  <c r="D33"/>
  <c r="C33"/>
  <c r="H32"/>
  <c r="F32"/>
  <c r="J32" s="1"/>
  <c r="D32"/>
  <c r="C32" s="1"/>
  <c r="C21" s="1"/>
  <c r="I31"/>
  <c r="H30"/>
  <c r="F30"/>
  <c r="J30" s="1"/>
  <c r="D30"/>
  <c r="C30" s="1"/>
  <c r="J29"/>
  <c r="H29"/>
  <c r="G29"/>
  <c r="F29"/>
  <c r="E29"/>
  <c r="D29"/>
  <c r="C29"/>
  <c r="H28"/>
  <c r="F28"/>
  <c r="J28" s="1"/>
  <c r="D28"/>
  <c r="C28" s="1"/>
  <c r="J27"/>
  <c r="H27"/>
  <c r="G27"/>
  <c r="F27"/>
  <c r="E27"/>
  <c r="D27"/>
  <c r="C27"/>
  <c r="I26"/>
  <c r="J26" s="1"/>
  <c r="G26"/>
  <c r="F26"/>
  <c r="E26"/>
  <c r="D26"/>
  <c r="C26"/>
  <c r="H25"/>
  <c r="F25"/>
  <c r="J25" s="1"/>
  <c r="D25"/>
  <c r="C25" s="1"/>
  <c r="J24"/>
  <c r="H24"/>
  <c r="G24"/>
  <c r="F24"/>
  <c r="E24"/>
  <c r="D24"/>
  <c r="C24"/>
  <c r="H23"/>
  <c r="F23"/>
  <c r="J23" s="1"/>
  <c r="D23"/>
  <c r="C23" s="1"/>
  <c r="D22"/>
  <c r="H16"/>
  <c r="E16"/>
  <c r="I15"/>
  <c r="J15" s="1"/>
  <c r="G15"/>
  <c r="G14"/>
  <c r="I13"/>
  <c r="J13" s="1"/>
  <c r="G13"/>
  <c r="I12"/>
  <c r="J12" s="1"/>
  <c r="G12"/>
  <c r="I11"/>
  <c r="J11" s="1"/>
  <c r="G11"/>
  <c r="F10"/>
  <c r="F77" s="1"/>
  <c r="D10"/>
  <c r="D77" s="1"/>
  <c r="H9"/>
  <c r="G9"/>
  <c r="E9"/>
  <c r="C9"/>
  <c r="I8"/>
  <c r="H8" s="1"/>
  <c r="G8"/>
  <c r="F8"/>
  <c r="E8"/>
  <c r="D8"/>
  <c r="C8"/>
  <c r="H7"/>
  <c r="G7"/>
  <c r="F7"/>
  <c r="E7"/>
  <c r="D7"/>
  <c r="C7"/>
  <c r="F6"/>
  <c r="G6" s="1"/>
  <c r="D6"/>
  <c r="D11" i="2" l="1"/>
  <c r="F76" i="1"/>
  <c r="J77"/>
  <c r="G77"/>
  <c r="E77"/>
  <c r="D76"/>
  <c r="C77"/>
  <c r="J76"/>
  <c r="D73" i="2"/>
  <c r="F114" i="1" s="1"/>
  <c r="D17"/>
  <c r="J46"/>
  <c r="J50"/>
  <c r="G60"/>
  <c r="F17"/>
  <c r="G17" s="1"/>
  <c r="D31"/>
  <c r="D21" s="1"/>
  <c r="J34"/>
  <c r="C6"/>
  <c r="E6"/>
  <c r="I6"/>
  <c r="C10"/>
  <c r="C17" s="1"/>
  <c r="E10"/>
  <c r="G10"/>
  <c r="I10"/>
  <c r="H12"/>
  <c r="F22"/>
  <c r="I22"/>
  <c r="E23"/>
  <c r="G23"/>
  <c r="E25"/>
  <c r="G25"/>
  <c r="H26"/>
  <c r="E28"/>
  <c r="G28"/>
  <c r="E30"/>
  <c r="G30"/>
  <c r="E32"/>
  <c r="G32"/>
  <c r="E34"/>
  <c r="H38"/>
  <c r="H21" s="1"/>
  <c r="H41"/>
  <c r="I45"/>
  <c r="J45" s="1"/>
  <c r="E48"/>
  <c r="E46" s="1"/>
  <c r="G48"/>
  <c r="E50"/>
  <c r="H56"/>
  <c r="H60"/>
  <c r="H68"/>
  <c r="H69"/>
  <c r="H70"/>
  <c r="H76"/>
  <c r="J22" l="1"/>
  <c r="I21"/>
  <c r="F31"/>
  <c r="F21"/>
  <c r="G22"/>
  <c r="I17"/>
  <c r="H10"/>
  <c r="H17" s="1"/>
  <c r="J10"/>
  <c r="H6"/>
  <c r="D68"/>
  <c r="C68" s="1"/>
  <c r="C76"/>
  <c r="F68"/>
  <c r="G76"/>
  <c r="E76"/>
  <c r="E45"/>
  <c r="E21"/>
  <c r="H45"/>
  <c r="E17"/>
  <c r="G21" l="1"/>
  <c r="F81"/>
  <c r="I81"/>
  <c r="J21"/>
  <c r="D81"/>
  <c r="G68"/>
  <c r="E68"/>
  <c r="J68"/>
  <c r="J31"/>
  <c r="G31"/>
  <c r="C81" l="1"/>
  <c r="D82"/>
  <c r="J81"/>
  <c r="H81"/>
  <c r="I82"/>
  <c r="G81"/>
  <c r="E81"/>
  <c r="F82"/>
</calcChain>
</file>

<file path=xl/sharedStrings.xml><?xml version="1.0" encoding="utf-8"?>
<sst xmlns="http://schemas.openxmlformats.org/spreadsheetml/2006/main" count="240" uniqueCount="190">
  <si>
    <t>Доходная часть бюджета</t>
  </si>
  <si>
    <t>Смета на 2013 год, руб.</t>
  </si>
  <si>
    <t>Смета с 01.01. по 31.12.2013 года, руб.</t>
  </si>
  <si>
    <t>отклонение</t>
  </si>
  <si>
    <t>откл-е от сметы</t>
  </si>
  <si>
    <t>Виды поступлений</t>
  </si>
  <si>
    <t>месяц</t>
  </si>
  <si>
    <t>год</t>
  </si>
  <si>
    <t>Поступило платежей от квартиросъемщиков</t>
  </si>
  <si>
    <t>из них за комунальные услуги</t>
  </si>
  <si>
    <t>Взносы домовладельцев на содержание и текущий ремонт общего имущества всего</t>
  </si>
  <si>
    <r>
      <t xml:space="preserve">Взносы домовладельцев на содержание и текущий ремонт общего имущества </t>
    </r>
    <r>
      <rPr>
        <sz val="11"/>
        <color rgb="FF000000"/>
        <rFont val="Calibri"/>
        <family val="2"/>
        <charset val="204"/>
      </rPr>
      <t>(16,00 руб./кв.м.  Х 4228,5 кв.м.)</t>
    </r>
  </si>
  <si>
    <r>
      <t xml:space="preserve">Взносы домовладельцев на содержание общего имущества по договорам о техническом обслуживании с подрядными организациями(лифт,мусор) </t>
    </r>
    <r>
      <rPr>
        <sz val="11"/>
        <color rgb="FF000000"/>
        <rFont val="Calibri"/>
        <family val="2"/>
        <charset val="204"/>
      </rPr>
      <t>(2,94 руб./кв.м.  Х 4217,7 кв.м.)</t>
    </r>
  </si>
  <si>
    <r>
      <t xml:space="preserve">Взносы домовладельцев на капитальный ремонт общего имущества </t>
    </r>
    <r>
      <rPr>
        <sz val="11"/>
        <color rgb="FF000000"/>
        <rFont val="Calibri"/>
        <family val="2"/>
        <charset val="204"/>
      </rPr>
      <t>(0,00 руб./кв.м.  Х 4228,5  кв.м.)</t>
    </r>
  </si>
  <si>
    <t>Доходы от внереализационных операций</t>
  </si>
  <si>
    <t>- реклама в лифтах;</t>
  </si>
  <si>
    <t>- пеня;</t>
  </si>
  <si>
    <t>- арендная плата (за размещение оборудования);</t>
  </si>
  <si>
    <t>- арендная плата ООО "Комстар-регионы" (за размещение оборудования);</t>
  </si>
  <si>
    <t>- возврат гос.пошлины</t>
  </si>
  <si>
    <t>Средства пожертвования</t>
  </si>
  <si>
    <t>Итого:</t>
  </si>
  <si>
    <t>Расходная часть бюджета</t>
  </si>
  <si>
    <t>Административно-управленческие расходы</t>
  </si>
  <si>
    <t>- фонд оплаты труда</t>
  </si>
  <si>
    <t>Управляющий домом - 12 075 руб./мес.;</t>
  </si>
  <si>
    <t>Гл.бухгалтер - 6 092 руб./мес.;</t>
  </si>
  <si>
    <t>Сантехник - 1 550 руб./мес.;</t>
  </si>
  <si>
    <t>Дворник - 2 361 руб./мес.;</t>
  </si>
  <si>
    <t>?</t>
  </si>
  <si>
    <t>Уборщик дома - 3 088 руб./мес.</t>
  </si>
  <si>
    <t>Дворник детской площадки- 575 руб./мес.;</t>
  </si>
  <si>
    <t>Электрик - 2 500 руб./мес. (факт - съем показаний -электросчетчиков- Мучиева М.А.)</t>
  </si>
  <si>
    <t>Консьержи 2 ед. х 4 600 руб./мес.</t>
  </si>
  <si>
    <r>
      <t xml:space="preserve"> - начисления на фонд оплаты труда (</t>
    </r>
    <r>
      <rPr>
        <sz val="8"/>
        <color rgb="FF000000"/>
        <rFont val="Calibri"/>
        <family val="2"/>
        <charset val="204"/>
      </rPr>
      <t>26,2%:взносы в Пенсионный фонд, Фонд обязательного медицинского страхования, Фонд социального страхования, Фонд занятости, транспортный налог</t>
    </r>
    <r>
      <rPr>
        <sz val="11"/>
        <color rgb="FF000000"/>
        <rFont val="Calibri"/>
        <family val="2"/>
        <charset val="204"/>
      </rPr>
      <t>);</t>
    </r>
  </si>
  <si>
    <t>- оплата телефона (вахта) - ООО "Ростелеком"ЮТК;</t>
  </si>
  <si>
    <t>- Услуги сотовой связи ( управляющий);</t>
  </si>
  <si>
    <t>- канцелярские расходы;</t>
  </si>
  <si>
    <t>в т.ч.:  изготовление печати для документов</t>
  </si>
  <si>
    <t>канц.товары, бух.бланки</t>
  </si>
  <si>
    <t>почтовые расходы,конверты</t>
  </si>
  <si>
    <t>- содержание оргтехники;</t>
  </si>
  <si>
    <t>в т.ч.: аренда ПК</t>
  </si>
  <si>
    <t>приобретение и обслуживание ПП 1С 8,8 ( Бухгалтерские программы:  1С,  Квартплата)</t>
  </si>
  <si>
    <t>- приобретение и обслуживание оргтехники;</t>
  </si>
  <si>
    <t>в т.ч.: приобретение принтера-3500, затраты на эл.энергию, размещение ПК-3600</t>
  </si>
  <si>
    <t>Обслуживание ПК, ремонт ПК,  картридж, Касперский</t>
  </si>
  <si>
    <t>-</t>
  </si>
  <si>
    <t>Техническое обслуживание, содержание и ремонт общего имущества многоквартирного дома:</t>
  </si>
  <si>
    <t>- техническая эксплуатация и текущий ремонт внутридомового оборудования;</t>
  </si>
  <si>
    <t>в т.ч.: поверка теплосчетчика (1раз в 4 года) ООО "Партнер-Инвест"</t>
  </si>
  <si>
    <t>съем показаний теплосчетчика</t>
  </si>
  <si>
    <t>промывка,опрессовка: гидравлические испытания системы отопления (ЮгСтройМонтаж)</t>
  </si>
  <si>
    <t>- техническое обслуживание, технический ремонт и содержание лифтового оборудования;</t>
  </si>
  <si>
    <t>в т.ч.: страхование лифтов</t>
  </si>
  <si>
    <t>периодическое освидетельствование лифтов</t>
  </si>
  <si>
    <t>техническое обслуживание лифтового оборудования ООО "Вертикаль-Сервис";</t>
  </si>
  <si>
    <t>- сбор и вывоз твердых и жидких бытовых отходов;</t>
  </si>
  <si>
    <t>- расходы на  хоз.нужды (инвентарь, материалы, доставка,хоз.средства;;</t>
  </si>
  <si>
    <t>- текущий ремонт общего имущества многоквартирного дома;</t>
  </si>
  <si>
    <t>Проверка вентиляционных каналов помещений дома и ремонт выявленных неисправностей ООО «Противопожарная профессиональная «Компания»</t>
  </si>
  <si>
    <t>- прочие расходы (резервный фонд);</t>
  </si>
  <si>
    <t>перечисление на работы по содержанию и текущему ремонту  дома</t>
  </si>
  <si>
    <t>акт от 31.12.2013  ИП Глушко</t>
  </si>
  <si>
    <t>приобретение Водомера на х/в,фильтра на х/в ( тек.ремонт)</t>
  </si>
  <si>
    <t>приобретение светильников (тек. Ремонт)</t>
  </si>
  <si>
    <t>Доставка светильников</t>
  </si>
  <si>
    <t>Материалы по сантехнике (тек. Ремонт)</t>
  </si>
  <si>
    <t>кран шаровый-6 шт, затвор диск-2 шт</t>
  </si>
  <si>
    <t>Авансовые отчеты тек.ремонт (сантехкомплект)</t>
  </si>
  <si>
    <t>фланец плоский -4 шт</t>
  </si>
  <si>
    <t>Прочие расходы, связанные с содержанием комплекса недвижимого имущества:</t>
  </si>
  <si>
    <t>- оплата услуг банка ("Москомприватбанк");</t>
  </si>
  <si>
    <t>- оплата консультационных, информационных, консалтинговых и аудиторских услуг;</t>
  </si>
  <si>
    <t>в т.ч.: расчет налога по экологии  за 2013 г</t>
  </si>
  <si>
    <t>составление отчетности за 2013 (ПФР, 2НДФЛ, ОСНО)</t>
  </si>
  <si>
    <t>-  Выплата вознаграждения членам ревизионной комиссии (ревизору) товарищества собственников жилья;</t>
  </si>
  <si>
    <t>- платежи по обязательному страхованию имущества, гражданской ответственности, отдельных категорий работников в соответствии с установленным законодательством порядком;</t>
  </si>
  <si>
    <t>- платежи по кредитам банков;</t>
  </si>
  <si>
    <t>- налоги, сборы, платежи и другие отчисления, установленные законодательством РФ;</t>
  </si>
  <si>
    <t>в т.ч.: налог УСНО 6 %</t>
  </si>
  <si>
    <t>не было оплаты</t>
  </si>
  <si>
    <t>налог по экологии</t>
  </si>
  <si>
    <r>
      <t xml:space="preserve"> - другие расходы </t>
    </r>
    <r>
      <rPr>
        <sz val="9"/>
        <color rgb="FF000000"/>
        <rFont val="Calibri"/>
        <family val="2"/>
        <charset val="204"/>
      </rPr>
      <t>(регистр.запросы,гос.пошлина и пр.)</t>
    </r>
  </si>
  <si>
    <t>Капитальный ремонт общего имущества многоквартирного дома</t>
  </si>
  <si>
    <t>Поступление и расход ден.средсв от пожертвования</t>
  </si>
  <si>
    <t>остаток на 01.01.2012г.</t>
  </si>
  <si>
    <t>Вознаграждение юристу</t>
  </si>
  <si>
    <t>израсходовано:</t>
  </si>
  <si>
    <t>асфальтирование отмостки дома- Коротенко Д.Н. по договорам подряда:</t>
  </si>
  <si>
    <t>асфальт  ООО "ДорСтройРегион"</t>
  </si>
  <si>
    <t>демонтаж,монтаж дверей и пусконалад.работы по установке домофона ООО "Метаком"</t>
  </si>
  <si>
    <t>ремонт холла 1 этажа  ИП Глушко</t>
  </si>
  <si>
    <t>кафель холл 1 этажа  ООО "Танаис"</t>
  </si>
  <si>
    <t>материалы для ремонта холла 1 этажа по авансовому отчету:</t>
  </si>
  <si>
    <t>почтовые ящики ООО "Италмас"</t>
  </si>
  <si>
    <t>сантехн.материалы по холодной воде ИП "Мусиенко"</t>
  </si>
  <si>
    <t>ремонт системы холодного водоснабжения (подвал) ИП Туриненко</t>
  </si>
  <si>
    <t>материалы для замены труб холодного водоснабжения по авансовому отчету:</t>
  </si>
  <si>
    <t>Итого расход</t>
  </si>
  <si>
    <t>Остаток на 01.01.2013г.</t>
  </si>
  <si>
    <t>задвижки по хол.воде на ввод в дом (в колодце) по авансовому отчету:</t>
  </si>
  <si>
    <t>На 01.01.2013 г.</t>
  </si>
  <si>
    <t>На 31.12.2013 г.</t>
  </si>
  <si>
    <t>Остаток денежных средств в банке</t>
  </si>
  <si>
    <t>Дебиторская задолженность</t>
  </si>
  <si>
    <t>в т.ч собственников перед ТСЖ</t>
  </si>
  <si>
    <t>Кредиторская задолженность</t>
  </si>
  <si>
    <t>Расходование денежных средств за 2013 год по ТСЖ "Дружба-97"</t>
  </si>
  <si>
    <t>(за период с 01 января 2013 по 31 декабря 2013)</t>
  </si>
  <si>
    <t>Остаток на 01.01.2013 на расчетном счете</t>
  </si>
  <si>
    <t>москомприват доп.карта</t>
  </si>
  <si>
    <t>москомприватбанк</t>
  </si>
  <si>
    <t>Остаток в подотчете на 31.12.2011 , в т.ч.</t>
  </si>
  <si>
    <t>Кононова Л. М.</t>
  </si>
  <si>
    <t>ИТОГО</t>
  </si>
  <si>
    <t>ПРИХОД</t>
  </si>
  <si>
    <t>№ п/п</t>
  </si>
  <si>
    <t>Наименование поступлений</t>
  </si>
  <si>
    <t>от квартиросъемщиков : ч/з банк</t>
  </si>
  <si>
    <t>от квартиросъемщиков ч/з кассу ТСЖ</t>
  </si>
  <si>
    <t>Возврат гос.пошлины</t>
  </si>
  <si>
    <t>за размещение оборудования "Кубтелеком" ( интернет)</t>
  </si>
  <si>
    <t>за резмещение рекламы в лифтах "Чистый Город"</t>
  </si>
  <si>
    <t>за размещение оборудования "Комстар Регионы" ( интернет)</t>
  </si>
  <si>
    <t>за размещение оборудования "Ростелеком" ( интернет)</t>
  </si>
  <si>
    <t>РАСХОД</t>
  </si>
  <si>
    <t>Наименование  расходов</t>
  </si>
  <si>
    <t>сметв</t>
  </si>
  <si>
    <t>резервный</t>
  </si>
  <si>
    <t>Заработная плата работников</t>
  </si>
  <si>
    <t>Управляющий</t>
  </si>
  <si>
    <t>Бухгалтер</t>
  </si>
  <si>
    <t>Сантехник</t>
  </si>
  <si>
    <t>Дворник детск. площадки</t>
  </si>
  <si>
    <t>Консъержки</t>
  </si>
  <si>
    <t>Уборщик-дворник</t>
  </si>
  <si>
    <t>Оплата по договорам подряда</t>
  </si>
  <si>
    <t>съем показаний -электросчетчики</t>
  </si>
  <si>
    <t>Налоги</t>
  </si>
  <si>
    <t>ПФР накопительная,страховая, НДФЛ (переплата)</t>
  </si>
  <si>
    <t>Оплата поставщикам за коммунальные услуги</t>
  </si>
  <si>
    <t>Электроэнергия НЭСК</t>
  </si>
  <si>
    <t>ОАО "АТЭК" (гор. Вода, отопление)</t>
  </si>
  <si>
    <t>ООО "Водоканал"(хол.вода, канализация)</t>
  </si>
  <si>
    <t>Оплата поставщикам за услуги по сод.общего имущества</t>
  </si>
  <si>
    <t>Вывоз бытовых отходов ("Мусороуборочная компания, СТОП мусор)</t>
  </si>
  <si>
    <t>ООО "ОТИС Лифт"(техническое обслуживание лифтов)</t>
  </si>
  <si>
    <t>Оплата поставщикам за прочие услуги</t>
  </si>
  <si>
    <t>освидетельствование лифтов,страховая премия ОПО</t>
  </si>
  <si>
    <t>съем показаний теплосчетчиков</t>
  </si>
  <si>
    <t>Услуги банка</t>
  </si>
  <si>
    <t>Гидравлические испытания системы отопления</t>
  </si>
  <si>
    <t>Авансовые отчеты</t>
  </si>
  <si>
    <t>хоз.нужды (материалы,хоз.средства)</t>
  </si>
  <si>
    <t>тек.ремонт (сантехкомплект)</t>
  </si>
  <si>
    <t>телефон ЮТК</t>
  </si>
  <si>
    <t>телефон мобильной связи</t>
  </si>
  <si>
    <t>канц.товары</t>
  </si>
  <si>
    <t>почтовые расходы ( сдача отчетности)</t>
  </si>
  <si>
    <t>расходы на ПК, принтер; ксерокс</t>
  </si>
  <si>
    <t>Услуги банка (комиссионный сбор)</t>
  </si>
  <si>
    <t>Расчет налога по экологии</t>
  </si>
  <si>
    <t>Остаток в подотчете на 31.12.2013 , в т.ч.</t>
  </si>
  <si>
    <t>Остаток на 31.12.2013 г на расчетном счете</t>
  </si>
  <si>
    <t>Правлению ТСЖ «Дружба-97»</t>
  </si>
  <si>
    <t>Бухгалтера ТСЖ</t>
  </si>
  <si>
    <t>Жариковой О.Г.</t>
  </si>
  <si>
    <t>Пояснитеьная записка</t>
  </si>
  <si>
    <t>по исполнению сметы за 2013 г</t>
  </si>
  <si>
    <t>Начисление заработной платы производилось согласно переданной бухгалтеру смете.</t>
  </si>
  <si>
    <t xml:space="preserve">Выявленная переплата и недоплата по сотрудникам , при составлении отчета, будет </t>
  </si>
  <si>
    <t>откорректированна в 2014 году.</t>
  </si>
  <si>
    <t>Перерасход по статье "приобретение и обслуживание оргтехники" произошел по причине произведенного ремонта ПК, покупки программы касперского на 2014 г (которая будет кустановлена  30.01.2014), приобретение картриджа.</t>
  </si>
  <si>
    <t>Экономия по статье " зарплатные налоги" : запланировано по смете было 26,2%,</t>
  </si>
  <si>
    <t>фактически ТСЖ производило начисление налогов по заработной плате -20,2% (УСНО, ОКВЭД)</t>
  </si>
  <si>
    <t>Статья "Услуги Москомприватбанка" -  в июне и ноябре 2013 г были измененны тарифы на рко,</t>
  </si>
  <si>
    <t>также в данной статье находится оплата рко и других банков ( оплата налич.ден.средствами)</t>
  </si>
  <si>
    <t>Статья "составление отчетности" - бухгалтер самостоятельно формировала и сдавала отчеты</t>
  </si>
  <si>
    <t>Должники по квартплате на 31.12.2013 г.</t>
  </si>
  <si>
    <t>кв</t>
  </si>
  <si>
    <t>Месяц 2013 года / сумма (руб.)</t>
  </si>
  <si>
    <t>На 01.01.2013</t>
  </si>
  <si>
    <t>март</t>
  </si>
  <si>
    <t>июль</t>
  </si>
  <si>
    <t>август</t>
  </si>
  <si>
    <t>сентябрь</t>
  </si>
  <si>
    <t>октябрь</t>
  </si>
  <si>
    <t>ноябрь</t>
  </si>
  <si>
    <t>итого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</si>
</sst>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dd/mm/yy"/>
  </numFmts>
  <fonts count="24">
    <font>
      <sz val="11"/>
      <color rgb="FF000000"/>
      <name val="Calibri"/>
      <family val="2"/>
    </font>
    <font>
      <sz val="10"/>
      <name val="Arial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b/>
      <i/>
      <sz val="9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u/>
      <sz val="12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i/>
      <u/>
      <sz val="12"/>
      <color rgb="FF000000"/>
      <name val="Calibri"/>
      <family val="2"/>
      <charset val="204"/>
    </font>
    <font>
      <i/>
      <sz val="11"/>
      <color rgb="FF000000"/>
      <name val="DejaVu Sans Condensed"/>
      <family val="2"/>
      <charset val="1"/>
    </font>
    <font>
      <b/>
      <sz val="13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i/>
      <sz val="11"/>
      <color rgb="FF000000"/>
      <name val="DejaVu Sans Light"/>
      <family val="2"/>
      <charset val="1"/>
    </font>
    <font>
      <b/>
      <sz val="11"/>
      <color rgb="FF000000"/>
      <name val="Arial Black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E6E6E6"/>
        <bgColor rgb="FFFFFFFF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Border="0" applyAlignment="0" applyProtection="0"/>
    <xf numFmtId="43" fontId="10" fillId="0" borderId="24" xfId="1" applyFont="1" applyBorder="1" applyAlignment="1">
      <alignment horizontal="center" vertical="center" wrapText="1"/>
    </xf>
  </cellStyleXfs>
  <cellXfs count="174">
    <xf numFmtId="0" fontId="0" fillId="0" borderId="0" xfId="0"/>
    <xf numFmtId="43" fontId="1" fillId="0" borderId="0" xfId="1"/>
    <xf numFmtId="43" fontId="3" fillId="0" borderId="1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4" fontId="3" fillId="0" borderId="3" xfId="1" applyNumberFormat="1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2" fillId="0" borderId="3" xfId="1" applyFont="1" applyBorder="1" applyAlignment="1">
      <alignment horizontal="left"/>
    </xf>
    <xf numFmtId="43" fontId="2" fillId="0" borderId="6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left"/>
    </xf>
    <xf numFmtId="43" fontId="2" fillId="0" borderId="8" xfId="1" applyFont="1" applyBorder="1" applyAlignment="1">
      <alignment horizontal="left" wrapText="1"/>
    </xf>
    <xf numFmtId="4" fontId="3" fillId="0" borderId="6" xfId="1" applyNumberFormat="1" applyFont="1" applyBorder="1" applyAlignment="1">
      <alignment horizontal="right" vertical="top"/>
    </xf>
    <xf numFmtId="4" fontId="3" fillId="0" borderId="7" xfId="1" applyNumberFormat="1" applyFont="1" applyBorder="1" applyAlignment="1">
      <alignment horizontal="right" vertical="top"/>
    </xf>
    <xf numFmtId="43" fontId="3" fillId="0" borderId="4" xfId="1" applyFont="1" applyBorder="1" applyAlignment="1">
      <alignment vertical="top" wrapText="1"/>
    </xf>
    <xf numFmtId="4" fontId="3" fillId="2" borderId="7" xfId="1" applyNumberFormat="1" applyFont="1" applyFill="1" applyBorder="1" applyAlignment="1">
      <alignment horizontal="right" vertical="top"/>
    </xf>
    <xf numFmtId="4" fontId="3" fillId="0" borderId="2" xfId="1" applyNumberFormat="1" applyFont="1" applyBorder="1" applyAlignment="1">
      <alignment horizontal="right" vertical="top"/>
    </xf>
    <xf numFmtId="4" fontId="3" fillId="0" borderId="9" xfId="1" applyNumberFormat="1" applyFont="1" applyBorder="1" applyAlignment="1">
      <alignment horizontal="right" vertical="top"/>
    </xf>
    <xf numFmtId="4" fontId="5" fillId="0" borderId="6" xfId="1" applyNumberFormat="1" applyFont="1" applyBorder="1" applyAlignment="1">
      <alignment horizontal="right" vertical="top"/>
    </xf>
    <xf numFmtId="4" fontId="2" fillId="0" borderId="7" xfId="1" applyNumberFormat="1" applyFont="1" applyBorder="1" applyAlignment="1">
      <alignment horizontal="right" vertical="top"/>
    </xf>
    <xf numFmtId="43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right" vertical="top"/>
    </xf>
    <xf numFmtId="4" fontId="3" fillId="0" borderId="11" xfId="1" applyNumberFormat="1" applyFont="1" applyBorder="1" applyAlignment="1">
      <alignment horizontal="right" vertical="top"/>
    </xf>
    <xf numFmtId="43" fontId="5" fillId="0" borderId="8" xfId="1" applyFont="1" applyBorder="1" applyAlignment="1">
      <alignment wrapText="1"/>
    </xf>
    <xf numFmtId="4" fontId="5" fillId="0" borderId="7" xfId="1" applyNumberFormat="1" applyFont="1" applyBorder="1" applyAlignment="1">
      <alignment horizontal="right" vertical="top"/>
    </xf>
    <xf numFmtId="43" fontId="5" fillId="0" borderId="4" xfId="1" applyFont="1" applyBorder="1" applyAlignment="1">
      <alignment wrapText="1"/>
    </xf>
    <xf numFmtId="43" fontId="3" fillId="0" borderId="2" xfId="1" applyFont="1" applyBorder="1"/>
    <xf numFmtId="4" fontId="3" fillId="0" borderId="2" xfId="1" applyNumberFormat="1" applyFont="1" applyBorder="1" applyAlignment="1"/>
    <xf numFmtId="4" fontId="3" fillId="0" borderId="9" xfId="1" applyNumberFormat="1" applyFont="1" applyBorder="1" applyAlignment="1">
      <alignment horizontal="right"/>
    </xf>
    <xf numFmtId="43" fontId="2" fillId="0" borderId="12" xfId="1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43" fontId="3" fillId="0" borderId="10" xfId="1" applyFont="1" applyBorder="1" applyAlignment="1">
      <alignment vertical="top" wrapText="1"/>
    </xf>
    <xf numFmtId="4" fontId="3" fillId="0" borderId="14" xfId="1" applyNumberFormat="1" applyFont="1" applyBorder="1" applyAlignment="1">
      <alignment horizontal="right" vertical="top"/>
    </xf>
    <xf numFmtId="4" fontId="3" fillId="0" borderId="15" xfId="1" applyNumberFormat="1" applyFont="1" applyBorder="1" applyAlignment="1">
      <alignment horizontal="right" vertical="top"/>
    </xf>
    <xf numFmtId="43" fontId="2" fillId="0" borderId="6" xfId="1" applyFont="1" applyBorder="1" applyAlignment="1">
      <alignment vertical="top" wrapText="1"/>
    </xf>
    <xf numFmtId="4" fontId="2" fillId="0" borderId="6" xfId="1" applyNumberFormat="1" applyFont="1" applyBorder="1" applyAlignment="1">
      <alignment horizontal="right" vertical="top"/>
    </xf>
    <xf numFmtId="4" fontId="2" fillId="0" borderId="16" xfId="1" applyNumberFormat="1" applyFont="1" applyBorder="1" applyAlignment="1">
      <alignment horizontal="right" vertical="top"/>
    </xf>
    <xf numFmtId="4" fontId="2" fillId="0" borderId="17" xfId="1" applyNumberFormat="1" applyFont="1" applyBorder="1" applyAlignment="1">
      <alignment horizontal="right" vertical="top"/>
    </xf>
    <xf numFmtId="43" fontId="4" fillId="0" borderId="0" xfId="1" applyFont="1"/>
    <xf numFmtId="43" fontId="5" fillId="0" borderId="6" xfId="1" applyFont="1" applyBorder="1" applyAlignment="1">
      <alignment vertical="top" wrapText="1"/>
    </xf>
    <xf numFmtId="4" fontId="5" fillId="0" borderId="16" xfId="1" applyNumberFormat="1" applyFont="1" applyBorder="1" applyAlignment="1">
      <alignment horizontal="right" vertical="top"/>
    </xf>
    <xf numFmtId="4" fontId="5" fillId="0" borderId="17" xfId="1" applyNumberFormat="1" applyFont="1" applyBorder="1" applyAlignment="1">
      <alignment horizontal="right" vertical="top"/>
    </xf>
    <xf numFmtId="43" fontId="4" fillId="3" borderId="0" xfId="1" applyFont="1" applyFill="1" applyAlignment="1">
      <alignment horizontal="center"/>
    </xf>
    <xf numFmtId="43" fontId="5" fillId="0" borderId="0" xfId="1" applyFont="1"/>
    <xf numFmtId="43" fontId="4" fillId="3" borderId="0" xfId="1" applyFont="1" applyFill="1" applyAlignment="1">
      <alignment horizontal="center" vertical="center"/>
    </xf>
    <xf numFmtId="43" fontId="2" fillId="0" borderId="6" xfId="1" applyFont="1" applyBorder="1" applyAlignment="1">
      <alignment horizontal="right" vertical="top"/>
    </xf>
    <xf numFmtId="43" fontId="2" fillId="0" borderId="16" xfId="1" applyFont="1" applyBorder="1" applyAlignment="1">
      <alignment horizontal="right" vertical="top"/>
    </xf>
    <xf numFmtId="2" fontId="2" fillId="0" borderId="6" xfId="1" applyNumberFormat="1" applyFont="1" applyBorder="1" applyAlignment="1">
      <alignment horizontal="right" vertical="top"/>
    </xf>
    <xf numFmtId="2" fontId="2" fillId="0" borderId="16" xfId="1" applyNumberFormat="1" applyFont="1" applyBorder="1" applyAlignment="1">
      <alignment horizontal="right" vertical="top"/>
    </xf>
    <xf numFmtId="43" fontId="3" fillId="0" borderId="10" xfId="1" applyFont="1" applyBorder="1" applyAlignment="1">
      <alignment wrapText="1"/>
    </xf>
    <xf numFmtId="43" fontId="2" fillId="0" borderId="6" xfId="1" applyFont="1" applyBorder="1" applyAlignment="1">
      <alignment wrapText="1"/>
    </xf>
    <xf numFmtId="43" fontId="5" fillId="0" borderId="6" xfId="1" applyFont="1" applyBorder="1" applyAlignment="1">
      <alignment wrapText="1"/>
    </xf>
    <xf numFmtId="2" fontId="5" fillId="0" borderId="6" xfId="1" applyNumberFormat="1" applyFont="1" applyBorder="1" applyAlignment="1">
      <alignment horizontal="right" vertical="top"/>
    </xf>
    <xf numFmtId="2" fontId="5" fillId="0" borderId="16" xfId="1" applyNumberFormat="1" applyFont="1" applyBorder="1" applyAlignment="1">
      <alignment horizontal="right" vertical="top"/>
    </xf>
    <xf numFmtId="43" fontId="5" fillId="2" borderId="6" xfId="1" applyFont="1" applyFill="1" applyBorder="1" applyAlignment="1">
      <alignment vertical="top" wrapText="1"/>
    </xf>
    <xf numFmtId="3" fontId="5" fillId="2" borderId="6" xfId="1" applyNumberFormat="1" applyFont="1" applyFill="1" applyBorder="1" applyAlignment="1">
      <alignment horizontal="right" vertical="top"/>
    </xf>
    <xf numFmtId="4" fontId="5" fillId="2" borderId="7" xfId="1" applyNumberFormat="1" applyFont="1" applyFill="1" applyBorder="1" applyAlignment="1">
      <alignment horizontal="right" vertical="top"/>
    </xf>
    <xf numFmtId="3" fontId="5" fillId="2" borderId="16" xfId="1" applyNumberFormat="1" applyFont="1" applyFill="1" applyBorder="1" applyAlignment="1">
      <alignment horizontal="right" vertical="top"/>
    </xf>
    <xf numFmtId="4" fontId="5" fillId="2" borderId="17" xfId="1" applyNumberFormat="1" applyFont="1" applyFill="1" applyBorder="1" applyAlignment="1">
      <alignment horizontal="right" vertical="top"/>
    </xf>
    <xf numFmtId="43" fontId="2" fillId="2" borderId="6" xfId="1" applyFont="1" applyFill="1" applyBorder="1" applyAlignment="1">
      <alignment wrapText="1"/>
    </xf>
    <xf numFmtId="4" fontId="2" fillId="2" borderId="7" xfId="1" applyNumberFormat="1" applyFont="1" applyFill="1" applyBorder="1" applyAlignment="1">
      <alignment horizontal="right" vertical="top"/>
    </xf>
    <xf numFmtId="4" fontId="2" fillId="2" borderId="17" xfId="1" applyNumberFormat="1" applyFont="1" applyFill="1" applyBorder="1" applyAlignment="1">
      <alignment horizontal="right" vertical="top"/>
    </xf>
    <xf numFmtId="4" fontId="3" fillId="0" borderId="17" xfId="1" applyNumberFormat="1" applyFont="1" applyBorder="1" applyAlignment="1">
      <alignment horizontal="right" vertical="top"/>
    </xf>
    <xf numFmtId="43" fontId="7" fillId="0" borderId="6" xfId="1" applyFont="1" applyBorder="1" applyAlignment="1">
      <alignment vertical="top" wrapText="1"/>
    </xf>
    <xf numFmtId="4" fontId="7" fillId="0" borderId="6" xfId="1" applyNumberFormat="1" applyFont="1" applyBorder="1" applyAlignment="1">
      <alignment horizontal="right" vertical="top"/>
    </xf>
    <xf numFmtId="4" fontId="7" fillId="0" borderId="7" xfId="1" applyNumberFormat="1" applyFont="1" applyBorder="1" applyAlignment="1">
      <alignment horizontal="right" vertical="top"/>
    </xf>
    <xf numFmtId="4" fontId="7" fillId="0" borderId="16" xfId="1" applyNumberFormat="1" applyFont="1" applyBorder="1" applyAlignment="1">
      <alignment horizontal="right" vertical="top"/>
    </xf>
    <xf numFmtId="4" fontId="7" fillId="0" borderId="17" xfId="1" applyNumberFormat="1" applyFont="1" applyBorder="1" applyAlignment="1">
      <alignment horizontal="right" vertical="top"/>
    </xf>
    <xf numFmtId="0" fontId="2" fillId="0" borderId="0" xfId="2" applyNumberFormat="1" applyFont="1" applyBorder="1" applyAlignment="1"/>
    <xf numFmtId="4" fontId="2" fillId="0" borderId="5" xfId="1" applyNumberFormat="1" applyFont="1" applyBorder="1" applyAlignment="1">
      <alignment horizontal="right" vertical="top"/>
    </xf>
    <xf numFmtId="4" fontId="2" fillId="0" borderId="18" xfId="1" applyNumberFormat="1" applyFont="1" applyBorder="1" applyAlignment="1">
      <alignment horizontal="right" vertical="top"/>
    </xf>
    <xf numFmtId="2" fontId="5" fillId="0" borderId="6" xfId="1" applyNumberFormat="1" applyFont="1" applyBorder="1" applyAlignment="1">
      <alignment vertical="top"/>
    </xf>
    <xf numFmtId="2" fontId="5" fillId="0" borderId="16" xfId="1" applyNumberFormat="1" applyFont="1" applyBorder="1" applyAlignment="1">
      <alignment vertical="top"/>
    </xf>
    <xf numFmtId="43" fontId="4" fillId="0" borderId="6" xfId="1" applyFont="1" applyBorder="1" applyAlignment="1">
      <alignment wrapText="1"/>
    </xf>
    <xf numFmtId="43" fontId="4" fillId="0" borderId="6" xfId="1" applyFont="1" applyBorder="1" applyAlignment="1">
      <alignment vertical="top"/>
    </xf>
    <xf numFmtId="43" fontId="4" fillId="0" borderId="7" xfId="1" applyFont="1" applyBorder="1" applyAlignment="1">
      <alignment vertical="top"/>
    </xf>
    <xf numFmtId="43" fontId="4" fillId="0" borderId="16" xfId="1" applyFont="1" applyBorder="1" applyAlignment="1">
      <alignment vertical="top"/>
    </xf>
    <xf numFmtId="43" fontId="4" fillId="0" borderId="17" xfId="1" applyFont="1" applyBorder="1" applyAlignment="1">
      <alignment vertical="top"/>
    </xf>
    <xf numFmtId="43" fontId="2" fillId="0" borderId="6" xfId="1" applyFont="1" applyBorder="1" applyAlignment="1">
      <alignment vertical="top"/>
    </xf>
    <xf numFmtId="43" fontId="2" fillId="0" borderId="7" xfId="1" applyFont="1" applyBorder="1" applyAlignment="1">
      <alignment vertical="top"/>
    </xf>
    <xf numFmtId="43" fontId="2" fillId="0" borderId="16" xfId="1" applyFont="1" applyBorder="1" applyAlignment="1">
      <alignment vertical="top"/>
    </xf>
    <xf numFmtId="43" fontId="2" fillId="0" borderId="17" xfId="1" applyFont="1" applyBorder="1" applyAlignment="1">
      <alignment vertical="top"/>
    </xf>
    <xf numFmtId="43" fontId="2" fillId="0" borderId="19" xfId="1" applyFont="1" applyBorder="1" applyAlignment="1">
      <alignment wrapText="1"/>
    </xf>
    <xf numFmtId="2" fontId="2" fillId="0" borderId="19" xfId="1" applyNumberFormat="1" applyFont="1" applyBorder="1" applyAlignment="1">
      <alignment horizontal="right" vertical="top"/>
    </xf>
    <xf numFmtId="2" fontId="2" fillId="0" borderId="20" xfId="1" applyNumberFormat="1" applyFont="1" applyBorder="1" applyAlignment="1">
      <alignment horizontal="right" vertical="top"/>
    </xf>
    <xf numFmtId="43" fontId="3" fillId="0" borderId="2" xfId="1" applyFont="1" applyBorder="1" applyAlignment="1">
      <alignment vertical="top" wrapText="1"/>
    </xf>
    <xf numFmtId="43" fontId="3" fillId="0" borderId="2" xfId="1" applyFont="1" applyBorder="1" applyAlignment="1">
      <alignment horizontal="right"/>
    </xf>
    <xf numFmtId="43" fontId="3" fillId="0" borderId="5" xfId="1" applyFont="1" applyBorder="1" applyAlignment="1">
      <alignment horizontal="right"/>
    </xf>
    <xf numFmtId="43" fontId="3" fillId="0" borderId="12" xfId="1" applyFont="1" applyBorder="1" applyAlignment="1">
      <alignment horizontal="right"/>
    </xf>
    <xf numFmtId="43" fontId="3" fillId="0" borderId="18" xfId="1" applyFont="1" applyBorder="1" applyAlignment="1">
      <alignment horizontal="right"/>
    </xf>
    <xf numFmtId="43" fontId="3" fillId="0" borderId="2" xfId="1" applyFont="1" applyBorder="1" applyAlignment="1">
      <alignment wrapText="1"/>
    </xf>
    <xf numFmtId="4" fontId="3" fillId="0" borderId="5" xfId="1" applyNumberFormat="1" applyFont="1" applyBorder="1" applyAlignment="1">
      <alignment horizontal="right"/>
    </xf>
    <xf numFmtId="4" fontId="3" fillId="0" borderId="12" xfId="1" applyNumberFormat="1" applyFont="1" applyBorder="1" applyAlignment="1"/>
    <xf numFmtId="4" fontId="3" fillId="0" borderId="18" xfId="1" applyNumberFormat="1" applyFont="1" applyBorder="1" applyAlignment="1">
      <alignment horizontal="right"/>
    </xf>
    <xf numFmtId="4" fontId="1" fillId="0" borderId="0" xfId="1" applyNumberFormat="1"/>
    <xf numFmtId="43" fontId="3" fillId="0" borderId="0" xfId="1" applyFont="1" applyBorder="1"/>
    <xf numFmtId="43" fontId="2" fillId="0" borderId="21" xfId="1" applyFont="1" applyBorder="1"/>
    <xf numFmtId="43" fontId="2" fillId="0" borderId="22" xfId="1" applyFont="1" applyBorder="1" applyAlignment="1">
      <alignment horizontal="left"/>
    </xf>
    <xf numFmtId="43" fontId="1" fillId="0" borderId="22" xfId="1" applyBorder="1"/>
    <xf numFmtId="43" fontId="8" fillId="0" borderId="22" xfId="1" applyFont="1" applyBorder="1" applyAlignment="1">
      <alignment horizontal="center"/>
    </xf>
    <xf numFmtId="43" fontId="3" fillId="0" borderId="22" xfId="1" applyFont="1" applyBorder="1" applyAlignment="1">
      <alignment horizontal="center"/>
    </xf>
    <xf numFmtId="43" fontId="8" fillId="0" borderId="23" xfId="1" applyFont="1" applyBorder="1"/>
    <xf numFmtId="43" fontId="9" fillId="0" borderId="24" xfId="1" applyFont="1" applyBorder="1" applyAlignment="1">
      <alignment horizontal="justify" vertical="center" wrapText="1"/>
    </xf>
    <xf numFmtId="43" fontId="10" fillId="0" borderId="24" xfId="1" applyFont="1" applyBorder="1" applyAlignment="1">
      <alignment horizontal="center" vertical="center" wrapText="1"/>
    </xf>
    <xf numFmtId="4" fontId="12" fillId="2" borderId="24" xfId="1" applyNumberFormat="1" applyFont="1" applyFill="1" applyBorder="1" applyAlignment="1">
      <alignment horizontal="center" vertical="center" wrapText="1"/>
    </xf>
    <xf numFmtId="4" fontId="14" fillId="2" borderId="24" xfId="1" applyNumberFormat="1" applyFont="1" applyFill="1" applyBorder="1" applyAlignment="1">
      <alignment horizontal="center" vertical="center" wrapText="1"/>
    </xf>
    <xf numFmtId="0" fontId="2" fillId="4" borderId="0" xfId="2" applyNumberFormat="1" applyFont="1" applyFill="1" applyBorder="1" applyAlignment="1"/>
    <xf numFmtId="0" fontId="15" fillId="0" borderId="0" xfId="2" applyNumberFormat="1" applyFont="1" applyBorder="1" applyAlignment="1"/>
    <xf numFmtId="4" fontId="2" fillId="4" borderId="0" xfId="2" applyNumberFormat="1" applyFont="1" applyFill="1" applyBorder="1" applyAlignment="1"/>
    <xf numFmtId="0" fontId="3" fillId="0" borderId="0" xfId="2" applyNumberFormat="1" applyFont="1" applyBorder="1" applyAlignment="1">
      <alignment horizontal="center"/>
    </xf>
    <xf numFmtId="0" fontId="16" fillId="0" borderId="0" xfId="2" applyNumberFormat="1" applyFont="1" applyBorder="1" applyAlignment="1"/>
    <xf numFmtId="0" fontId="2" fillId="0" borderId="21" xfId="2" applyNumberFormat="1" applyFont="1" applyBorder="1" applyAlignment="1"/>
    <xf numFmtId="4" fontId="3" fillId="4" borderId="25" xfId="2" applyNumberFormat="1" applyFont="1" applyFill="1" applyBorder="1" applyAlignment="1"/>
    <xf numFmtId="0" fontId="2" fillId="0" borderId="22" xfId="2" applyNumberFormat="1" applyFont="1" applyBorder="1" applyAlignment="1"/>
    <xf numFmtId="4" fontId="2" fillId="4" borderId="26" xfId="2" applyNumberFormat="1" applyFont="1" applyFill="1" applyBorder="1" applyAlignment="1"/>
    <xf numFmtId="0" fontId="2" fillId="0" borderId="23" xfId="2" applyNumberFormat="1" applyFont="1" applyBorder="1" applyAlignment="1"/>
    <xf numFmtId="4" fontId="2" fillId="4" borderId="27" xfId="2" applyNumberFormat="1" applyFont="1" applyFill="1" applyBorder="1" applyAlignment="1"/>
    <xf numFmtId="4" fontId="2" fillId="0" borderId="0" xfId="2" applyNumberFormat="1" applyFont="1" applyBorder="1" applyAlignment="1"/>
    <xf numFmtId="0" fontId="2" fillId="0" borderId="21" xfId="2" applyNumberFormat="1" applyFont="1" applyBorder="1" applyAlignment="1">
      <alignment wrapText="1"/>
    </xf>
    <xf numFmtId="0" fontId="8" fillId="0" borderId="28" xfId="2" applyNumberFormat="1" applyFont="1" applyBorder="1" applyAlignment="1"/>
    <xf numFmtId="4" fontId="8" fillId="4" borderId="28" xfId="2" applyNumberFormat="1" applyFont="1" applyFill="1" applyBorder="1" applyAlignment="1"/>
    <xf numFmtId="0" fontId="2" fillId="0" borderId="14" xfId="2" applyNumberFormat="1" applyFont="1" applyBorder="1" applyAlignment="1"/>
    <xf numFmtId="0" fontId="2" fillId="0" borderId="29" xfId="2" applyNumberFormat="1" applyFont="1" applyBorder="1" applyAlignment="1">
      <alignment horizontal="center"/>
    </xf>
    <xf numFmtId="4" fontId="2" fillId="4" borderId="15" xfId="2" applyNumberFormat="1" applyFont="1" applyFill="1" applyBorder="1" applyAlignment="1"/>
    <xf numFmtId="0" fontId="2" fillId="0" borderId="24" xfId="2" applyNumberFormat="1" applyFont="1" applyBorder="1" applyAlignment="1"/>
    <xf numFmtId="0" fontId="17" fillId="0" borderId="30" xfId="2" applyNumberFormat="1" applyFont="1" applyBorder="1" applyAlignment="1"/>
    <xf numFmtId="4" fontId="17" fillId="4" borderId="27" xfId="2" applyNumberFormat="1" applyFont="1" applyFill="1" applyBorder="1" applyAlignment="1"/>
    <xf numFmtId="0" fontId="2" fillId="0" borderId="0" xfId="2" applyNumberFormat="1" applyFont="1" applyBorder="1" applyAlignment="1"/>
    <xf numFmtId="4" fontId="2" fillId="4" borderId="0" xfId="2" applyNumberFormat="1" applyFont="1" applyFill="1" applyBorder="1" applyAlignment="1"/>
    <xf numFmtId="0" fontId="2" fillId="0" borderId="0" xfId="2" applyNumberFormat="1" applyFont="1" applyBorder="1" applyAlignment="1">
      <alignment horizontal="center"/>
    </xf>
    <xf numFmtId="0" fontId="2" fillId="0" borderId="12" xfId="2" applyNumberFormat="1" applyFont="1" applyBorder="1" applyAlignment="1"/>
    <xf numFmtId="0" fontId="2" fillId="0" borderId="31" xfId="2" applyNumberFormat="1" applyFont="1" applyBorder="1" applyAlignment="1">
      <alignment horizontal="center"/>
    </xf>
    <xf numFmtId="4" fontId="2" fillId="4" borderId="13" xfId="2" applyNumberFormat="1" applyFont="1" applyFill="1" applyBorder="1" applyAlignment="1"/>
    <xf numFmtId="0" fontId="2" fillId="0" borderId="32" xfId="2" applyNumberFormat="1" applyFont="1" applyBorder="1" applyAlignment="1"/>
    <xf numFmtId="0" fontId="3" fillId="0" borderId="28" xfId="2" applyNumberFormat="1" applyFont="1" applyBorder="1" applyAlignment="1">
      <alignment horizontal="center" vertical="center"/>
    </xf>
    <xf numFmtId="4" fontId="2" fillId="4" borderId="33" xfId="2" applyNumberFormat="1" applyFont="1" applyFill="1" applyBorder="1" applyAlignment="1"/>
    <xf numFmtId="0" fontId="2" fillId="0" borderId="28" xfId="2" applyNumberFormat="1" applyFont="1" applyBorder="1" applyAlignment="1">
      <alignment horizontal="left" vertical="center"/>
    </xf>
    <xf numFmtId="4" fontId="2" fillId="4" borderId="33" xfId="2" applyNumberFormat="1" applyFont="1" applyFill="1" applyBorder="1" applyAlignment="1"/>
    <xf numFmtId="4" fontId="3" fillId="4" borderId="33" xfId="2" applyNumberFormat="1" applyFont="1" applyFill="1" applyBorder="1" applyAlignment="1"/>
    <xf numFmtId="0" fontId="3" fillId="0" borderId="24" xfId="2" applyNumberFormat="1" applyFont="1" applyBorder="1" applyAlignment="1">
      <alignment horizontal="center" wrapText="1"/>
    </xf>
    <xf numFmtId="4" fontId="3" fillId="4" borderId="26" xfId="2" applyNumberFormat="1" applyFont="1" applyFill="1" applyBorder="1" applyAlignment="1"/>
    <xf numFmtId="0" fontId="2" fillId="0" borderId="24" xfId="2" applyNumberFormat="1" applyFont="1" applyBorder="1" applyAlignment="1">
      <alignment horizontal="left" wrapText="1"/>
    </xf>
    <xf numFmtId="4" fontId="2" fillId="4" borderId="26" xfId="2" applyNumberFormat="1" applyFont="1" applyFill="1" applyBorder="1" applyAlignment="1"/>
    <xf numFmtId="0" fontId="2" fillId="0" borderId="24" xfId="2" applyNumberFormat="1" applyFont="1" applyBorder="1" applyAlignment="1">
      <alignment wrapText="1"/>
    </xf>
    <xf numFmtId="0" fontId="17" fillId="0" borderId="24" xfId="2" applyNumberFormat="1" applyFont="1" applyBorder="1" applyAlignment="1">
      <alignment wrapText="1"/>
    </xf>
    <xf numFmtId="4" fontId="17" fillId="4" borderId="26" xfId="2" applyNumberFormat="1" applyFont="1" applyFill="1" applyBorder="1" applyAlignment="1"/>
    <xf numFmtId="0" fontId="2" fillId="0" borderId="34" xfId="2" applyNumberFormat="1" applyFont="1" applyBorder="1" applyAlignment="1">
      <alignment wrapText="1"/>
    </xf>
    <xf numFmtId="4" fontId="2" fillId="4" borderId="25" xfId="2" applyNumberFormat="1" applyFont="1" applyFill="1" applyBorder="1" applyAlignment="1"/>
    <xf numFmtId="0" fontId="2" fillId="0" borderId="35" xfId="2" applyNumberFormat="1" applyFont="1" applyBorder="1" applyAlignment="1"/>
    <xf numFmtId="0" fontId="3" fillId="0" borderId="36" xfId="2" applyNumberFormat="1" applyFont="1" applyBorder="1" applyAlignment="1">
      <alignment wrapText="1"/>
    </xf>
    <xf numFmtId="4" fontId="3" fillId="4" borderId="37" xfId="2" applyNumberFormat="1" applyFont="1" applyFill="1" applyBorder="1" applyAlignment="1"/>
    <xf numFmtId="0" fontId="2" fillId="0" borderId="10" xfId="2" applyNumberFormat="1" applyFont="1" applyBorder="1" applyAlignment="1"/>
    <xf numFmtId="0" fontId="18" fillId="0" borderId="34" xfId="2" applyNumberFormat="1" applyFont="1" applyBorder="1" applyAlignment="1">
      <alignment wrapText="1"/>
    </xf>
    <xf numFmtId="4" fontId="18" fillId="4" borderId="25" xfId="2" applyNumberFormat="1" applyFont="1" applyFill="1" applyBorder="1" applyAlignment="1"/>
    <xf numFmtId="0" fontId="2" fillId="0" borderId="6" xfId="2" applyNumberFormat="1" applyFont="1" applyBorder="1" applyAlignment="1"/>
    <xf numFmtId="0" fontId="2" fillId="0" borderId="19" xfId="2" applyNumberFormat="1" applyFont="1" applyBorder="1" applyAlignment="1"/>
    <xf numFmtId="0" fontId="2" fillId="0" borderId="30" xfId="2" applyNumberFormat="1" applyFont="1" applyBorder="1" applyAlignment="1">
      <alignment wrapText="1"/>
    </xf>
    <xf numFmtId="14" fontId="2" fillId="4" borderId="0" xfId="2" applyNumberFormat="1" applyFont="1" applyFill="1" applyBorder="1" applyAlignment="1"/>
    <xf numFmtId="164" fontId="0" fillId="0" borderId="0" xfId="0" applyNumberFormat="1"/>
    <xf numFmtId="0" fontId="20" fillId="0" borderId="38" xfId="0" applyFont="1" applyBorder="1" applyAlignment="1">
      <alignment horizontal="center"/>
    </xf>
    <xf numFmtId="0" fontId="0" fillId="0" borderId="38" xfId="0" applyBorder="1"/>
    <xf numFmtId="0" fontId="0" fillId="5" borderId="38" xfId="0" applyFont="1" applyFill="1" applyBorder="1"/>
    <xf numFmtId="0" fontId="21" fillId="0" borderId="38" xfId="0" applyFont="1" applyBorder="1" applyAlignment="1">
      <alignment horizontal="center"/>
    </xf>
    <xf numFmtId="4" fontId="0" fillId="0" borderId="38" xfId="0" applyNumberFormat="1" applyBorder="1"/>
    <xf numFmtId="4" fontId="3" fillId="0" borderId="38" xfId="0" applyNumberFormat="1" applyFont="1" applyBorder="1"/>
    <xf numFmtId="4" fontId="22" fillId="0" borderId="38" xfId="0" applyNumberFormat="1" applyFont="1" applyBorder="1"/>
    <xf numFmtId="4" fontId="23" fillId="0" borderId="38" xfId="0" applyNumberFormat="1" applyFont="1" applyBorder="1"/>
    <xf numFmtId="43" fontId="11" fillId="0" borderId="24" xfId="1" applyFont="1" applyBorder="1" applyAlignment="1">
      <alignment horizontal="justify" vertical="center" wrapText="1"/>
    </xf>
    <xf numFmtId="43" fontId="13" fillId="0" borderId="24" xfId="1" applyFont="1" applyBorder="1" applyAlignment="1">
      <alignment horizontal="justify" vertical="center" wrapText="1"/>
    </xf>
    <xf numFmtId="43" fontId="3" fillId="0" borderId="3" xfId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center" vertical="center"/>
    </xf>
    <xf numFmtId="0" fontId="20" fillId="0" borderId="38" xfId="0" applyFont="1" applyBorder="1" applyAlignment="1">
      <alignment horizontal="center" vertical="center"/>
    </xf>
  </cellXfs>
  <cellStyles count="3">
    <cellStyle name="TableStyleLight1" xfId="1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MK117"/>
  <sheetViews>
    <sheetView zoomScaleNormal="100" zoomScalePageLayoutView="60" workbookViewId="0">
      <selection activeCell="L24" sqref="L24"/>
    </sheetView>
  </sheetViews>
  <sheetFormatPr defaultRowHeight="15"/>
  <cols>
    <col min="1" max="1" width="3.28515625" style="1"/>
    <col min="2" max="2" width="64.28515625" style="1"/>
    <col min="3" max="4" width="0" style="1" hidden="1"/>
    <col min="5" max="5" width="13" style="1"/>
    <col min="6" max="6" width="15.5703125" style="1"/>
    <col min="7" max="7" width="0" style="1" hidden="1"/>
    <col min="8" max="8" width="13" style="1"/>
    <col min="9" max="9" width="12.85546875" style="1"/>
    <col min="10" max="10" width="14" style="1"/>
    <col min="11" max="1025" width="9.28515625" style="1"/>
  </cols>
  <sheetData>
    <row r="2" spans="2:10" ht="42" customHeight="1">
      <c r="B2" s="2" t="s">
        <v>0</v>
      </c>
      <c r="C2" s="168" t="s">
        <v>1</v>
      </c>
      <c r="D2" s="168"/>
      <c r="E2" s="168" t="s">
        <v>2</v>
      </c>
      <c r="F2" s="168"/>
      <c r="G2" s="3" t="s">
        <v>3</v>
      </c>
      <c r="H2" s="168" t="s">
        <v>2</v>
      </c>
      <c r="I2" s="168"/>
      <c r="J2" s="4" t="s">
        <v>4</v>
      </c>
    </row>
    <row r="3" spans="2:10">
      <c r="B3" s="5" t="s">
        <v>5</v>
      </c>
      <c r="C3" s="6" t="s">
        <v>6</v>
      </c>
      <c r="D3" s="7" t="s">
        <v>7</v>
      </c>
      <c r="E3" s="6" t="s">
        <v>6</v>
      </c>
      <c r="F3" s="7" t="s">
        <v>7</v>
      </c>
      <c r="G3" s="7" t="s">
        <v>7</v>
      </c>
      <c r="H3" s="6" t="s">
        <v>6</v>
      </c>
      <c r="I3" s="7" t="s">
        <v>7</v>
      </c>
      <c r="J3" s="7" t="s">
        <v>7</v>
      </c>
    </row>
    <row r="4" spans="2:10" hidden="1">
      <c r="B4" s="8" t="s">
        <v>8</v>
      </c>
      <c r="C4" s="9"/>
      <c r="D4" s="10"/>
      <c r="E4" s="9"/>
      <c r="F4" s="10"/>
      <c r="G4" s="10"/>
      <c r="H4" s="9"/>
      <c r="I4" s="10"/>
      <c r="J4" s="10"/>
    </row>
    <row r="5" spans="2:10" hidden="1">
      <c r="B5" s="11" t="s">
        <v>9</v>
      </c>
      <c r="C5" s="9"/>
      <c r="D5" s="10"/>
      <c r="E5" s="9"/>
      <c r="F5" s="10"/>
      <c r="G5" s="10"/>
      <c r="H5" s="9"/>
      <c r="I5" s="10"/>
      <c r="J5" s="10"/>
    </row>
    <row r="6" spans="2:10" ht="30">
      <c r="B6" s="12" t="s">
        <v>10</v>
      </c>
      <c r="C6" s="13">
        <f>D6/12</f>
        <v>67656</v>
      </c>
      <c r="D6" s="14">
        <f>D7+D8+D9</f>
        <v>811872</v>
      </c>
      <c r="E6" s="13">
        <f>F6/12</f>
        <v>67656</v>
      </c>
      <c r="F6" s="14">
        <f>F7+F8+F9</f>
        <v>811872</v>
      </c>
      <c r="G6" s="14">
        <f t="shared" ref="G6:G15" si="0">F6-D6</f>
        <v>0</v>
      </c>
      <c r="H6" s="13">
        <f>I6/12</f>
        <v>66269.166666666672</v>
      </c>
      <c r="I6" s="14">
        <f>I7+I8+I9</f>
        <v>795230</v>
      </c>
      <c r="J6" s="14"/>
    </row>
    <row r="7" spans="2:10" ht="30">
      <c r="B7" s="15" t="s">
        <v>11</v>
      </c>
      <c r="C7" s="13">
        <f>D7/12</f>
        <v>67656</v>
      </c>
      <c r="D7" s="14">
        <f>16*4228.5*12</f>
        <v>811872</v>
      </c>
      <c r="E7" s="13">
        <f>F7/12</f>
        <v>67656</v>
      </c>
      <c r="F7" s="14">
        <f>16*4228.5*12</f>
        <v>811872</v>
      </c>
      <c r="G7" s="14">
        <f t="shared" si="0"/>
        <v>0</v>
      </c>
      <c r="H7" s="13">
        <f>I7/12</f>
        <v>66269.166666666672</v>
      </c>
      <c r="I7" s="16">
        <v>795230</v>
      </c>
      <c r="J7" s="14"/>
    </row>
    <row r="8" spans="2:10" ht="45" hidden="1">
      <c r="B8" s="15" t="s">
        <v>12</v>
      </c>
      <c r="C8" s="13">
        <f>D8/12</f>
        <v>0</v>
      </c>
      <c r="D8" s="14">
        <f>D53+D54</f>
        <v>0</v>
      </c>
      <c r="E8" s="17">
        <f>F8/12</f>
        <v>0</v>
      </c>
      <c r="F8" s="18">
        <f>F53+F54</f>
        <v>0</v>
      </c>
      <c r="G8" s="14">
        <f t="shared" si="0"/>
        <v>0</v>
      </c>
      <c r="H8" s="17">
        <f>I8/12</f>
        <v>0</v>
      </c>
      <c r="I8" s="18">
        <f>I53+I54</f>
        <v>0</v>
      </c>
      <c r="J8" s="18"/>
    </row>
    <row r="9" spans="2:10" ht="30">
      <c r="B9" s="15" t="s">
        <v>13</v>
      </c>
      <c r="C9" s="19">
        <f>D9/12</f>
        <v>0</v>
      </c>
      <c r="D9" s="20">
        <v>0</v>
      </c>
      <c r="E9" s="19">
        <f>F9/12</f>
        <v>0</v>
      </c>
      <c r="F9" s="20">
        <v>0</v>
      </c>
      <c r="G9" s="20">
        <f t="shared" si="0"/>
        <v>0</v>
      </c>
      <c r="H9" s="19">
        <f>I9/12</f>
        <v>0</v>
      </c>
      <c r="I9" s="20">
        <v>0</v>
      </c>
      <c r="J9" s="20"/>
    </row>
    <row r="10" spans="2:10">
      <c r="B10" s="21" t="s">
        <v>14</v>
      </c>
      <c r="C10" s="13">
        <f>D10/12</f>
        <v>1333.3333333333333</v>
      </c>
      <c r="D10" s="14">
        <f>SUM(D11:D15)</f>
        <v>16000</v>
      </c>
      <c r="E10" s="22">
        <f>F10/12</f>
        <v>1333.3333333333333</v>
      </c>
      <c r="F10" s="23">
        <f>SUM(F11:F15)</f>
        <v>16000</v>
      </c>
      <c r="G10" s="14">
        <f t="shared" si="0"/>
        <v>0</v>
      </c>
      <c r="H10" s="22">
        <f>I10/12</f>
        <v>2397.3366666666639</v>
      </c>
      <c r="I10" s="23">
        <f>SUM(I11:I15)</f>
        <v>28768.039999999964</v>
      </c>
      <c r="J10" s="23">
        <f>I10-F10</f>
        <v>12768.039999999964</v>
      </c>
    </row>
    <row r="11" spans="2:10">
      <c r="B11" s="24" t="s">
        <v>15</v>
      </c>
      <c r="C11" s="19">
        <v>500</v>
      </c>
      <c r="D11" s="25">
        <v>6000</v>
      </c>
      <c r="E11" s="19">
        <v>500</v>
      </c>
      <c r="F11" s="25">
        <v>6000</v>
      </c>
      <c r="G11" s="25">
        <f t="shared" si="0"/>
        <v>0</v>
      </c>
      <c r="H11" s="19">
        <v>500</v>
      </c>
      <c r="I11" s="25">
        <f>'2013'!D21</f>
        <v>6480</v>
      </c>
      <c r="J11" s="25">
        <f>I11-F11</f>
        <v>480</v>
      </c>
    </row>
    <row r="12" spans="2:10">
      <c r="B12" s="24" t="s">
        <v>16</v>
      </c>
      <c r="C12" s="19">
        <v>400</v>
      </c>
      <c r="D12" s="25">
        <v>4000</v>
      </c>
      <c r="E12" s="19">
        <v>400</v>
      </c>
      <c r="F12" s="25">
        <v>4000</v>
      </c>
      <c r="G12" s="25">
        <f t="shared" si="0"/>
        <v>0</v>
      </c>
      <c r="H12" s="19">
        <f>I12/12</f>
        <v>225.07999999999689</v>
      </c>
      <c r="I12" s="25">
        <f>'2013'!D17+'2013'!D18-2673051.11</f>
        <v>2700.9599999999627</v>
      </c>
      <c r="J12" s="25">
        <f>I12-F12</f>
        <v>-1299.0400000000373</v>
      </c>
    </row>
    <row r="13" spans="2:10">
      <c r="B13" s="24" t="s">
        <v>17</v>
      </c>
      <c r="C13" s="19">
        <v>500</v>
      </c>
      <c r="D13" s="25">
        <v>6000</v>
      </c>
      <c r="E13" s="19">
        <v>500</v>
      </c>
      <c r="F13" s="25">
        <v>6000</v>
      </c>
      <c r="G13" s="25">
        <f t="shared" si="0"/>
        <v>0</v>
      </c>
      <c r="H13" s="19">
        <v>500</v>
      </c>
      <c r="I13" s="25">
        <f>'2013'!D20+'2013'!D22+'2013'!D23</f>
        <v>15587.08</v>
      </c>
      <c r="J13" s="25">
        <f>I13-F13</f>
        <v>9587.08</v>
      </c>
    </row>
    <row r="14" spans="2:10" hidden="1">
      <c r="B14" s="24" t="s">
        <v>18</v>
      </c>
      <c r="C14" s="19"/>
      <c r="D14" s="25"/>
      <c r="E14" s="19"/>
      <c r="F14" s="25"/>
      <c r="G14" s="25">
        <f t="shared" si="0"/>
        <v>0</v>
      </c>
      <c r="H14" s="19"/>
      <c r="I14" s="25"/>
      <c r="J14" s="25"/>
    </row>
    <row r="15" spans="2:10">
      <c r="B15" s="26" t="s">
        <v>19</v>
      </c>
      <c r="C15" s="19"/>
      <c r="D15" s="25"/>
      <c r="E15" s="19"/>
      <c r="F15" s="25"/>
      <c r="G15" s="25">
        <f t="shared" si="0"/>
        <v>0</v>
      </c>
      <c r="H15" s="19"/>
      <c r="I15" s="25">
        <f>'2013'!D19</f>
        <v>4000</v>
      </c>
      <c r="J15" s="25">
        <f>I15-F15</f>
        <v>4000</v>
      </c>
    </row>
    <row r="16" spans="2:10">
      <c r="B16" s="21" t="s">
        <v>20</v>
      </c>
      <c r="C16" s="19"/>
      <c r="D16" s="25"/>
      <c r="E16" s="22">
        <f>F16/12</f>
        <v>6658.416666666667</v>
      </c>
      <c r="F16" s="23">
        <v>79901</v>
      </c>
      <c r="G16" s="25"/>
      <c r="H16" s="22">
        <f>I16/12</f>
        <v>0</v>
      </c>
      <c r="I16" s="23"/>
      <c r="J16" s="23"/>
    </row>
    <row r="17" spans="2:11">
      <c r="B17" s="27" t="s">
        <v>21</v>
      </c>
      <c r="C17" s="28">
        <f>C10+C6</f>
        <v>68989.333333333328</v>
      </c>
      <c r="D17" s="29">
        <f>D10+D6</f>
        <v>827872</v>
      </c>
      <c r="E17" s="28">
        <f>E10+E6+E16</f>
        <v>75647.75</v>
      </c>
      <c r="F17" s="29">
        <f>F10+F6+F16</f>
        <v>907773</v>
      </c>
      <c r="G17" s="29">
        <f>F17-D17</f>
        <v>79901</v>
      </c>
      <c r="H17" s="28">
        <f>H10+H6+H16</f>
        <v>68666.503333333341</v>
      </c>
      <c r="I17" s="29">
        <f>I10+I6+I16</f>
        <v>823998.03999999992</v>
      </c>
      <c r="J17" s="29"/>
    </row>
    <row r="18" spans="2:11" ht="9" customHeight="1"/>
    <row r="19" spans="2:11" ht="29.25" customHeight="1">
      <c r="B19" s="170" t="s">
        <v>22</v>
      </c>
      <c r="C19" s="168" t="s">
        <v>1</v>
      </c>
      <c r="D19" s="168"/>
      <c r="E19" s="168" t="s">
        <v>2</v>
      </c>
      <c r="F19" s="168"/>
      <c r="G19" s="3" t="s">
        <v>3</v>
      </c>
      <c r="H19" s="168" t="s">
        <v>2</v>
      </c>
      <c r="I19" s="168"/>
      <c r="J19" s="4" t="s">
        <v>4</v>
      </c>
    </row>
    <row r="20" spans="2:11">
      <c r="B20" s="170"/>
      <c r="C20" s="6" t="s">
        <v>6</v>
      </c>
      <c r="D20" s="7" t="s">
        <v>7</v>
      </c>
      <c r="E20" s="30" t="s">
        <v>6</v>
      </c>
      <c r="F20" s="31" t="s">
        <v>7</v>
      </c>
      <c r="G20" s="7" t="s">
        <v>7</v>
      </c>
      <c r="H20" s="30" t="s">
        <v>6</v>
      </c>
      <c r="I20" s="31" t="s">
        <v>7</v>
      </c>
      <c r="J20" s="7" t="s">
        <v>7</v>
      </c>
    </row>
    <row r="21" spans="2:11">
      <c r="B21" s="32" t="s">
        <v>23</v>
      </c>
      <c r="C21" s="22">
        <f>C22+C31+C32+C34+C38+C41+C33</f>
        <v>37558.360319634725</v>
      </c>
      <c r="D21" s="23">
        <f>D22+D31+D32+D34+D38+D41+D33+D44</f>
        <v>561793.098</v>
      </c>
      <c r="E21" s="33">
        <f>E22+E31+E32+E34+E38+E41+E33</f>
        <v>37558.360319634725</v>
      </c>
      <c r="F21" s="34">
        <f>F22+F31+F32+F34+F38+F41+F33+F44</f>
        <v>597786.6</v>
      </c>
      <c r="G21" s="23">
        <f t="shared" ref="G21:G62" si="1">F21-D21</f>
        <v>35993.501999999979</v>
      </c>
      <c r="H21" s="33">
        <f>H22+H31+H32+H34+H38+H41+H33</f>
        <v>38155.700319634729</v>
      </c>
      <c r="I21" s="34">
        <f>I22+I31+I32+I34+I38+I41+I33+I44</f>
        <v>512615.79000000004</v>
      </c>
      <c r="J21" s="34">
        <f t="shared" ref="J21:J52" si="2">I21-F21</f>
        <v>-85170.809999999939</v>
      </c>
    </row>
    <row r="22" spans="2:11">
      <c r="B22" s="35" t="s">
        <v>24</v>
      </c>
      <c r="C22" s="36">
        <v>28874.497808219199</v>
      </c>
      <c r="D22" s="20">
        <f>SUM(D23:D30)</f>
        <v>435779</v>
      </c>
      <c r="E22" s="37">
        <v>28874.497808219199</v>
      </c>
      <c r="F22" s="38">
        <f>SUM(F23:F30)</f>
        <v>464300</v>
      </c>
      <c r="G22" s="20">
        <f t="shared" si="1"/>
        <v>28521</v>
      </c>
      <c r="H22" s="37">
        <v>28874.497808219199</v>
      </c>
      <c r="I22" s="38">
        <f>SUM(I23:I30)</f>
        <v>417800.32</v>
      </c>
      <c r="J22" s="38">
        <f t="shared" si="2"/>
        <v>-46499.679999999993</v>
      </c>
    </row>
    <row r="23" spans="2:11" s="39" customFormat="1" ht="12">
      <c r="B23" s="40" t="s">
        <v>25</v>
      </c>
      <c r="C23" s="19">
        <f t="shared" ref="C23:C30" si="3">D23/12</f>
        <v>11500</v>
      </c>
      <c r="D23" s="25">
        <f>11500*11+11500</f>
        <v>138000</v>
      </c>
      <c r="E23" s="41">
        <f t="shared" ref="E23:E30" si="4">F23/12</f>
        <v>12068.75</v>
      </c>
      <c r="F23" s="42">
        <f>12075*11+12000</f>
        <v>144825</v>
      </c>
      <c r="G23" s="25">
        <f t="shared" si="1"/>
        <v>6825</v>
      </c>
      <c r="H23" s="41">
        <f t="shared" ref="H23:H30" si="5">I23/12</f>
        <v>11313.243333333334</v>
      </c>
      <c r="I23" s="42">
        <v>135758.92000000001</v>
      </c>
      <c r="J23" s="42">
        <f t="shared" si="2"/>
        <v>-9066.0799999999872</v>
      </c>
    </row>
    <row r="24" spans="2:11" s="39" customFormat="1" ht="12">
      <c r="B24" s="40" t="s">
        <v>26</v>
      </c>
      <c r="C24" s="19">
        <f t="shared" si="3"/>
        <v>5517</v>
      </c>
      <c r="D24" s="25">
        <f>5517*12</f>
        <v>66204</v>
      </c>
      <c r="E24" s="41">
        <f t="shared" si="4"/>
        <v>6084.333333333333</v>
      </c>
      <c r="F24" s="42">
        <f>6092*11+6000</f>
        <v>73012</v>
      </c>
      <c r="G24" s="25">
        <f t="shared" si="1"/>
        <v>6808</v>
      </c>
      <c r="H24" s="41">
        <f t="shared" si="5"/>
        <v>6154.1133333333337</v>
      </c>
      <c r="I24" s="42">
        <v>73849.36</v>
      </c>
      <c r="J24" s="42">
        <f t="shared" si="2"/>
        <v>837.36000000000058</v>
      </c>
    </row>
    <row r="25" spans="2:11" s="39" customFormat="1" ht="12">
      <c r="B25" s="40" t="s">
        <v>27</v>
      </c>
      <c r="C25" s="19">
        <f t="shared" si="3"/>
        <v>1550</v>
      </c>
      <c r="D25" s="25">
        <f>1550*12</f>
        <v>18600</v>
      </c>
      <c r="E25" s="41">
        <f t="shared" si="4"/>
        <v>1550</v>
      </c>
      <c r="F25" s="42">
        <f>1550*12</f>
        <v>18600</v>
      </c>
      <c r="G25" s="25">
        <f t="shared" si="1"/>
        <v>0</v>
      </c>
      <c r="H25" s="41">
        <f t="shared" si="5"/>
        <v>0</v>
      </c>
      <c r="I25" s="42">
        <v>0</v>
      </c>
      <c r="J25" s="42">
        <f t="shared" si="2"/>
        <v>-18600</v>
      </c>
    </row>
    <row r="26" spans="2:11" s="39" customFormat="1" ht="12">
      <c r="B26" s="40" t="s">
        <v>28</v>
      </c>
      <c r="C26" s="19">
        <f t="shared" si="3"/>
        <v>2018.25</v>
      </c>
      <c r="D26" s="25">
        <f>1863*13</f>
        <v>24219</v>
      </c>
      <c r="E26" s="41">
        <f t="shared" si="4"/>
        <v>2556</v>
      </c>
      <c r="F26" s="42">
        <f>2361*12+2340</f>
        <v>30672</v>
      </c>
      <c r="G26" s="25">
        <f t="shared" si="1"/>
        <v>6453</v>
      </c>
      <c r="H26" s="41">
        <f t="shared" si="5"/>
        <v>3022.75</v>
      </c>
      <c r="I26" s="42">
        <f>76389-I27</f>
        <v>36273</v>
      </c>
      <c r="J26" s="42">
        <f t="shared" si="2"/>
        <v>5601</v>
      </c>
      <c r="K26" s="43" t="s">
        <v>29</v>
      </c>
    </row>
    <row r="27" spans="2:11" s="39" customFormat="1" ht="12">
      <c r="B27" s="40" t="s">
        <v>30</v>
      </c>
      <c r="C27" s="19">
        <f t="shared" si="3"/>
        <v>2640.0833333333335</v>
      </c>
      <c r="D27" s="25">
        <f>2437*13</f>
        <v>31681</v>
      </c>
      <c r="E27" s="41">
        <f t="shared" si="4"/>
        <v>3343</v>
      </c>
      <c r="F27" s="42">
        <f>3088*12+3060</f>
        <v>40116</v>
      </c>
      <c r="G27" s="25">
        <f t="shared" si="1"/>
        <v>8435</v>
      </c>
      <c r="H27" s="41">
        <f t="shared" si="5"/>
        <v>3343</v>
      </c>
      <c r="I27" s="42">
        <v>40116</v>
      </c>
      <c r="J27" s="42">
        <f t="shared" si="2"/>
        <v>0</v>
      </c>
    </row>
    <row r="28" spans="2:11" s="39" customFormat="1" ht="12">
      <c r="B28" s="40" t="s">
        <v>31</v>
      </c>
      <c r="C28" s="19">
        <f t="shared" si="3"/>
        <v>622.91666666666663</v>
      </c>
      <c r="D28" s="25">
        <f>575*13</f>
        <v>7475</v>
      </c>
      <c r="E28" s="41">
        <f t="shared" si="4"/>
        <v>622.91666666666663</v>
      </c>
      <c r="F28" s="42">
        <f>575*13</f>
        <v>7475</v>
      </c>
      <c r="G28" s="25">
        <f t="shared" si="1"/>
        <v>0</v>
      </c>
      <c r="H28" s="41">
        <f t="shared" si="5"/>
        <v>706.17000000000007</v>
      </c>
      <c r="I28" s="42">
        <v>8474.0400000000009</v>
      </c>
      <c r="J28" s="42">
        <f t="shared" si="2"/>
        <v>999.04000000000087</v>
      </c>
    </row>
    <row r="29" spans="2:11" s="39" customFormat="1" ht="24">
      <c r="B29" s="40" t="s">
        <v>32</v>
      </c>
      <c r="C29" s="19">
        <f t="shared" si="3"/>
        <v>2500</v>
      </c>
      <c r="D29" s="25">
        <f>2500*12</f>
        <v>30000</v>
      </c>
      <c r="E29" s="41">
        <f t="shared" si="4"/>
        <v>2500</v>
      </c>
      <c r="F29" s="42">
        <f>2500*12</f>
        <v>30000</v>
      </c>
      <c r="G29" s="25">
        <f t="shared" si="1"/>
        <v>0</v>
      </c>
      <c r="H29" s="41">
        <f t="shared" si="5"/>
        <v>344.91666666666669</v>
      </c>
      <c r="I29" s="42">
        <v>4139</v>
      </c>
      <c r="J29" s="42">
        <f t="shared" si="2"/>
        <v>-25861</v>
      </c>
    </row>
    <row r="30" spans="2:11" s="44" customFormat="1" ht="12">
      <c r="B30" s="40" t="s">
        <v>33</v>
      </c>
      <c r="C30" s="19">
        <f t="shared" si="3"/>
        <v>9966.6666666666661</v>
      </c>
      <c r="D30" s="25">
        <f>9200*13</f>
        <v>119600</v>
      </c>
      <c r="E30" s="41">
        <f t="shared" si="4"/>
        <v>9966.6666666666661</v>
      </c>
      <c r="F30" s="42">
        <f>9200*13</f>
        <v>119600</v>
      </c>
      <c r="G30" s="25">
        <f t="shared" si="1"/>
        <v>0</v>
      </c>
      <c r="H30" s="41">
        <f t="shared" si="5"/>
        <v>9932.5</v>
      </c>
      <c r="I30" s="42">
        <v>119190</v>
      </c>
      <c r="J30" s="42">
        <f t="shared" si="2"/>
        <v>-410</v>
      </c>
    </row>
    <row r="31" spans="2:11" ht="45">
      <c r="B31" s="35" t="s">
        <v>34</v>
      </c>
      <c r="C31" s="36">
        <v>7697.1958447488596</v>
      </c>
      <c r="D31" s="20">
        <f>D22*0.262</f>
        <v>114174.098</v>
      </c>
      <c r="E31" s="37">
        <v>7697.1958447488596</v>
      </c>
      <c r="F31" s="38">
        <f>F22*0.262</f>
        <v>121646.6</v>
      </c>
      <c r="G31" s="20">
        <f t="shared" si="1"/>
        <v>7472.5020000000077</v>
      </c>
      <c r="H31" s="37">
        <v>7697.1958447488596</v>
      </c>
      <c r="I31" s="38">
        <f>'2013'!D40</f>
        <v>75807.39</v>
      </c>
      <c r="J31" s="38">
        <f t="shared" si="2"/>
        <v>-45839.210000000006</v>
      </c>
      <c r="K31" s="45" t="s">
        <v>29</v>
      </c>
    </row>
    <row r="32" spans="2:11">
      <c r="B32" s="35" t="s">
        <v>35</v>
      </c>
      <c r="C32" s="46">
        <f>D32/12</f>
        <v>400</v>
      </c>
      <c r="D32" s="20">
        <f>400*12</f>
        <v>4800</v>
      </c>
      <c r="E32" s="47">
        <f>F32/12</f>
        <v>400</v>
      </c>
      <c r="F32" s="38">
        <f>400*12</f>
        <v>4800</v>
      </c>
      <c r="G32" s="20">
        <f t="shared" si="1"/>
        <v>0</v>
      </c>
      <c r="H32" s="47">
        <f>I32/12</f>
        <v>190.83333333333334</v>
      </c>
      <c r="I32" s="38">
        <v>2290</v>
      </c>
      <c r="J32" s="38">
        <f t="shared" si="2"/>
        <v>-2510</v>
      </c>
    </row>
    <row r="33" spans="2:1024">
      <c r="B33" s="35" t="s">
        <v>36</v>
      </c>
      <c r="C33" s="48">
        <f>D33/12</f>
        <v>120</v>
      </c>
      <c r="D33" s="20">
        <f>120*12</f>
        <v>1440</v>
      </c>
      <c r="E33" s="49">
        <f>F33/12</f>
        <v>120</v>
      </c>
      <c r="F33" s="38">
        <f>120*12</f>
        <v>1440</v>
      </c>
      <c r="G33" s="20">
        <f t="shared" si="1"/>
        <v>0</v>
      </c>
      <c r="H33" s="49">
        <f>I33/12</f>
        <v>33.333333333333336</v>
      </c>
      <c r="I33" s="38">
        <v>400</v>
      </c>
      <c r="J33" s="38">
        <f t="shared" si="2"/>
        <v>-1040</v>
      </c>
    </row>
    <row r="34" spans="2:1024">
      <c r="B34" s="35" t="s">
        <v>37</v>
      </c>
      <c r="C34" s="36">
        <f>D34/12</f>
        <v>166.66666666666666</v>
      </c>
      <c r="D34" s="20">
        <f>D35+D36+D37</f>
        <v>2000</v>
      </c>
      <c r="E34" s="37">
        <f>F34/12</f>
        <v>166.66666666666666</v>
      </c>
      <c r="F34" s="38">
        <f>F35+F36+F37</f>
        <v>2000</v>
      </c>
      <c r="G34" s="20">
        <f t="shared" si="1"/>
        <v>0</v>
      </c>
      <c r="H34" s="37">
        <f>I34/12</f>
        <v>112.33999999999999</v>
      </c>
      <c r="I34" s="38">
        <f>I35+I36+I37</f>
        <v>1348.08</v>
      </c>
      <c r="J34" s="38">
        <f t="shared" si="2"/>
        <v>-651.92000000000007</v>
      </c>
    </row>
    <row r="35" spans="2:1024" s="44" customFormat="1" ht="12">
      <c r="B35" s="40" t="s">
        <v>38</v>
      </c>
      <c r="C35" s="19"/>
      <c r="D35" s="25"/>
      <c r="E35" s="41"/>
      <c r="F35" s="42"/>
      <c r="G35" s="25">
        <f t="shared" si="1"/>
        <v>0</v>
      </c>
      <c r="H35" s="41"/>
      <c r="I35" s="42"/>
      <c r="J35" s="42">
        <f t="shared" si="2"/>
        <v>0</v>
      </c>
    </row>
    <row r="36" spans="2:1024" s="44" customFormat="1" ht="12">
      <c r="B36" s="40" t="s">
        <v>39</v>
      </c>
      <c r="C36" s="19">
        <f>D36/12</f>
        <v>166.66666666666666</v>
      </c>
      <c r="D36" s="25">
        <v>2000</v>
      </c>
      <c r="E36" s="41">
        <f>F36/12</f>
        <v>166.66666666666666</v>
      </c>
      <c r="F36" s="42">
        <v>2000</v>
      </c>
      <c r="G36" s="25">
        <f t="shared" si="1"/>
        <v>0</v>
      </c>
      <c r="H36" s="41">
        <f>I36/12</f>
        <v>87.234999999999999</v>
      </c>
      <c r="I36" s="42">
        <v>1046.82</v>
      </c>
      <c r="J36" s="42">
        <f t="shared" si="2"/>
        <v>-953.18000000000006</v>
      </c>
    </row>
    <row r="37" spans="2:1024" s="44" customFormat="1" ht="12">
      <c r="B37" s="40" t="s">
        <v>40</v>
      </c>
      <c r="C37" s="19"/>
      <c r="D37" s="25"/>
      <c r="E37" s="41"/>
      <c r="F37" s="42"/>
      <c r="G37" s="25">
        <f t="shared" si="1"/>
        <v>0</v>
      </c>
      <c r="H37" s="41"/>
      <c r="I37" s="42">
        <v>301.26</v>
      </c>
      <c r="J37" s="42">
        <f t="shared" si="2"/>
        <v>301.26</v>
      </c>
    </row>
    <row r="38" spans="2:1024">
      <c r="B38" s="35" t="s">
        <v>41</v>
      </c>
      <c r="C38" s="46">
        <f>D38/12</f>
        <v>0</v>
      </c>
      <c r="D38" s="20">
        <f>D39+D40</f>
        <v>0</v>
      </c>
      <c r="E38" s="47">
        <f>F38/12</f>
        <v>0</v>
      </c>
      <c r="F38" s="38">
        <f>F39+F40</f>
        <v>0</v>
      </c>
      <c r="G38" s="20">
        <f t="shared" si="1"/>
        <v>0</v>
      </c>
      <c r="H38" s="47">
        <f>I38/12</f>
        <v>0</v>
      </c>
      <c r="I38" s="38">
        <f>I39+I40</f>
        <v>0</v>
      </c>
      <c r="J38" s="38">
        <f t="shared" si="2"/>
        <v>0</v>
      </c>
    </row>
    <row r="39" spans="2:1024" s="44" customFormat="1" ht="12">
      <c r="B39" s="40" t="s">
        <v>42</v>
      </c>
      <c r="C39" s="19"/>
      <c r="D39" s="25"/>
      <c r="E39" s="41"/>
      <c r="F39" s="42"/>
      <c r="G39" s="25">
        <f t="shared" si="1"/>
        <v>0</v>
      </c>
      <c r="H39" s="41"/>
      <c r="I39" s="42"/>
      <c r="J39" s="42">
        <f t="shared" si="2"/>
        <v>0</v>
      </c>
    </row>
    <row r="40" spans="2:1024" s="44" customFormat="1" ht="24">
      <c r="B40" s="40" t="s">
        <v>43</v>
      </c>
      <c r="C40" s="19"/>
      <c r="D40" s="25"/>
      <c r="E40" s="41"/>
      <c r="F40" s="42"/>
      <c r="G40" s="25">
        <f t="shared" si="1"/>
        <v>0</v>
      </c>
      <c r="H40" s="41"/>
      <c r="I40" s="42"/>
      <c r="J40" s="42">
        <f t="shared" si="2"/>
        <v>0</v>
      </c>
    </row>
    <row r="41" spans="2:1024">
      <c r="B41" s="35" t="s">
        <v>44</v>
      </c>
      <c r="C41" s="36">
        <f>D41/12</f>
        <v>300</v>
      </c>
      <c r="D41" s="20">
        <f>D42+D43</f>
        <v>3600</v>
      </c>
      <c r="E41" s="37">
        <f>F41/12</f>
        <v>300</v>
      </c>
      <c r="F41" s="38">
        <f>F42+F43</f>
        <v>3600</v>
      </c>
      <c r="G41" s="20">
        <f t="shared" si="1"/>
        <v>0</v>
      </c>
      <c r="H41" s="37">
        <f>I41/12</f>
        <v>1247.5</v>
      </c>
      <c r="I41" s="38">
        <f>I42+I43</f>
        <v>14970</v>
      </c>
      <c r="J41" s="38">
        <f t="shared" si="2"/>
        <v>11370</v>
      </c>
    </row>
    <row r="42" spans="2:1024" s="44" customFormat="1" ht="24">
      <c r="B42" s="40" t="s">
        <v>45</v>
      </c>
      <c r="C42" s="19">
        <f>D42/12</f>
        <v>300</v>
      </c>
      <c r="D42" s="25">
        <f>300*12</f>
        <v>3600</v>
      </c>
      <c r="E42" s="41">
        <f>F42/12</f>
        <v>300</v>
      </c>
      <c r="F42" s="42">
        <f>300*12</f>
        <v>3600</v>
      </c>
      <c r="G42" s="25">
        <f t="shared" si="1"/>
        <v>0</v>
      </c>
      <c r="H42" s="41">
        <f>I42/12</f>
        <v>339.16666666666669</v>
      </c>
      <c r="I42" s="42">
        <v>4070</v>
      </c>
      <c r="J42" s="42">
        <f t="shared" si="2"/>
        <v>470</v>
      </c>
      <c r="L42" s="44" t="s">
        <v>46</v>
      </c>
    </row>
    <row r="43" spans="2:1024" s="44" customFormat="1" ht="12">
      <c r="B43" s="40" t="s">
        <v>46</v>
      </c>
      <c r="C43" s="19"/>
      <c r="D43" s="25"/>
      <c r="E43" s="41"/>
      <c r="F43" s="42"/>
      <c r="G43" s="25">
        <f t="shared" si="1"/>
        <v>0</v>
      </c>
      <c r="H43" s="41"/>
      <c r="I43" s="42">
        <v>10900</v>
      </c>
      <c r="J43" s="42">
        <f t="shared" si="2"/>
        <v>10900</v>
      </c>
      <c r="K43" s="45" t="s">
        <v>29</v>
      </c>
    </row>
    <row r="44" spans="2:1024" s="44" customFormat="1">
      <c r="B44" s="35" t="s">
        <v>47</v>
      </c>
      <c r="C44" s="36"/>
      <c r="D44" s="20"/>
      <c r="E44" s="37"/>
      <c r="F44" s="38"/>
      <c r="G44" s="20">
        <f t="shared" si="1"/>
        <v>0</v>
      </c>
      <c r="H44" s="37"/>
      <c r="I44" s="38"/>
      <c r="J44" s="38">
        <f t="shared" si="2"/>
        <v>0</v>
      </c>
    </row>
    <row r="45" spans="2:1024" ht="27.75" customHeight="1">
      <c r="B45" s="50" t="s">
        <v>48</v>
      </c>
      <c r="C45" s="22">
        <f>C46+C50+C54+C55+C56+C60</f>
        <v>19576.574999999997</v>
      </c>
      <c r="D45" s="23">
        <f>D46+D50+D54+D55+D56+D60</f>
        <v>234918.9</v>
      </c>
      <c r="E45" s="33">
        <f>E46+E50+E54+E55+E56+E60</f>
        <v>24568.866666666665</v>
      </c>
      <c r="F45" s="34">
        <f>F46+F50+F54+F55+F56+F60</f>
        <v>294826.40000000002</v>
      </c>
      <c r="G45" s="23">
        <f t="shared" si="1"/>
        <v>59907.500000000029</v>
      </c>
      <c r="H45" s="33">
        <f>H46+H50+H54+H55+H56+H60</f>
        <v>9744.0741666666654</v>
      </c>
      <c r="I45" s="34">
        <f>I46+I50+I54+I55+I56+I60</f>
        <v>116928.89</v>
      </c>
      <c r="J45" s="34">
        <f t="shared" si="2"/>
        <v>-177897.51</v>
      </c>
    </row>
    <row r="46" spans="2:1024" ht="15" customHeight="1">
      <c r="B46" s="51" t="s">
        <v>49</v>
      </c>
      <c r="C46" s="36">
        <f>+C47+C48+C49</f>
        <v>1433.3333333333335</v>
      </c>
      <c r="D46" s="20">
        <f>+D47+D48+D49</f>
        <v>17200</v>
      </c>
      <c r="E46" s="37">
        <f>+E47+E48+E49</f>
        <v>1433.3333333333335</v>
      </c>
      <c r="F46" s="38">
        <f>+F47+F48+F49</f>
        <v>17200</v>
      </c>
      <c r="G46" s="20">
        <f t="shared" si="1"/>
        <v>0</v>
      </c>
      <c r="H46" s="37">
        <f>+H47+H48+H49</f>
        <v>1144.0266666666666</v>
      </c>
      <c r="I46" s="38">
        <f>+I47+I48+I49</f>
        <v>13728.32</v>
      </c>
      <c r="J46" s="38">
        <f t="shared" si="2"/>
        <v>-3471.6800000000003</v>
      </c>
    </row>
    <row r="47" spans="2:1024">
      <c r="B47" s="52" t="s">
        <v>50</v>
      </c>
      <c r="C47" s="19"/>
      <c r="D47" s="25"/>
      <c r="E47" s="41"/>
      <c r="F47" s="42"/>
      <c r="G47" s="25">
        <f t="shared" si="1"/>
        <v>0</v>
      </c>
      <c r="H47" s="41"/>
      <c r="I47" s="42"/>
      <c r="J47" s="42">
        <f t="shared" si="2"/>
        <v>0</v>
      </c>
    </row>
    <row r="48" spans="2:1024">
      <c r="B48" s="52" t="s">
        <v>51</v>
      </c>
      <c r="C48" s="53">
        <f t="shared" ref="C48:C57" si="6">D48/12</f>
        <v>600</v>
      </c>
      <c r="D48" s="25">
        <f>600*12</f>
        <v>7200</v>
      </c>
      <c r="E48" s="54">
        <f t="shared" ref="E48:E57" si="7">F48/12</f>
        <v>600</v>
      </c>
      <c r="F48" s="42">
        <f>600*12</f>
        <v>7200</v>
      </c>
      <c r="G48" s="25">
        <f t="shared" si="1"/>
        <v>0</v>
      </c>
      <c r="H48" s="54">
        <f t="shared" ref="H48:H57" si="8">I48/12</f>
        <v>450</v>
      </c>
      <c r="I48" s="42">
        <v>5400</v>
      </c>
      <c r="J48" s="42">
        <f t="shared" si="2"/>
        <v>-1800</v>
      </c>
      <c r="AMJ48"/>
    </row>
    <row r="49" spans="2:11" ht="24.75">
      <c r="B49" s="52" t="s">
        <v>52</v>
      </c>
      <c r="C49" s="53">
        <f t="shared" si="6"/>
        <v>833.33333333333337</v>
      </c>
      <c r="D49" s="25">
        <v>10000</v>
      </c>
      <c r="E49" s="54">
        <f t="shared" si="7"/>
        <v>833.33333333333337</v>
      </c>
      <c r="F49" s="42">
        <v>10000</v>
      </c>
      <c r="G49" s="25">
        <f t="shared" si="1"/>
        <v>0</v>
      </c>
      <c r="H49" s="54">
        <f t="shared" si="8"/>
        <v>694.02666666666664</v>
      </c>
      <c r="I49" s="42">
        <v>8328.32</v>
      </c>
      <c r="J49" s="42">
        <f t="shared" si="2"/>
        <v>-1671.6800000000003</v>
      </c>
    </row>
    <row r="50" spans="2:11" ht="15" customHeight="1">
      <c r="B50" s="51" t="s">
        <v>53</v>
      </c>
      <c r="C50" s="36">
        <f t="shared" si="6"/>
        <v>1333.3333333333333</v>
      </c>
      <c r="D50" s="20">
        <f>D51+D52+D53</f>
        <v>16000</v>
      </c>
      <c r="E50" s="37">
        <f t="shared" si="7"/>
        <v>1333.3333333333333</v>
      </c>
      <c r="F50" s="38">
        <f>F51+F52+F53</f>
        <v>16000</v>
      </c>
      <c r="G50" s="20">
        <f t="shared" si="1"/>
        <v>0</v>
      </c>
      <c r="H50" s="37">
        <f t="shared" si="8"/>
        <v>791.66666666666663</v>
      </c>
      <c r="I50" s="38">
        <f>I51+I52+I53</f>
        <v>9500</v>
      </c>
      <c r="J50" s="38">
        <f t="shared" si="2"/>
        <v>-6500</v>
      </c>
    </row>
    <row r="51" spans="2:11">
      <c r="B51" s="40" t="s">
        <v>54</v>
      </c>
      <c r="C51" s="53">
        <f t="shared" si="6"/>
        <v>833.33333333333337</v>
      </c>
      <c r="D51" s="25">
        <v>10000</v>
      </c>
      <c r="E51" s="54">
        <f t="shared" si="7"/>
        <v>833.33333333333337</v>
      </c>
      <c r="F51" s="42">
        <v>10000</v>
      </c>
      <c r="G51" s="25">
        <f t="shared" si="1"/>
        <v>0</v>
      </c>
      <c r="H51" s="54">
        <f t="shared" si="8"/>
        <v>375</v>
      </c>
      <c r="I51" s="42">
        <v>4500</v>
      </c>
      <c r="J51" s="42">
        <f t="shared" si="2"/>
        <v>-5500</v>
      </c>
    </row>
    <row r="52" spans="2:11">
      <c r="B52" s="40" t="s">
        <v>55</v>
      </c>
      <c r="C52" s="53">
        <f t="shared" si="6"/>
        <v>500</v>
      </c>
      <c r="D52" s="25">
        <v>6000</v>
      </c>
      <c r="E52" s="54">
        <f t="shared" si="7"/>
        <v>500</v>
      </c>
      <c r="F52" s="42">
        <v>6000</v>
      </c>
      <c r="G52" s="25">
        <f t="shared" si="1"/>
        <v>0</v>
      </c>
      <c r="H52" s="54">
        <f t="shared" si="8"/>
        <v>416.66666666666669</v>
      </c>
      <c r="I52" s="42">
        <v>5000</v>
      </c>
      <c r="J52" s="42">
        <f t="shared" si="2"/>
        <v>-1000</v>
      </c>
      <c r="K52" s="45" t="s">
        <v>29</v>
      </c>
    </row>
    <row r="53" spans="2:11" ht="12.75" hidden="1" customHeight="1">
      <c r="B53" s="55" t="s">
        <v>56</v>
      </c>
      <c r="C53" s="56">
        <f t="shared" si="6"/>
        <v>0</v>
      </c>
      <c r="D53" s="57"/>
      <c r="E53" s="58">
        <f t="shared" si="7"/>
        <v>0</v>
      </c>
      <c r="F53" s="59"/>
      <c r="G53" s="57">
        <f t="shared" si="1"/>
        <v>0</v>
      </c>
      <c r="H53" s="58">
        <f t="shared" si="8"/>
        <v>0</v>
      </c>
      <c r="I53" s="59"/>
      <c r="J53" s="59">
        <f t="shared" ref="J53:J81" si="9">I53-F53</f>
        <v>0</v>
      </c>
    </row>
    <row r="54" spans="2:11" hidden="1">
      <c r="B54" s="60" t="s">
        <v>57</v>
      </c>
      <c r="C54" s="56">
        <f t="shared" si="6"/>
        <v>0</v>
      </c>
      <c r="D54" s="61"/>
      <c r="E54" s="58">
        <f t="shared" si="7"/>
        <v>0</v>
      </c>
      <c r="F54" s="62"/>
      <c r="G54" s="61">
        <f t="shared" si="1"/>
        <v>0</v>
      </c>
      <c r="H54" s="58">
        <f t="shared" si="8"/>
        <v>0</v>
      </c>
      <c r="I54" s="62"/>
      <c r="J54" s="62">
        <f t="shared" si="9"/>
        <v>0</v>
      </c>
    </row>
    <row r="55" spans="2:11" ht="30">
      <c r="B55" s="51" t="s">
        <v>58</v>
      </c>
      <c r="C55" s="36">
        <f t="shared" si="6"/>
        <v>1250</v>
      </c>
      <c r="D55" s="20">
        <v>15000</v>
      </c>
      <c r="E55" s="37">
        <f t="shared" si="7"/>
        <v>1250</v>
      </c>
      <c r="F55" s="38">
        <v>15000</v>
      </c>
      <c r="G55" s="20">
        <f t="shared" si="1"/>
        <v>0</v>
      </c>
      <c r="H55" s="37">
        <f t="shared" si="8"/>
        <v>611.56083333333333</v>
      </c>
      <c r="I55" s="38">
        <v>7338.73</v>
      </c>
      <c r="J55" s="38">
        <f t="shared" si="9"/>
        <v>-7661.27</v>
      </c>
    </row>
    <row r="56" spans="2:11">
      <c r="B56" s="51" t="s">
        <v>59</v>
      </c>
      <c r="C56" s="36">
        <f t="shared" si="6"/>
        <v>1278.3333333333333</v>
      </c>
      <c r="D56" s="20">
        <f>D57+D59+D58</f>
        <v>15340</v>
      </c>
      <c r="E56" s="37">
        <f t="shared" si="7"/>
        <v>1278.3333333333333</v>
      </c>
      <c r="F56" s="38">
        <f>F57+F59+F58</f>
        <v>15340</v>
      </c>
      <c r="G56" s="20">
        <f t="shared" si="1"/>
        <v>0</v>
      </c>
      <c r="H56" s="37">
        <f t="shared" si="8"/>
        <v>0</v>
      </c>
      <c r="I56" s="38">
        <f>I57+I59+I58</f>
        <v>0</v>
      </c>
      <c r="J56" s="38">
        <f t="shared" si="9"/>
        <v>-15340</v>
      </c>
    </row>
    <row r="57" spans="2:11" s="44" customFormat="1" ht="24">
      <c r="B57" s="40" t="s">
        <v>60</v>
      </c>
      <c r="C57" s="53">
        <f t="shared" si="6"/>
        <v>1278.3333333333333</v>
      </c>
      <c r="D57" s="25">
        <v>15340</v>
      </c>
      <c r="E57" s="54">
        <f t="shared" si="7"/>
        <v>1278.3333333333333</v>
      </c>
      <c r="F57" s="42">
        <v>15340</v>
      </c>
      <c r="G57" s="25">
        <f t="shared" si="1"/>
        <v>0</v>
      </c>
      <c r="H57" s="54">
        <f t="shared" si="8"/>
        <v>0</v>
      </c>
      <c r="I57" s="42"/>
      <c r="J57" s="42">
        <f t="shared" si="9"/>
        <v>-15340</v>
      </c>
      <c r="K57" s="45" t="s">
        <v>29</v>
      </c>
    </row>
    <row r="58" spans="2:11" s="44" customFormat="1" ht="12">
      <c r="B58" s="40"/>
      <c r="C58" s="19"/>
      <c r="D58" s="25"/>
      <c r="E58" s="41"/>
      <c r="F58" s="42"/>
      <c r="G58" s="25">
        <f t="shared" si="1"/>
        <v>0</v>
      </c>
      <c r="H58" s="41"/>
      <c r="I58" s="42"/>
      <c r="J58" s="42">
        <f t="shared" si="9"/>
        <v>0</v>
      </c>
    </row>
    <row r="59" spans="2:11" s="44" customFormat="1" ht="12">
      <c r="B59" s="40"/>
      <c r="C59" s="19"/>
      <c r="D59" s="25"/>
      <c r="E59" s="41"/>
      <c r="F59" s="42"/>
      <c r="G59" s="25">
        <f t="shared" si="1"/>
        <v>0</v>
      </c>
      <c r="H59" s="41"/>
      <c r="I59" s="42"/>
      <c r="J59" s="42">
        <f t="shared" si="9"/>
        <v>0</v>
      </c>
    </row>
    <row r="60" spans="2:11">
      <c r="B60" s="51" t="s">
        <v>61</v>
      </c>
      <c r="C60" s="36">
        <f>D60/12</f>
        <v>14281.574999999999</v>
      </c>
      <c r="D60" s="20">
        <f>186688.9+30-D56</f>
        <v>171378.9</v>
      </c>
      <c r="E60" s="37">
        <f>F60/12</f>
        <v>19273.866666666665</v>
      </c>
      <c r="F60" s="63">
        <v>231286.39999999999</v>
      </c>
      <c r="G60" s="20">
        <f t="shared" si="1"/>
        <v>59907.5</v>
      </c>
      <c r="H60" s="37">
        <f>I60/12</f>
        <v>7196.82</v>
      </c>
      <c r="I60" s="63">
        <f>SUM(I61:I67)</f>
        <v>86361.84</v>
      </c>
      <c r="J60" s="63">
        <f t="shared" si="9"/>
        <v>-144924.56</v>
      </c>
    </row>
    <row r="61" spans="2:11" s="44" customFormat="1" ht="12">
      <c r="B61" s="64" t="s">
        <v>62</v>
      </c>
      <c r="C61" s="65">
        <f>D61/12</f>
        <v>0</v>
      </c>
      <c r="D61" s="66">
        <v>0</v>
      </c>
      <c r="E61" s="67">
        <f>F61/12</f>
        <v>0</v>
      </c>
      <c r="F61" s="68">
        <v>0</v>
      </c>
      <c r="G61" s="66">
        <f t="shared" si="1"/>
        <v>0</v>
      </c>
      <c r="H61" s="67">
        <f>I61/12</f>
        <v>2305.5</v>
      </c>
      <c r="I61" s="68">
        <v>27666</v>
      </c>
      <c r="J61" s="68">
        <f t="shared" si="9"/>
        <v>27666</v>
      </c>
      <c r="K61" s="44" t="s">
        <v>63</v>
      </c>
    </row>
    <row r="62" spans="2:11" s="44" customFormat="1" ht="12">
      <c r="B62" s="64" t="s">
        <v>64</v>
      </c>
      <c r="C62" s="65">
        <f>D62/12</f>
        <v>0</v>
      </c>
      <c r="D62" s="66">
        <v>0</v>
      </c>
      <c r="E62" s="67">
        <f>F62/12</f>
        <v>0</v>
      </c>
      <c r="F62" s="68">
        <v>0</v>
      </c>
      <c r="G62" s="66">
        <f t="shared" si="1"/>
        <v>0</v>
      </c>
      <c r="H62" s="67">
        <f>I62/12</f>
        <v>654.16666666666663</v>
      </c>
      <c r="I62" s="68">
        <v>7850</v>
      </c>
      <c r="J62" s="68">
        <f t="shared" si="9"/>
        <v>7850</v>
      </c>
      <c r="K62" s="45" t="s">
        <v>29</v>
      </c>
    </row>
    <row r="63" spans="2:11" s="44" customFormat="1" ht="12">
      <c r="B63" s="64" t="s">
        <v>65</v>
      </c>
      <c r="C63" s="65"/>
      <c r="D63" s="66"/>
      <c r="E63" s="67"/>
      <c r="F63" s="68"/>
      <c r="G63" s="66"/>
      <c r="H63" s="67"/>
      <c r="I63" s="68">
        <v>29000</v>
      </c>
      <c r="J63" s="68">
        <f t="shared" si="9"/>
        <v>29000</v>
      </c>
    </row>
    <row r="64" spans="2:11" s="44" customFormat="1" ht="12">
      <c r="B64" s="64" t="s">
        <v>66</v>
      </c>
      <c r="C64" s="65"/>
      <c r="D64" s="66"/>
      <c r="E64" s="67"/>
      <c r="F64" s="68"/>
      <c r="G64" s="66"/>
      <c r="H64" s="67"/>
      <c r="I64" s="68">
        <v>620</v>
      </c>
      <c r="J64" s="68">
        <f t="shared" si="9"/>
        <v>620</v>
      </c>
    </row>
    <row r="65" spans="2:12" s="44" customFormat="1">
      <c r="B65" s="64" t="s">
        <v>67</v>
      </c>
      <c r="C65" s="65"/>
      <c r="D65" s="66"/>
      <c r="E65" s="67"/>
      <c r="F65" s="68"/>
      <c r="G65" s="66"/>
      <c r="H65" s="67"/>
      <c r="I65" s="68">
        <v>20225.2</v>
      </c>
      <c r="J65" s="68">
        <f t="shared" si="9"/>
        <v>20225.2</v>
      </c>
      <c r="K65" s="45" t="s">
        <v>29</v>
      </c>
      <c r="L65" s="69" t="s">
        <v>68</v>
      </c>
    </row>
    <row r="66" spans="2:12" s="44" customFormat="1" ht="12">
      <c r="B66" s="64" t="s">
        <v>69</v>
      </c>
      <c r="C66" s="65"/>
      <c r="D66" s="66"/>
      <c r="E66" s="67"/>
      <c r="F66" s="68"/>
      <c r="G66" s="66"/>
      <c r="H66" s="67"/>
      <c r="I66" s="68">
        <v>1000.64</v>
      </c>
      <c r="J66" s="68">
        <f t="shared" si="9"/>
        <v>1000.64</v>
      </c>
      <c r="K66" s="45" t="s">
        <v>29</v>
      </c>
      <c r="L66" s="44" t="s">
        <v>70</v>
      </c>
    </row>
    <row r="67" spans="2:12" ht="15" customHeight="1">
      <c r="B67" s="51"/>
      <c r="C67" s="36"/>
      <c r="D67" s="70"/>
      <c r="E67" s="37"/>
      <c r="F67" s="71"/>
      <c r="G67" s="70">
        <f t="shared" ref="G67:G81" si="10">F67-D67</f>
        <v>0</v>
      </c>
      <c r="H67" s="37"/>
      <c r="I67" s="71"/>
      <c r="J67" s="71">
        <f t="shared" si="9"/>
        <v>0</v>
      </c>
    </row>
    <row r="68" spans="2:12" ht="29.25" customHeight="1">
      <c r="B68" s="50" t="s">
        <v>71</v>
      </c>
      <c r="C68" s="22">
        <f>D68/12</f>
        <v>1263.3333333333333</v>
      </c>
      <c r="D68" s="14">
        <f>D69+D70+D73+D76+D79</f>
        <v>15160</v>
      </c>
      <c r="E68" s="33">
        <f>F68/12</f>
        <v>1263.3333333333333</v>
      </c>
      <c r="F68" s="63">
        <f>F69+F70+F73+F76+F79</f>
        <v>15160</v>
      </c>
      <c r="G68" s="14">
        <f t="shared" si="10"/>
        <v>0</v>
      </c>
      <c r="H68" s="33">
        <f>I68/12</f>
        <v>657.42500000000007</v>
      </c>
      <c r="I68" s="63">
        <f>I69+I70+I73+I76+I79</f>
        <v>7889.1</v>
      </c>
      <c r="J68" s="63">
        <f t="shared" si="9"/>
        <v>-7270.9</v>
      </c>
    </row>
    <row r="69" spans="2:12">
      <c r="B69" s="51" t="s">
        <v>72</v>
      </c>
      <c r="C69" s="48">
        <f>D69/12</f>
        <v>500</v>
      </c>
      <c r="D69" s="20">
        <f>500*12</f>
        <v>6000</v>
      </c>
      <c r="E69" s="49">
        <f>F69/12</f>
        <v>500</v>
      </c>
      <c r="F69" s="38">
        <f>500*12</f>
        <v>6000</v>
      </c>
      <c r="G69" s="20">
        <f t="shared" si="10"/>
        <v>0</v>
      </c>
      <c r="H69" s="49">
        <f>I69/12</f>
        <v>594.92500000000007</v>
      </c>
      <c r="I69" s="38">
        <f>7109.1+30</f>
        <v>7139.1</v>
      </c>
      <c r="J69" s="38">
        <f t="shared" si="9"/>
        <v>1139.1000000000004</v>
      </c>
      <c r="K69" s="45" t="s">
        <v>29</v>
      </c>
    </row>
    <row r="70" spans="2:12" ht="15" customHeight="1">
      <c r="B70" s="51" t="s">
        <v>73</v>
      </c>
      <c r="C70" s="48">
        <f>D70/12</f>
        <v>183.33333333333334</v>
      </c>
      <c r="D70" s="20">
        <f>D71+D72</f>
        <v>2200</v>
      </c>
      <c r="E70" s="49">
        <f>F70/12</f>
        <v>183.33333333333334</v>
      </c>
      <c r="F70" s="38">
        <f>F71+F72</f>
        <v>2200</v>
      </c>
      <c r="G70" s="20">
        <f t="shared" si="10"/>
        <v>0</v>
      </c>
      <c r="H70" s="49">
        <f>I70/12</f>
        <v>62.5</v>
      </c>
      <c r="I70" s="38">
        <f>I71+I72</f>
        <v>750</v>
      </c>
      <c r="J70" s="38">
        <f t="shared" si="9"/>
        <v>-1450</v>
      </c>
    </row>
    <row r="71" spans="2:12">
      <c r="B71" s="40" t="s">
        <v>74</v>
      </c>
      <c r="C71" s="72">
        <f>D71/12</f>
        <v>100</v>
      </c>
      <c r="D71" s="25">
        <v>1200</v>
      </c>
      <c r="E71" s="73">
        <f>F71/12</f>
        <v>100</v>
      </c>
      <c r="F71" s="42">
        <v>1200</v>
      </c>
      <c r="G71" s="25">
        <f t="shared" si="10"/>
        <v>0</v>
      </c>
      <c r="H71" s="73">
        <f>I71/12</f>
        <v>62.5</v>
      </c>
      <c r="I71" s="42">
        <v>750</v>
      </c>
      <c r="J71" s="42">
        <f t="shared" si="9"/>
        <v>-450</v>
      </c>
    </row>
    <row r="72" spans="2:12">
      <c r="B72" s="40" t="s">
        <v>75</v>
      </c>
      <c r="C72" s="72">
        <f>D72/12</f>
        <v>83.333333333333329</v>
      </c>
      <c r="D72" s="25">
        <v>1000</v>
      </c>
      <c r="E72" s="73">
        <f>F72/12</f>
        <v>83.333333333333329</v>
      </c>
      <c r="F72" s="42">
        <v>1000</v>
      </c>
      <c r="G72" s="25">
        <f t="shared" si="10"/>
        <v>0</v>
      </c>
      <c r="H72" s="73">
        <f>I72/12</f>
        <v>0</v>
      </c>
      <c r="I72" s="42">
        <v>0</v>
      </c>
      <c r="J72" s="42">
        <f t="shared" si="9"/>
        <v>-1000</v>
      </c>
      <c r="K72" s="45" t="s">
        <v>29</v>
      </c>
    </row>
    <row r="73" spans="2:12" ht="23.25" customHeight="1">
      <c r="B73" s="74" t="s">
        <v>76</v>
      </c>
      <c r="C73" s="36"/>
      <c r="D73" s="20"/>
      <c r="E73" s="37"/>
      <c r="F73" s="38"/>
      <c r="G73" s="20">
        <f t="shared" si="10"/>
        <v>0</v>
      </c>
      <c r="H73" s="37"/>
      <c r="I73" s="38">
        <v>0</v>
      </c>
      <c r="J73" s="38">
        <f t="shared" si="9"/>
        <v>0</v>
      </c>
    </row>
    <row r="74" spans="2:12" ht="15" customHeight="1">
      <c r="B74" s="74" t="s">
        <v>77</v>
      </c>
      <c r="C74" s="75"/>
      <c r="D74" s="76"/>
      <c r="E74" s="77"/>
      <c r="F74" s="78"/>
      <c r="G74" s="76">
        <f t="shared" si="10"/>
        <v>0</v>
      </c>
      <c r="H74" s="77"/>
      <c r="I74" s="78">
        <v>0</v>
      </c>
      <c r="J74" s="78">
        <f t="shared" si="9"/>
        <v>0</v>
      </c>
    </row>
    <row r="75" spans="2:12">
      <c r="B75" s="51" t="s">
        <v>78</v>
      </c>
      <c r="C75" s="79"/>
      <c r="D75" s="80"/>
      <c r="E75" s="81"/>
      <c r="F75" s="82"/>
      <c r="G75" s="80">
        <f t="shared" si="10"/>
        <v>0</v>
      </c>
      <c r="H75" s="81"/>
      <c r="I75" s="82">
        <v>0</v>
      </c>
      <c r="J75" s="82">
        <f t="shared" si="9"/>
        <v>0</v>
      </c>
    </row>
    <row r="76" spans="2:12" ht="15" customHeight="1">
      <c r="B76" s="51" t="s">
        <v>79</v>
      </c>
      <c r="C76" s="48">
        <f>D76/12</f>
        <v>163.33333333333334</v>
      </c>
      <c r="D76" s="20">
        <f>D77+D78</f>
        <v>1960</v>
      </c>
      <c r="E76" s="49">
        <f>F76/12</f>
        <v>163.33333333333334</v>
      </c>
      <c r="F76" s="38">
        <f>F77+F78</f>
        <v>1960</v>
      </c>
      <c r="G76" s="20">
        <f t="shared" si="10"/>
        <v>0</v>
      </c>
      <c r="H76" s="49">
        <f>I76/12</f>
        <v>0</v>
      </c>
      <c r="I76" s="38">
        <f>I77+I78</f>
        <v>0</v>
      </c>
      <c r="J76" s="38">
        <f t="shared" si="9"/>
        <v>-1960</v>
      </c>
    </row>
    <row r="77" spans="2:12">
      <c r="B77" s="52" t="s">
        <v>80</v>
      </c>
      <c r="C77" s="53">
        <f>D77/12</f>
        <v>80</v>
      </c>
      <c r="D77" s="25">
        <f>D10*0.06</f>
        <v>960</v>
      </c>
      <c r="E77" s="54">
        <f>F77/12</f>
        <v>80</v>
      </c>
      <c r="F77" s="42">
        <f>F10*0.06</f>
        <v>960</v>
      </c>
      <c r="G77" s="25">
        <f t="shared" si="10"/>
        <v>0</v>
      </c>
      <c r="H77" s="54">
        <f>I77/12</f>
        <v>0</v>
      </c>
      <c r="I77" s="42">
        <v>0</v>
      </c>
      <c r="J77" s="42">
        <f t="shared" si="9"/>
        <v>-960</v>
      </c>
      <c r="K77" s="45" t="s">
        <v>29</v>
      </c>
      <c r="L77" s="1" t="s">
        <v>81</v>
      </c>
    </row>
    <row r="78" spans="2:12">
      <c r="B78" s="52" t="s">
        <v>82</v>
      </c>
      <c r="C78" s="53"/>
      <c r="D78" s="25">
        <v>1000</v>
      </c>
      <c r="E78" s="54">
        <f>F78/12</f>
        <v>83.333333333333329</v>
      </c>
      <c r="F78" s="42">
        <v>1000</v>
      </c>
      <c r="G78" s="25">
        <f t="shared" si="10"/>
        <v>0</v>
      </c>
      <c r="H78" s="54">
        <f>I78/12</f>
        <v>0</v>
      </c>
      <c r="I78" s="42">
        <v>0</v>
      </c>
      <c r="J78" s="42">
        <f t="shared" si="9"/>
        <v>-1000</v>
      </c>
    </row>
    <row r="79" spans="2:12">
      <c r="B79" s="83" t="s">
        <v>83</v>
      </c>
      <c r="C79" s="84"/>
      <c r="D79" s="70">
        <v>5000</v>
      </c>
      <c r="E79" s="85">
        <f>F79/12</f>
        <v>416.66666666666669</v>
      </c>
      <c r="F79" s="71">
        <v>5000</v>
      </c>
      <c r="G79" s="70">
        <f t="shared" si="10"/>
        <v>0</v>
      </c>
      <c r="H79" s="85">
        <f>I79/12</f>
        <v>0</v>
      </c>
      <c r="I79" s="71">
        <v>0</v>
      </c>
      <c r="J79" s="71">
        <f t="shared" si="9"/>
        <v>-5000</v>
      </c>
      <c r="K79" s="45" t="s">
        <v>29</v>
      </c>
    </row>
    <row r="80" spans="2:12" ht="15.75" customHeight="1">
      <c r="B80" s="86" t="s">
        <v>84</v>
      </c>
      <c r="C80" s="87"/>
      <c r="D80" s="88"/>
      <c r="E80" s="89">
        <v>0</v>
      </c>
      <c r="F80" s="90"/>
      <c r="G80" s="88">
        <f t="shared" si="10"/>
        <v>0</v>
      </c>
      <c r="H80" s="89">
        <v>0</v>
      </c>
      <c r="I80" s="90"/>
      <c r="J80" s="90">
        <f t="shared" si="9"/>
        <v>0</v>
      </c>
    </row>
    <row r="81" spans="2:10">
      <c r="B81" s="91" t="s">
        <v>21</v>
      </c>
      <c r="C81" s="28">
        <f>D81/12</f>
        <v>67655.999833333335</v>
      </c>
      <c r="D81" s="92">
        <f>D21+D45+D68+D80</f>
        <v>811871.99800000002</v>
      </c>
      <c r="E81" s="93">
        <f>F81/12</f>
        <v>75647.75</v>
      </c>
      <c r="F81" s="94">
        <f>F21+F45+F68+F80</f>
        <v>907773</v>
      </c>
      <c r="G81" s="92">
        <f t="shared" si="10"/>
        <v>95901.001999999979</v>
      </c>
      <c r="H81" s="93">
        <f>I81/12</f>
        <v>53119.481666666667</v>
      </c>
      <c r="I81" s="94">
        <f>I21+I45+I68+I80</f>
        <v>637433.78</v>
      </c>
      <c r="J81" s="94">
        <f t="shared" si="9"/>
        <v>-270339.21999999997</v>
      </c>
    </row>
    <row r="82" spans="2:10" hidden="1">
      <c r="D82" s="95">
        <f>D6-D81</f>
        <v>1.9999999785795808E-3</v>
      </c>
      <c r="F82" s="95">
        <f>F6-F81</f>
        <v>-95901</v>
      </c>
      <c r="I82" s="95">
        <f>I6-I81</f>
        <v>157796.21999999997</v>
      </c>
      <c r="J82" s="95"/>
    </row>
    <row r="84" spans="2:10">
      <c r="D84" s="95"/>
      <c r="F84" s="95"/>
      <c r="I84" s="95"/>
      <c r="J84" s="95"/>
    </row>
    <row r="87" spans="2:10" hidden="1">
      <c r="B87" s="96" t="s">
        <v>85</v>
      </c>
    </row>
    <row r="89" spans="2:10" hidden="1">
      <c r="B89" s="97" t="s">
        <v>86</v>
      </c>
    </row>
    <row r="90" spans="2:10" hidden="1">
      <c r="B90" s="98" t="s">
        <v>87</v>
      </c>
    </row>
    <row r="91" spans="2:10" hidden="1">
      <c r="B91" s="98" t="s">
        <v>86</v>
      </c>
    </row>
    <row r="92" spans="2:10" hidden="1">
      <c r="B92" s="99"/>
    </row>
    <row r="93" spans="2:10" hidden="1">
      <c r="B93" s="100" t="s">
        <v>88</v>
      </c>
    </row>
    <row r="94" spans="2:10" hidden="1">
      <c r="B94" s="101"/>
    </row>
    <row r="95" spans="2:10" hidden="1">
      <c r="B95" s="98" t="s">
        <v>89</v>
      </c>
    </row>
    <row r="96" spans="2:10" hidden="1">
      <c r="B96" s="99" t="s">
        <v>90</v>
      </c>
    </row>
    <row r="97" spans="2:10" hidden="1">
      <c r="B97" s="98"/>
    </row>
    <row r="98" spans="2:10" hidden="1">
      <c r="B98" s="99" t="s">
        <v>91</v>
      </c>
      <c r="C98" s="95"/>
      <c r="E98" s="95"/>
      <c r="H98" s="95"/>
    </row>
    <row r="99" spans="2:10" hidden="1">
      <c r="B99" s="99" t="s">
        <v>92</v>
      </c>
    </row>
    <row r="100" spans="2:10" hidden="1">
      <c r="B100" s="99" t="s">
        <v>93</v>
      </c>
    </row>
    <row r="101" spans="2:10" hidden="1">
      <c r="B101" s="99" t="s">
        <v>94</v>
      </c>
    </row>
    <row r="102" spans="2:10" hidden="1">
      <c r="B102" s="99" t="s">
        <v>95</v>
      </c>
    </row>
    <row r="103" spans="2:10" hidden="1">
      <c r="B103" s="99"/>
      <c r="C103" s="95"/>
      <c r="E103" s="95"/>
      <c r="H103" s="95"/>
    </row>
    <row r="104" spans="2:10" hidden="1">
      <c r="B104" s="99" t="s">
        <v>96</v>
      </c>
    </row>
    <row r="105" spans="2:10" hidden="1">
      <c r="B105" s="99" t="s">
        <v>97</v>
      </c>
    </row>
    <row r="106" spans="2:10" hidden="1">
      <c r="B106" s="99" t="s">
        <v>98</v>
      </c>
    </row>
    <row r="107" spans="2:10" hidden="1">
      <c r="B107" s="99"/>
      <c r="C107" s="95"/>
      <c r="D107" s="95"/>
      <c r="E107" s="95"/>
      <c r="F107" s="95"/>
      <c r="H107" s="95"/>
      <c r="I107" s="95"/>
      <c r="J107" s="95"/>
    </row>
    <row r="108" spans="2:10" hidden="1">
      <c r="B108" s="99" t="s">
        <v>99</v>
      </c>
      <c r="C108" s="95"/>
      <c r="E108" s="95"/>
      <c r="H108" s="95"/>
    </row>
    <row r="109" spans="2:10" hidden="1">
      <c r="B109" s="102" t="s">
        <v>100</v>
      </c>
    </row>
    <row r="111" spans="2:10" hidden="1">
      <c r="B111" s="99" t="s">
        <v>101</v>
      </c>
    </row>
    <row r="113" spans="2:6" ht="38.25" customHeight="1">
      <c r="B113" s="103"/>
      <c r="C113" s="2" t="s">
        <v>102</v>
      </c>
      <c r="D113" s="2"/>
      <c r="E113" s="2"/>
      <c r="F113" s="104" t="s">
        <v>103</v>
      </c>
    </row>
    <row r="114" spans="2:6" ht="16.5" customHeight="1">
      <c r="B114" s="168" t="s">
        <v>104</v>
      </c>
      <c r="C114" s="168"/>
      <c r="D114" s="105"/>
      <c r="E114" s="105">
        <f>'2013'!D5</f>
        <v>69981.2</v>
      </c>
      <c r="F114" s="105">
        <f>'2013'!D73</f>
        <v>181956.43999999992</v>
      </c>
    </row>
    <row r="115" spans="2:6" ht="16.5" customHeight="1">
      <c r="B115" s="168" t="s">
        <v>105</v>
      </c>
      <c r="C115" s="168"/>
      <c r="D115" s="168"/>
      <c r="E115" s="105"/>
      <c r="F115" s="105"/>
    </row>
    <row r="116" spans="2:6" ht="15" customHeight="1">
      <c r="B116" s="169" t="s">
        <v>106</v>
      </c>
      <c r="C116" s="169"/>
      <c r="D116" s="169"/>
      <c r="E116" s="106"/>
      <c r="F116" s="106">
        <f>должники!J21</f>
        <v>68722.45</v>
      </c>
    </row>
    <row r="117" spans="2:6" ht="16.5" customHeight="1">
      <c r="B117" s="168" t="s">
        <v>107</v>
      </c>
      <c r="C117" s="168"/>
      <c r="D117" s="168"/>
      <c r="E117" s="105"/>
      <c r="F117" s="105"/>
    </row>
  </sheetData>
  <mergeCells count="12">
    <mergeCell ref="C2:D2"/>
    <mergeCell ref="E2:F2"/>
    <mergeCell ref="H2:I2"/>
    <mergeCell ref="B19:B20"/>
    <mergeCell ref="C19:D19"/>
    <mergeCell ref="E19:F19"/>
    <mergeCell ref="H19:I19"/>
    <mergeCell ref="C113:E113"/>
    <mergeCell ref="B114:C114"/>
    <mergeCell ref="B115:D115"/>
    <mergeCell ref="B116:D116"/>
    <mergeCell ref="B117:D117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K77"/>
  <sheetViews>
    <sheetView zoomScaleNormal="100" zoomScalePageLayoutView="60" workbookViewId="0">
      <selection activeCell="C83" sqref="C83"/>
    </sheetView>
  </sheetViews>
  <sheetFormatPr defaultRowHeight="15"/>
  <cols>
    <col min="1" max="2" width="9.28515625" style="69"/>
    <col min="3" max="3" width="58.5703125" style="69"/>
    <col min="4" max="4" width="22.7109375" style="107"/>
    <col min="5" max="1025" width="9.28515625" style="69"/>
  </cols>
  <sheetData>
    <row r="1" spans="2:5" ht="15.75">
      <c r="C1" s="108" t="s">
        <v>108</v>
      </c>
      <c r="D1" s="109"/>
    </row>
    <row r="2" spans="2:5">
      <c r="C2" s="110" t="s">
        <v>109</v>
      </c>
      <c r="D2" s="109"/>
    </row>
    <row r="3" spans="2:5">
      <c r="C3" s="110"/>
      <c r="D3" s="109"/>
    </row>
    <row r="4" spans="2:5">
      <c r="C4" s="111"/>
      <c r="D4" s="109"/>
    </row>
    <row r="5" spans="2:5">
      <c r="C5" s="112" t="s">
        <v>110</v>
      </c>
      <c r="D5" s="113">
        <f>D6+D7</f>
        <v>69981.2</v>
      </c>
    </row>
    <row r="6" spans="2:5">
      <c r="C6" s="114" t="s">
        <v>111</v>
      </c>
      <c r="D6" s="115">
        <v>15.37</v>
      </c>
    </row>
    <row r="7" spans="2:5">
      <c r="C7" s="116" t="s">
        <v>112</v>
      </c>
      <c r="D7" s="117">
        <v>69965.83</v>
      </c>
      <c r="E7" s="118"/>
    </row>
    <row r="8" spans="2:5">
      <c r="C8" s="119" t="s">
        <v>113</v>
      </c>
      <c r="D8" s="113">
        <f>D9+D10</f>
        <v>-857.97</v>
      </c>
      <c r="E8" s="118"/>
    </row>
    <row r="9" spans="2:5">
      <c r="C9" s="114" t="s">
        <v>114</v>
      </c>
      <c r="D9" s="115">
        <f>0-857.97</f>
        <v>-857.97</v>
      </c>
    </row>
    <row r="10" spans="2:5">
      <c r="C10" s="116"/>
      <c r="D10" s="117"/>
    </row>
    <row r="11" spans="2:5">
      <c r="C11" s="120" t="s">
        <v>115</v>
      </c>
      <c r="D11" s="121">
        <f>D8+D5</f>
        <v>69123.23</v>
      </c>
    </row>
    <row r="12" spans="2:5">
      <c r="C12" s="110" t="s">
        <v>116</v>
      </c>
      <c r="D12" s="109"/>
    </row>
    <row r="13" spans="2:5">
      <c r="C13" s="110" t="str">
        <f>C2</f>
        <v>(за период с 01 января 2013 по 31 декабря 2013)</v>
      </c>
      <c r="D13" s="109"/>
    </row>
    <row r="14" spans="2:5">
      <c r="C14" s="110"/>
      <c r="D14" s="109"/>
    </row>
    <row r="15" spans="2:5">
      <c r="C15" s="110"/>
      <c r="D15" s="109"/>
    </row>
    <row r="16" spans="2:5">
      <c r="B16" s="122" t="s">
        <v>117</v>
      </c>
      <c r="C16" s="123" t="s">
        <v>118</v>
      </c>
      <c r="D16" s="124" t="s">
        <v>115</v>
      </c>
    </row>
    <row r="17" spans="2:7">
      <c r="B17" s="114">
        <v>1</v>
      </c>
      <c r="C17" s="125" t="s">
        <v>119</v>
      </c>
      <c r="D17" s="115">
        <f>2688112.86-18454.96-2314.43-6072.65-6480</f>
        <v>2654790.8199999998</v>
      </c>
    </row>
    <row r="18" spans="2:7">
      <c r="B18" s="114">
        <v>2</v>
      </c>
      <c r="C18" s="125" t="s">
        <v>120</v>
      </c>
      <c r="D18" s="115">
        <v>20961.25</v>
      </c>
    </row>
    <row r="19" spans="2:7">
      <c r="B19" s="114">
        <v>3</v>
      </c>
      <c r="C19" s="125" t="s">
        <v>121</v>
      </c>
      <c r="D19" s="115">
        <v>4000</v>
      </c>
    </row>
    <row r="20" spans="2:7">
      <c r="B20" s="114">
        <v>4</v>
      </c>
      <c r="C20" s="125" t="s">
        <v>122</v>
      </c>
      <c r="D20" s="115">
        <v>2314.4299999999998</v>
      </c>
    </row>
    <row r="21" spans="2:7">
      <c r="B21" s="114">
        <v>5</v>
      </c>
      <c r="C21" s="125" t="s">
        <v>123</v>
      </c>
      <c r="D21" s="115">
        <v>6480</v>
      </c>
    </row>
    <row r="22" spans="2:7">
      <c r="B22" s="114">
        <v>6</v>
      </c>
      <c r="C22" s="125" t="s">
        <v>124</v>
      </c>
      <c r="D22" s="115">
        <v>6072.65</v>
      </c>
    </row>
    <row r="23" spans="2:7">
      <c r="B23" s="114">
        <v>7</v>
      </c>
      <c r="C23" s="125" t="s">
        <v>125</v>
      </c>
      <c r="D23" s="115">
        <v>7200</v>
      </c>
      <c r="E23" s="118"/>
    </row>
    <row r="24" spans="2:7" ht="15.75">
      <c r="B24" s="116"/>
      <c r="C24" s="126" t="s">
        <v>115</v>
      </c>
      <c r="D24" s="127">
        <f>SUM(D17:D23)</f>
        <v>2701819.15</v>
      </c>
    </row>
    <row r="25" spans="2:7">
      <c r="B25" s="128"/>
      <c r="C25" s="128"/>
      <c r="D25" s="129"/>
    </row>
    <row r="26" spans="2:7">
      <c r="B26" s="128"/>
      <c r="C26" s="130" t="s">
        <v>126</v>
      </c>
      <c r="D26" s="129"/>
    </row>
    <row r="27" spans="2:7">
      <c r="B27" s="128"/>
      <c r="C27" s="110" t="str">
        <f>C2</f>
        <v>(за период с 01 января 2013 по 31 декабря 2013)</v>
      </c>
      <c r="D27" s="129"/>
    </row>
    <row r="28" spans="2:7">
      <c r="B28" s="128"/>
      <c r="C28" s="130"/>
      <c r="D28" s="129"/>
    </row>
    <row r="29" spans="2:7">
      <c r="B29" s="131" t="s">
        <v>117</v>
      </c>
      <c r="C29" s="132" t="s">
        <v>127</v>
      </c>
      <c r="D29" s="133" t="s">
        <v>115</v>
      </c>
      <c r="E29" s="69" t="s">
        <v>128</v>
      </c>
      <c r="F29" s="69" t="s">
        <v>129</v>
      </c>
    </row>
    <row r="30" spans="2:7">
      <c r="B30" s="134"/>
      <c r="C30" s="135" t="s">
        <v>130</v>
      </c>
      <c r="D30" s="136"/>
      <c r="E30" s="69">
        <f>SUM(E31:E69)</f>
        <v>0</v>
      </c>
      <c r="F30" s="69">
        <f>SUM(F31:F69)</f>
        <v>0</v>
      </c>
      <c r="G30" s="69">
        <f>F30+E30</f>
        <v>0</v>
      </c>
    </row>
    <row r="31" spans="2:7">
      <c r="B31" s="134">
        <v>1</v>
      </c>
      <c r="C31" s="137" t="s">
        <v>131</v>
      </c>
      <c r="D31" s="138">
        <v>135758.92000000001</v>
      </c>
    </row>
    <row r="32" spans="2:7">
      <c r="B32" s="134">
        <v>2</v>
      </c>
      <c r="C32" s="137" t="s">
        <v>132</v>
      </c>
      <c r="D32" s="138">
        <f>6084.33*11+6628+289.73+4</f>
        <v>73849.36</v>
      </c>
    </row>
    <row r="33" spans="2:10">
      <c r="B33" s="134">
        <v>3</v>
      </c>
      <c r="C33" s="137" t="s">
        <v>133</v>
      </c>
      <c r="D33" s="139">
        <v>0</v>
      </c>
    </row>
    <row r="34" spans="2:10">
      <c r="B34" s="134">
        <v>4</v>
      </c>
      <c r="C34" s="137" t="s">
        <v>134</v>
      </c>
      <c r="D34" s="138">
        <f>622.92*12+1000-1</f>
        <v>8474.0399999999991</v>
      </c>
    </row>
    <row r="35" spans="2:10">
      <c r="B35" s="134">
        <v>5</v>
      </c>
      <c r="C35" s="137" t="s">
        <v>135</v>
      </c>
      <c r="D35" s="138">
        <f>9200*12+8790</f>
        <v>119190</v>
      </c>
    </row>
    <row r="36" spans="2:10">
      <c r="B36" s="134">
        <v>6</v>
      </c>
      <c r="C36" s="137" t="s">
        <v>136</v>
      </c>
      <c r="D36" s="138">
        <f>5899*12+5601</f>
        <v>76389</v>
      </c>
    </row>
    <row r="37" spans="2:10">
      <c r="B37" s="114"/>
      <c r="C37" s="140" t="s">
        <v>137</v>
      </c>
      <c r="D37" s="141"/>
      <c r="E37" s="118"/>
    </row>
    <row r="38" spans="2:10">
      <c r="B38" s="114">
        <v>7</v>
      </c>
      <c r="C38" s="142" t="s">
        <v>138</v>
      </c>
      <c r="D38" s="143">
        <f>345*12-1</f>
        <v>4139</v>
      </c>
    </row>
    <row r="39" spans="2:10">
      <c r="B39" s="114"/>
      <c r="C39" s="140" t="s">
        <v>139</v>
      </c>
      <c r="D39" s="141"/>
    </row>
    <row r="40" spans="2:10">
      <c r="B40" s="114">
        <v>8</v>
      </c>
      <c r="C40" s="144" t="s">
        <v>140</v>
      </c>
      <c r="D40" s="143">
        <v>75807.39</v>
      </c>
      <c r="E40" s="118"/>
    </row>
    <row r="41" spans="2:10">
      <c r="B41" s="114"/>
      <c r="C41" s="140" t="s">
        <v>141</v>
      </c>
      <c r="D41" s="141"/>
    </row>
    <row r="42" spans="2:10">
      <c r="B42" s="114">
        <v>9</v>
      </c>
      <c r="C42" s="144" t="s">
        <v>142</v>
      </c>
      <c r="D42" s="141">
        <v>514056.27</v>
      </c>
    </row>
    <row r="43" spans="2:10">
      <c r="B43" s="114">
        <v>10</v>
      </c>
      <c r="C43" s="144" t="s">
        <v>143</v>
      </c>
      <c r="D43" s="141">
        <v>1013124.92</v>
      </c>
    </row>
    <row r="44" spans="2:10">
      <c r="B44" s="114">
        <v>11</v>
      </c>
      <c r="C44" s="144" t="s">
        <v>144</v>
      </c>
      <c r="D44" s="141">
        <v>264241.3</v>
      </c>
    </row>
    <row r="45" spans="2:10">
      <c r="B45" s="114"/>
      <c r="C45" s="140" t="s">
        <v>145</v>
      </c>
      <c r="D45" s="141"/>
      <c r="J45" s="118"/>
    </row>
    <row r="46" spans="2:10" ht="29.1" customHeight="1">
      <c r="B46" s="114">
        <v>12</v>
      </c>
      <c r="C46" s="144" t="s">
        <v>146</v>
      </c>
      <c r="D46" s="141">
        <f>40127.64+40793.2</f>
        <v>80920.84</v>
      </c>
      <c r="J46" s="118"/>
    </row>
    <row r="47" spans="2:10">
      <c r="B47" s="114">
        <v>13</v>
      </c>
      <c r="C47" s="144" t="s">
        <v>147</v>
      </c>
      <c r="D47" s="141">
        <v>72600</v>
      </c>
    </row>
    <row r="48" spans="2:10">
      <c r="B48" s="114"/>
      <c r="C48" s="140" t="s">
        <v>148</v>
      </c>
      <c r="D48" s="141"/>
    </row>
    <row r="49" spans="2:7">
      <c r="B49" s="114">
        <v>14</v>
      </c>
      <c r="C49" s="144" t="s">
        <v>149</v>
      </c>
      <c r="D49" s="143">
        <f>5000+4500</f>
        <v>9500</v>
      </c>
      <c r="E49" s="118"/>
    </row>
    <row r="50" spans="2:7">
      <c r="B50" s="114">
        <v>15</v>
      </c>
      <c r="C50" s="144" t="s">
        <v>150</v>
      </c>
      <c r="D50" s="143">
        <v>5400</v>
      </c>
      <c r="E50" s="118"/>
    </row>
    <row r="51" spans="2:7" ht="30">
      <c r="B51" s="114">
        <v>16</v>
      </c>
      <c r="C51" s="144" t="s">
        <v>62</v>
      </c>
      <c r="D51" s="143">
        <v>35000</v>
      </c>
      <c r="F51" s="118"/>
    </row>
    <row r="52" spans="2:7">
      <c r="B52" s="114">
        <v>17</v>
      </c>
      <c r="C52" s="144" t="s">
        <v>64</v>
      </c>
      <c r="D52" s="143">
        <v>7850</v>
      </c>
      <c r="F52" s="118"/>
    </row>
    <row r="53" spans="2:7">
      <c r="B53" s="114">
        <v>18</v>
      </c>
      <c r="C53" s="144" t="s">
        <v>46</v>
      </c>
      <c r="D53" s="143">
        <f>8100+500+1200+1100</f>
        <v>10900</v>
      </c>
    </row>
    <row r="54" spans="2:7">
      <c r="B54" s="114">
        <v>19</v>
      </c>
      <c r="C54" s="144" t="s">
        <v>65</v>
      </c>
      <c r="D54" s="143">
        <v>29000</v>
      </c>
      <c r="F54" s="118"/>
      <c r="G54" s="118"/>
    </row>
    <row r="55" spans="2:7">
      <c r="B55" s="114">
        <v>20</v>
      </c>
      <c r="C55" s="144" t="s">
        <v>66</v>
      </c>
      <c r="D55" s="143">
        <v>620</v>
      </c>
      <c r="F55" s="118"/>
    </row>
    <row r="56" spans="2:7">
      <c r="B56" s="114">
        <v>21</v>
      </c>
      <c r="C56" s="144" t="s">
        <v>67</v>
      </c>
      <c r="D56" s="143">
        <v>20225.2</v>
      </c>
      <c r="E56" s="69" t="s">
        <v>68</v>
      </c>
      <c r="F56" s="118"/>
    </row>
    <row r="57" spans="2:7">
      <c r="B57" s="114">
        <v>22</v>
      </c>
      <c r="C57" s="144" t="s">
        <v>151</v>
      </c>
      <c r="D57" s="143">
        <f>7109.1</f>
        <v>7109.1</v>
      </c>
      <c r="E57" s="118"/>
    </row>
    <row r="58" spans="2:7">
      <c r="B58" s="114">
        <v>23</v>
      </c>
      <c r="C58" s="144" t="s">
        <v>152</v>
      </c>
      <c r="D58" s="143">
        <v>8328.32</v>
      </c>
      <c r="E58" s="118"/>
    </row>
    <row r="59" spans="2:7">
      <c r="B59" s="114"/>
      <c r="C59" s="140" t="s">
        <v>153</v>
      </c>
      <c r="D59" s="141"/>
    </row>
    <row r="60" spans="2:7">
      <c r="B60" s="114">
        <v>24</v>
      </c>
      <c r="C60" s="144" t="s">
        <v>154</v>
      </c>
      <c r="D60" s="143">
        <f>50+4302+190+430+120+2246.73</f>
        <v>7338.73</v>
      </c>
      <c r="E60" s="118"/>
    </row>
    <row r="61" spans="2:7">
      <c r="B61" s="114">
        <v>25</v>
      </c>
      <c r="C61" s="144" t="s">
        <v>155</v>
      </c>
      <c r="D61" s="143">
        <v>1000.64</v>
      </c>
      <c r="E61" s="118"/>
      <c r="F61" s="118"/>
    </row>
    <row r="62" spans="2:7">
      <c r="B62" s="114">
        <v>26</v>
      </c>
      <c r="C62" s="144" t="s">
        <v>156</v>
      </c>
      <c r="D62" s="143">
        <f>197+300+390+253+214+414+240+52+230</f>
        <v>2290</v>
      </c>
    </row>
    <row r="63" spans="2:7">
      <c r="B63" s="114">
        <v>27</v>
      </c>
      <c r="C63" s="144" t="s">
        <v>157</v>
      </c>
      <c r="D63" s="143">
        <f>100+100+100+100</f>
        <v>400</v>
      </c>
    </row>
    <row r="64" spans="2:7">
      <c r="B64" s="114">
        <v>28</v>
      </c>
      <c r="C64" s="144" t="s">
        <v>158</v>
      </c>
      <c r="D64" s="143">
        <f>910.82+136</f>
        <v>1046.8200000000002</v>
      </c>
    </row>
    <row r="65" spans="2:6">
      <c r="B65" s="114">
        <v>29</v>
      </c>
      <c r="C65" s="144" t="s">
        <v>159</v>
      </c>
      <c r="D65" s="143">
        <f>101.09+99.08+101.09</f>
        <v>301.26</v>
      </c>
      <c r="F65" s="118"/>
    </row>
    <row r="66" spans="2:6">
      <c r="B66" s="114">
        <v>30</v>
      </c>
      <c r="C66" s="144" t="s">
        <v>160</v>
      </c>
      <c r="D66" s="143">
        <f>930+900+2240</f>
        <v>4070</v>
      </c>
      <c r="E66" s="118"/>
      <c r="F66" s="118"/>
    </row>
    <row r="67" spans="2:6">
      <c r="B67" s="114">
        <v>31</v>
      </c>
      <c r="C67" s="144" t="s">
        <v>161</v>
      </c>
      <c r="D67" s="143">
        <v>30</v>
      </c>
    </row>
    <row r="68" spans="2:6">
      <c r="B68" s="114">
        <v>32</v>
      </c>
      <c r="C68" s="144" t="s">
        <v>162</v>
      </c>
      <c r="D68" s="143">
        <f>250*3</f>
        <v>750</v>
      </c>
      <c r="E68" s="118"/>
      <c r="F68" s="118"/>
    </row>
    <row r="69" spans="2:6" ht="15.75">
      <c r="B69" s="114"/>
      <c r="C69" s="145" t="s">
        <v>115</v>
      </c>
      <c r="D69" s="146">
        <f>SUM(D31:D68)</f>
        <v>2589711.11</v>
      </c>
    </row>
    <row r="70" spans="2:6">
      <c r="B70" s="112"/>
      <c r="C70" s="147" t="s">
        <v>163</v>
      </c>
      <c r="D70" s="148">
        <f>D71</f>
        <v>-725.17000000000189</v>
      </c>
      <c r="E70" s="118"/>
    </row>
    <row r="71" spans="2:6">
      <c r="B71" s="114"/>
      <c r="C71" s="144" t="s">
        <v>114</v>
      </c>
      <c r="D71" s="115">
        <f>(0-857.97)+20961.25-20828.45</f>
        <v>-725.17000000000189</v>
      </c>
      <c r="E71" s="118"/>
    </row>
    <row r="72" spans="2:6">
      <c r="B72" s="149"/>
      <c r="C72" s="150"/>
      <c r="D72" s="151"/>
      <c r="E72" s="118"/>
    </row>
    <row r="73" spans="2:6">
      <c r="B73" s="152"/>
      <c r="C73" s="153" t="s">
        <v>164</v>
      </c>
      <c r="D73" s="154">
        <f>D74+D75</f>
        <v>181956.43999999992</v>
      </c>
      <c r="E73" s="118"/>
      <c r="F73" s="118"/>
    </row>
    <row r="74" spans="2:6">
      <c r="B74" s="155"/>
      <c r="C74" s="144" t="s">
        <v>111</v>
      </c>
      <c r="D74" s="115">
        <f>D6</f>
        <v>15.37</v>
      </c>
      <c r="E74" s="118"/>
      <c r="F74" s="118"/>
    </row>
    <row r="75" spans="2:6">
      <c r="B75" s="156"/>
      <c r="C75" s="157" t="s">
        <v>112</v>
      </c>
      <c r="D75" s="117">
        <f>D7+D8+D24-D69-D71</f>
        <v>181941.06999999992</v>
      </c>
      <c r="E75" s="118"/>
    </row>
    <row r="77" spans="2:6">
      <c r="D77" s="158">
        <v>41651</v>
      </c>
    </row>
  </sheetData>
  <pageMargins left="0.15763888888888899" right="0.23611111111111099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2"/>
  <sheetViews>
    <sheetView zoomScaleNormal="100" zoomScalePageLayoutView="60" workbookViewId="0">
      <selection activeCell="B25" sqref="B25"/>
    </sheetView>
  </sheetViews>
  <sheetFormatPr defaultRowHeight="15"/>
  <cols>
    <col min="1" max="9" width="9.28515625"/>
    <col min="10" max="10" width="13" customWidth="1"/>
    <col min="11" max="1025" width="9.28515625"/>
  </cols>
  <sheetData>
    <row r="2" spans="1:4">
      <c r="D2" t="s">
        <v>165</v>
      </c>
    </row>
    <row r="4" spans="1:4">
      <c r="D4" t="s">
        <v>166</v>
      </c>
    </row>
    <row r="5" spans="1:4">
      <c r="D5" t="s">
        <v>167</v>
      </c>
    </row>
    <row r="7" spans="1:4">
      <c r="C7" t="s">
        <v>168</v>
      </c>
    </row>
    <row r="8" spans="1:4">
      <c r="C8" t="s">
        <v>169</v>
      </c>
    </row>
    <row r="10" spans="1:4">
      <c r="A10" s="159"/>
      <c r="B10" t="s">
        <v>170</v>
      </c>
    </row>
    <row r="11" spans="1:4">
      <c r="B11" t="s">
        <v>171</v>
      </c>
    </row>
    <row r="12" spans="1:4">
      <c r="B12" t="s">
        <v>172</v>
      </c>
    </row>
    <row r="14" spans="1:4">
      <c r="B14" t="s">
        <v>174</v>
      </c>
    </row>
    <row r="15" spans="1:4">
      <c r="B15" t="s">
        <v>175</v>
      </c>
    </row>
    <row r="17" spans="2:10" ht="48" customHeight="1">
      <c r="B17" s="171" t="s">
        <v>173</v>
      </c>
      <c r="C17" s="171"/>
      <c r="D17" s="171"/>
      <c r="E17" s="171"/>
      <c r="F17" s="171"/>
      <c r="G17" s="171"/>
      <c r="H17" s="171"/>
      <c r="I17" s="171"/>
      <c r="J17" s="171"/>
    </row>
    <row r="19" spans="2:10">
      <c r="B19" t="s">
        <v>176</v>
      </c>
    </row>
    <row r="20" spans="2:10">
      <c r="B20" t="s">
        <v>177</v>
      </c>
    </row>
    <row r="22" spans="2:10">
      <c r="B22" t="s">
        <v>178</v>
      </c>
    </row>
  </sheetData>
  <mergeCells count="1">
    <mergeCell ref="B17:J1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3:J21"/>
  <sheetViews>
    <sheetView tabSelected="1" workbookViewId="0">
      <selection activeCell="M16" sqref="M16"/>
    </sheetView>
  </sheetViews>
  <sheetFormatPr defaultRowHeight="15"/>
  <cols>
    <col min="3" max="3" width="14.5703125" customWidth="1"/>
    <col min="8" max="8" width="11.85546875" customWidth="1"/>
    <col min="9" max="9" width="14.28515625" customWidth="1"/>
    <col min="10" max="10" width="13.42578125" customWidth="1"/>
  </cols>
  <sheetData>
    <row r="3" spans="2:10" ht="17.25">
      <c r="B3" s="172" t="s">
        <v>179</v>
      </c>
      <c r="C3" s="172"/>
      <c r="D3" s="172"/>
      <c r="E3" s="172"/>
      <c r="F3" s="172"/>
      <c r="G3" s="172"/>
      <c r="H3" s="172"/>
      <c r="I3" s="172"/>
      <c r="J3" s="172"/>
    </row>
    <row r="5" spans="2:10">
      <c r="B5" s="160" t="s">
        <v>180</v>
      </c>
      <c r="C5" s="173" t="s">
        <v>181</v>
      </c>
      <c r="D5" s="173"/>
      <c r="E5" s="173"/>
      <c r="F5" s="173"/>
      <c r="G5" s="173"/>
      <c r="H5" s="173"/>
      <c r="I5" s="173"/>
      <c r="J5" s="173"/>
    </row>
    <row r="6" spans="2:10">
      <c r="B6" s="161"/>
      <c r="C6" s="162" t="s">
        <v>182</v>
      </c>
      <c r="D6" s="162" t="s">
        <v>183</v>
      </c>
      <c r="E6" s="162" t="s">
        <v>184</v>
      </c>
      <c r="F6" s="162" t="s">
        <v>185</v>
      </c>
      <c r="G6" s="162" t="s">
        <v>186</v>
      </c>
      <c r="H6" s="162" t="s">
        <v>187</v>
      </c>
      <c r="I6" s="162" t="s">
        <v>188</v>
      </c>
      <c r="J6" s="162" t="s">
        <v>115</v>
      </c>
    </row>
    <row r="7" spans="2:10" ht="15.75">
      <c r="B7" s="163">
        <v>1</v>
      </c>
      <c r="C7" s="164"/>
      <c r="D7" s="164"/>
      <c r="E7" s="164"/>
      <c r="F7" s="164"/>
      <c r="G7" s="164">
        <v>3333.32</v>
      </c>
      <c r="H7" s="164">
        <v>4078.18</v>
      </c>
      <c r="I7" s="164">
        <v>5102.28</v>
      </c>
      <c r="J7" s="165">
        <f t="shared" ref="J7:J20" si="0">SUM(C7:I7)</f>
        <v>12513.779999999999</v>
      </c>
    </row>
    <row r="8" spans="2:10" ht="15.75">
      <c r="B8" s="163">
        <v>7</v>
      </c>
      <c r="C8" s="164">
        <f>855.43+1631.18+1708.26+1546.15+1932.58+1731.17+2454.35</f>
        <v>11859.12</v>
      </c>
      <c r="D8" s="164"/>
      <c r="E8" s="164"/>
      <c r="F8" s="164"/>
      <c r="G8" s="164"/>
      <c r="H8" s="164"/>
      <c r="I8" s="164"/>
      <c r="J8" s="165">
        <f t="shared" si="0"/>
        <v>11859.12</v>
      </c>
    </row>
    <row r="9" spans="2:10" ht="15.75">
      <c r="B9" s="163">
        <v>11</v>
      </c>
      <c r="C9" s="164"/>
      <c r="D9" s="164"/>
      <c r="E9" s="164"/>
      <c r="F9" s="164"/>
      <c r="G9" s="164"/>
      <c r="H9" s="164"/>
      <c r="I9" s="164">
        <v>21.69</v>
      </c>
      <c r="J9" s="165">
        <f t="shared" si="0"/>
        <v>21.69</v>
      </c>
    </row>
    <row r="10" spans="2:10" ht="15.75">
      <c r="B10" s="163">
        <v>12</v>
      </c>
      <c r="C10" s="164"/>
      <c r="D10" s="164"/>
      <c r="E10" s="164"/>
      <c r="F10" s="164"/>
      <c r="G10" s="164"/>
      <c r="H10" s="164">
        <v>48.02</v>
      </c>
      <c r="I10" s="164">
        <f>3687.65-3500</f>
        <v>187.65000000000009</v>
      </c>
      <c r="J10" s="165">
        <f t="shared" si="0"/>
        <v>235.6700000000001</v>
      </c>
    </row>
    <row r="11" spans="2:10" ht="15.75">
      <c r="B11" s="163">
        <v>13</v>
      </c>
      <c r="C11" s="164"/>
      <c r="D11" s="164"/>
      <c r="E11" s="164"/>
      <c r="F11" s="164"/>
      <c r="G11" s="164">
        <v>403.75</v>
      </c>
      <c r="H11" s="164"/>
      <c r="I11" s="164"/>
      <c r="J11" s="165">
        <f t="shared" si="0"/>
        <v>403.75</v>
      </c>
    </row>
    <row r="12" spans="2:10" ht="15.75">
      <c r="B12" s="163">
        <v>21</v>
      </c>
      <c r="C12" s="164"/>
      <c r="D12" s="164"/>
      <c r="E12" s="164"/>
      <c r="F12" s="164"/>
      <c r="G12" s="164">
        <v>30.49</v>
      </c>
      <c r="H12" s="164">
        <v>3437.12</v>
      </c>
      <c r="I12" s="164">
        <v>3910.02</v>
      </c>
      <c r="J12" s="165">
        <f t="shared" si="0"/>
        <v>7377.6299999999992</v>
      </c>
    </row>
    <row r="13" spans="2:10" ht="15.75">
      <c r="B13" s="163">
        <v>22</v>
      </c>
      <c r="C13" s="164"/>
      <c r="D13" s="164"/>
      <c r="E13" s="164"/>
      <c r="F13" s="164"/>
      <c r="G13" s="164"/>
      <c r="H13" s="164"/>
      <c r="I13" s="164">
        <v>3303.59</v>
      </c>
      <c r="J13" s="165">
        <f t="shared" si="0"/>
        <v>3303.59</v>
      </c>
    </row>
    <row r="14" spans="2:10" ht="15.75">
      <c r="B14" s="163">
        <v>23</v>
      </c>
      <c r="C14" s="164"/>
      <c r="D14" s="164"/>
      <c r="E14" s="164"/>
      <c r="F14" s="164"/>
      <c r="G14" s="164"/>
      <c r="H14" s="164"/>
      <c r="I14" s="164">
        <v>4394.6099999999997</v>
      </c>
      <c r="J14" s="165">
        <f t="shared" si="0"/>
        <v>4394.6099999999997</v>
      </c>
    </row>
    <row r="15" spans="2:10" ht="15.75">
      <c r="B15" s="163">
        <v>27</v>
      </c>
      <c r="C15" s="164"/>
      <c r="D15" s="164">
        <v>826.73</v>
      </c>
      <c r="E15" s="164">
        <v>3711.74</v>
      </c>
      <c r="F15" s="164">
        <v>1557.54</v>
      </c>
      <c r="G15" s="164"/>
      <c r="H15" s="164"/>
      <c r="I15" s="164">
        <v>2544.1</v>
      </c>
      <c r="J15" s="165">
        <f t="shared" si="0"/>
        <v>8640.1099999999988</v>
      </c>
    </row>
    <row r="16" spans="2:10" ht="15.75">
      <c r="B16" s="163">
        <v>34</v>
      </c>
      <c r="C16" s="164"/>
      <c r="D16" s="164"/>
      <c r="E16" s="164"/>
      <c r="F16" s="164"/>
      <c r="G16" s="164"/>
      <c r="H16" s="164">
        <v>4908.05</v>
      </c>
      <c r="I16" s="164">
        <v>4540.8900000000003</v>
      </c>
      <c r="J16" s="165">
        <f t="shared" si="0"/>
        <v>9448.94</v>
      </c>
    </row>
    <row r="17" spans="2:10" ht="15.75">
      <c r="B17" s="163">
        <v>40</v>
      </c>
      <c r="C17" s="164"/>
      <c r="D17" s="164">
        <v>9.06</v>
      </c>
      <c r="E17" s="164"/>
      <c r="F17" s="164"/>
      <c r="G17" s="164"/>
      <c r="H17" s="164"/>
      <c r="I17" s="164"/>
      <c r="J17" s="165">
        <f t="shared" si="0"/>
        <v>9.06</v>
      </c>
    </row>
    <row r="18" spans="2:10" ht="15.75">
      <c r="B18" s="163">
        <v>46</v>
      </c>
      <c r="C18" s="164"/>
      <c r="D18" s="164"/>
      <c r="E18" s="164"/>
      <c r="F18" s="164"/>
      <c r="G18" s="164"/>
      <c r="H18" s="164"/>
      <c r="I18" s="164">
        <v>6135.79</v>
      </c>
      <c r="J18" s="165">
        <f t="shared" si="0"/>
        <v>6135.79</v>
      </c>
    </row>
    <row r="19" spans="2:10" ht="15.75">
      <c r="B19" s="163">
        <v>56</v>
      </c>
      <c r="C19" s="164"/>
      <c r="D19" s="164"/>
      <c r="E19" s="164"/>
      <c r="F19" s="164"/>
      <c r="G19" s="164"/>
      <c r="H19" s="164"/>
      <c r="I19" s="164">
        <v>3721.3</v>
      </c>
      <c r="J19" s="165">
        <f t="shared" si="0"/>
        <v>3721.3</v>
      </c>
    </row>
    <row r="20" spans="2:10" ht="15.75">
      <c r="B20" s="163">
        <v>57</v>
      </c>
      <c r="C20" s="164"/>
      <c r="D20" s="164"/>
      <c r="E20" s="164"/>
      <c r="F20" s="164"/>
      <c r="G20" s="164"/>
      <c r="H20" s="164"/>
      <c r="I20" s="164">
        <v>657.41</v>
      </c>
      <c r="J20" s="165">
        <f t="shared" si="0"/>
        <v>657.41</v>
      </c>
    </row>
    <row r="21" spans="2:10" ht="18.75">
      <c r="B21" s="161" t="s">
        <v>189</v>
      </c>
      <c r="C21" s="166">
        <f t="shared" ref="C21:I21" si="1">SUM(C7:C20)</f>
        <v>11859.12</v>
      </c>
      <c r="D21" s="166">
        <f t="shared" si="1"/>
        <v>835.79</v>
      </c>
      <c r="E21" s="166">
        <f t="shared" si="1"/>
        <v>3711.74</v>
      </c>
      <c r="F21" s="166">
        <f t="shared" si="1"/>
        <v>1557.54</v>
      </c>
      <c r="G21" s="166">
        <f t="shared" si="1"/>
        <v>3767.56</v>
      </c>
      <c r="H21" s="166">
        <f t="shared" si="1"/>
        <v>12471.369999999999</v>
      </c>
      <c r="I21" s="166">
        <f t="shared" si="1"/>
        <v>34519.33</v>
      </c>
      <c r="J21" s="167">
        <f>SUM(J7:J20)</f>
        <v>68722.45</v>
      </c>
    </row>
  </sheetData>
  <mergeCells count="2">
    <mergeCell ref="B3:J3"/>
    <mergeCell ref="C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смета на 2013 (утвержд)</vt:lpstr>
      <vt:lpstr>2013</vt:lpstr>
      <vt:lpstr>пояснител. записка</vt:lpstr>
      <vt:lpstr>должники</vt:lpstr>
      <vt:lpstr>Print_Titles_1</vt:lpstr>
      <vt:lpstr>Print_Titles_2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 и Дима</cp:lastModifiedBy>
  <cp:revision>0</cp:revision>
  <dcterms:created xsi:type="dcterms:W3CDTF">2014-01-27T18:42:39Z</dcterms:created>
  <dcterms:modified xsi:type="dcterms:W3CDTF">2014-01-27T18:43:34Z</dcterms:modified>
</cp:coreProperties>
</file>