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 (2)" sheetId="1" r:id="rId1"/>
  </sheets>
  <definedNames/>
  <calcPr fullCalcOnLoad="1"/>
</workbook>
</file>

<file path=xl/sharedStrings.xml><?xml version="1.0" encoding="utf-8"?>
<sst xmlns="http://schemas.openxmlformats.org/spreadsheetml/2006/main" count="201" uniqueCount="112">
  <si>
    <t>№ пп</t>
  </si>
  <si>
    <t>Примечание</t>
  </si>
  <si>
    <t>Материалы на обслуживание и ремонтные работы общего имущества</t>
  </si>
  <si>
    <t>Инструмент и хозяйственный инвентарь</t>
  </si>
  <si>
    <t>Услуги за снятие показаний в индивидуальных тепловых узлах, техобслуживание</t>
  </si>
  <si>
    <t>Испытание заземляющих устройств и электрооборудования</t>
  </si>
  <si>
    <t>Обучение отвественных за эксплуатацию оборудования</t>
  </si>
  <si>
    <t>Герметизация горизонтальных и вертикальных швов жилых домов</t>
  </si>
  <si>
    <t>Благоустройство и озеленение придомовой территории (Газонокосильщик и озеленители)</t>
  </si>
  <si>
    <t>Прочие расходы Всего</t>
  </si>
  <si>
    <t>Компенсация за использование личного траспорта в служебных целях</t>
  </si>
  <si>
    <t>Аренда помещения для ТСЖ</t>
  </si>
  <si>
    <t>Страхование лифтов</t>
  </si>
  <si>
    <t>Юридические услуги</t>
  </si>
  <si>
    <t>Всего расходов</t>
  </si>
  <si>
    <t>Остаток неиспользованных средств</t>
  </si>
  <si>
    <t>председатель правления ТСЖ "Орбита-01"</t>
  </si>
  <si>
    <t>Дьячков А.И</t>
  </si>
  <si>
    <t>Сумма в тыс. руб</t>
  </si>
  <si>
    <t>ДОХОДЫ</t>
  </si>
  <si>
    <t>Раздел I доходы Всего</t>
  </si>
  <si>
    <t xml:space="preserve"> некомерческой организации</t>
  </si>
  <si>
    <t>"Утверждаю"</t>
  </si>
  <si>
    <t>РАСХОДЫ</t>
  </si>
  <si>
    <t>Раздел II расходы Всего</t>
  </si>
  <si>
    <t>ПРЯМЫЕ РАСХОДЫ</t>
  </si>
  <si>
    <t>Наминование статей доходов и расходов</t>
  </si>
  <si>
    <t>Расходы на оплату труда с налогами ВСЕГО в том числе:</t>
  </si>
  <si>
    <t>Оплата труда персонала ТСЖ</t>
  </si>
  <si>
    <t>Налоги на оплату труда</t>
  </si>
  <si>
    <t>Матерала ВСЕГО в том числе:</t>
  </si>
  <si>
    <t>Переодическое техническое освидетельствование лифтов</t>
  </si>
  <si>
    <t>Текущий ремонт квартирных балконов</t>
  </si>
  <si>
    <t>Опломбировка счетчиков воды</t>
  </si>
  <si>
    <t>Замена лифтового диспетчерского оборудования</t>
  </si>
  <si>
    <t>НАКЛАДНЫЕ РАСХОДЫ</t>
  </si>
  <si>
    <t>Канцелярские товары</t>
  </si>
  <si>
    <t>Техническое обслуживание контрольно-кассовой техники</t>
  </si>
  <si>
    <t>Ремонт и обслуживание оргтехники</t>
  </si>
  <si>
    <t>Дизенсекция</t>
  </si>
  <si>
    <t>Изготовление ключей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</si>
  <si>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</si>
  <si>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</si>
  <si>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</si>
  <si>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</si>
  <si>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</si>
  <si>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</si>
  <si>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</si>
  <si>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</si>
  <si>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</si>
  <si>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</si>
  <si>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</si>
  <si>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</si>
  <si>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</si>
  <si>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</si>
  <si>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</si>
  <si>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</si>
  <si>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</si>
  <si>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</si>
  <si>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</si>
  <si>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</si>
  <si>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2.2.9.1</t>
  </si>
  <si>
    <t>2.2.9.2</t>
  </si>
  <si>
    <t>2.2.9.3</t>
  </si>
  <si>
    <t>2.2.9.4</t>
  </si>
  <si>
    <t>2.2.9.5</t>
  </si>
  <si>
    <t>2.2.9.6</t>
  </si>
  <si>
    <t>2.2.9.7</t>
  </si>
  <si>
    <t>2.2.9.8</t>
  </si>
  <si>
    <t>Исполнение сметы доходов и расходов</t>
  </si>
  <si>
    <t>Главный бухгалтер                                Мищенко А.В.</t>
  </si>
  <si>
    <t>ИТОГО</t>
  </si>
  <si>
    <t>ТСЖ "Орбита-01" за 2014год</t>
  </si>
  <si>
    <t>"--------" ---------------2015г.</t>
  </si>
  <si>
    <t xml:space="preserve">Долевые взносы собственников жилья на содержание общего имущества домов </t>
  </si>
  <si>
    <t>Долевые взносы собственников жилья на текущий ремонт домов</t>
  </si>
  <si>
    <t>Замена водопровода</t>
  </si>
  <si>
    <t xml:space="preserve">Расходы на текущий ремонт зданий </t>
  </si>
  <si>
    <t>Демонтаж банера, креплений, рамок и герметизация отверстий</t>
  </si>
  <si>
    <t>Перепрограмирование приборов учета эл. энергии</t>
  </si>
  <si>
    <t>Проверка вентиляционных каналов и шахт</t>
  </si>
  <si>
    <t>Ремонт и проверка сан технических приборов</t>
  </si>
  <si>
    <t>Ремонт узлов учета тепловой энергии</t>
  </si>
  <si>
    <t>Установка аварийного освещения в кабинах лифтов</t>
  </si>
  <si>
    <t>ремонт лифиов</t>
  </si>
  <si>
    <t>Оплата различных работ по договорам подряда по текущему ремонту зданий  (в том числе с налогом в пенсион фонд)</t>
  </si>
  <si>
    <t>Почтово-тлеграфные расходы</t>
  </si>
  <si>
    <t>Прочие расходы (налог надоходы при УСН-12.6 и др.)</t>
  </si>
  <si>
    <t>Стоимость програмного обеспечения</t>
  </si>
  <si>
    <t>Услуги связи и интернет</t>
  </si>
  <si>
    <t>Услуги банка</t>
  </si>
  <si>
    <t>Дома по улице 9-я Тихая</t>
  </si>
  <si>
    <t>№7</t>
  </si>
  <si>
    <t>№9</t>
  </si>
  <si>
    <t>№11</t>
  </si>
  <si>
    <t>№15</t>
  </si>
  <si>
    <t>№17</t>
  </si>
  <si>
    <t>№19</t>
  </si>
  <si>
    <t>№21</t>
  </si>
  <si>
    <t>№23</t>
  </si>
  <si>
    <t>№25</t>
  </si>
  <si>
    <t>Общее количество квадратных метров</t>
  </si>
  <si>
    <t>Информационнные услуги "Фактор Плюс" и ИП Зельник Консоль М</t>
  </si>
  <si>
    <t>уменьшены расходы за счет рекламы размещ оборуд пени и др.</t>
  </si>
  <si>
    <t>ТСЖ "Орбита-01" за 2014год с распределение по домам</t>
  </si>
  <si>
    <t>2.1.12</t>
  </si>
  <si>
    <t>2.1.13</t>
  </si>
  <si>
    <t>2.1.14</t>
  </si>
  <si>
    <t>2.1.15</t>
  </si>
  <si>
    <t>2.1.16</t>
  </si>
  <si>
    <t>2.1.17</t>
  </si>
  <si>
    <t>2.1.18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</si>
</sst>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#,##0.0"/>
    <numFmt numFmtId="191" formatCode="#,##0.00&quot;р.&quot;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190" fontId="3" fillId="0" borderId="10" xfId="0" applyNumberFormat="1" applyFont="1" applyBorder="1" applyAlignment="1">
      <alignment horizontal="center" vertical="center"/>
    </xf>
    <xf numFmtId="190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 wrapText="1"/>
    </xf>
    <xf numFmtId="190" fontId="6" fillId="0" borderId="10" xfId="0" applyNumberFormat="1" applyFont="1" applyBorder="1" applyAlignment="1">
      <alignment horizontal="center" vertical="center"/>
    </xf>
    <xf numFmtId="190" fontId="8" fillId="0" borderId="14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190" fontId="7" fillId="0" borderId="1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2" fontId="1" fillId="0" borderId="17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4" fontId="1" fillId="0" borderId="19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/>
    </xf>
    <xf numFmtId="2" fontId="10" fillId="0" borderId="23" xfId="0" applyNumberFormat="1" applyFont="1" applyBorder="1" applyAlignment="1">
      <alignment horizontal="center" vertical="center"/>
    </xf>
    <xf numFmtId="2" fontId="10" fillId="0" borderId="24" xfId="0" applyNumberFormat="1" applyFont="1" applyBorder="1" applyAlignment="1">
      <alignment horizontal="center" vertical="center"/>
    </xf>
    <xf numFmtId="2" fontId="10" fillId="0" borderId="25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/>
    </xf>
    <xf numFmtId="4" fontId="1" fillId="0" borderId="27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28" xfId="0" applyNumberFormat="1" applyFont="1" applyBorder="1" applyAlignment="1">
      <alignment horizontal="center" vertical="center"/>
    </xf>
    <xf numFmtId="4" fontId="1" fillId="0" borderId="29" xfId="0" applyNumberFormat="1" applyFon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/>
    </xf>
    <xf numFmtId="4" fontId="1" fillId="0" borderId="31" xfId="0" applyNumberFormat="1" applyFont="1" applyBorder="1" applyAlignment="1">
      <alignment horizontal="center" vertical="center"/>
    </xf>
    <xf numFmtId="4" fontId="1" fillId="0" borderId="32" xfId="0" applyNumberFormat="1" applyFont="1" applyBorder="1" applyAlignment="1">
      <alignment horizontal="center" vertical="center"/>
    </xf>
    <xf numFmtId="4" fontId="1" fillId="0" borderId="33" xfId="0" applyNumberFormat="1" applyFont="1" applyBorder="1" applyAlignment="1">
      <alignment horizontal="center" vertical="center"/>
    </xf>
    <xf numFmtId="4" fontId="1" fillId="0" borderId="34" xfId="0" applyNumberFormat="1" applyFont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left" vertical="center" wrapText="1"/>
    </xf>
    <xf numFmtId="190" fontId="8" fillId="0" borderId="10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49" fontId="8" fillId="0" borderId="36" xfId="0" applyNumberFormat="1" applyFont="1" applyFill="1" applyBorder="1" applyAlignment="1">
      <alignment horizontal="center" vertical="center" wrapText="1"/>
    </xf>
    <xf numFmtId="190" fontId="7" fillId="0" borderId="19" xfId="0" applyNumberFormat="1" applyFont="1" applyFill="1" applyBorder="1" applyAlignment="1">
      <alignment horizontal="center" vertical="center"/>
    </xf>
    <xf numFmtId="0" fontId="1" fillId="0" borderId="37" xfId="0" applyNumberFormat="1" applyFont="1" applyFill="1" applyBorder="1" applyAlignment="1">
      <alignment horizontal="center" vertical="center"/>
    </xf>
    <xf numFmtId="190" fontId="7" fillId="0" borderId="13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left" vertical="center" wrapText="1"/>
    </xf>
    <xf numFmtId="190" fontId="8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left" vertical="center" wrapText="1"/>
    </xf>
    <xf numFmtId="49" fontId="8" fillId="0" borderId="39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horizontal="center" vertical="center" wrapText="1"/>
    </xf>
    <xf numFmtId="190" fontId="7" fillId="0" borderId="41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49" fontId="9" fillId="0" borderId="43" xfId="0" applyNumberFormat="1" applyFont="1" applyFill="1" applyBorder="1" applyAlignment="1">
      <alignment horizontal="center" vertical="center" wrapText="1"/>
    </xf>
    <xf numFmtId="188" fontId="7" fillId="0" borderId="19" xfId="0" applyNumberFormat="1" applyFont="1" applyFill="1" applyBorder="1" applyAlignment="1">
      <alignment horizontal="center" vertical="center"/>
    </xf>
    <xf numFmtId="0" fontId="0" fillId="0" borderId="37" xfId="0" applyFill="1" applyBorder="1" applyAlignment="1">
      <alignment/>
    </xf>
    <xf numFmtId="49" fontId="8" fillId="0" borderId="20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left" vertical="center" wrapText="1"/>
    </xf>
    <xf numFmtId="190" fontId="8" fillId="0" borderId="14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49" fontId="8" fillId="0" borderId="43" xfId="0" applyNumberFormat="1" applyFont="1" applyFill="1" applyBorder="1" applyAlignment="1">
      <alignment horizontal="center" vertical="center" wrapText="1"/>
    </xf>
    <xf numFmtId="0" fontId="0" fillId="0" borderId="38" xfId="0" applyFill="1" applyBorder="1" applyAlignment="1">
      <alignment/>
    </xf>
    <xf numFmtId="0" fontId="0" fillId="0" borderId="18" xfId="0" applyFill="1" applyBorder="1" applyAlignment="1">
      <alignment/>
    </xf>
    <xf numFmtId="49" fontId="6" fillId="0" borderId="20" xfId="0" applyNumberFormat="1" applyFont="1" applyFill="1" applyBorder="1" applyAlignment="1">
      <alignment horizontal="center" vertical="center" wrapText="1"/>
    </xf>
    <xf numFmtId="190" fontId="6" fillId="0" borderId="14" xfId="0" applyNumberFormat="1" applyFont="1" applyFill="1" applyBorder="1" applyAlignment="1">
      <alignment horizontal="center" vertical="center"/>
    </xf>
    <xf numFmtId="0" fontId="11" fillId="0" borderId="21" xfId="0" applyNumberFormat="1" applyFont="1" applyFill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45" xfId="0" applyNumberFormat="1" applyFont="1" applyBorder="1" applyAlignment="1">
      <alignment horizontal="center" vertical="center"/>
    </xf>
    <xf numFmtId="2" fontId="10" fillId="0" borderId="46" xfId="0" applyNumberFormat="1" applyFont="1" applyBorder="1" applyAlignment="1">
      <alignment horizontal="center" vertical="center"/>
    </xf>
    <xf numFmtId="4" fontId="2" fillId="0" borderId="47" xfId="0" applyNumberFormat="1" applyFont="1" applyBorder="1" applyAlignment="1">
      <alignment horizontal="center" vertical="center"/>
    </xf>
    <xf numFmtId="2" fontId="10" fillId="0" borderId="28" xfId="0" applyNumberFormat="1" applyFont="1" applyBorder="1" applyAlignment="1">
      <alignment horizontal="center" vertical="center"/>
    </xf>
    <xf numFmtId="4" fontId="1" fillId="0" borderId="48" xfId="0" applyNumberFormat="1" applyFont="1" applyBorder="1" applyAlignment="1">
      <alignment horizontal="center" vertical="center"/>
    </xf>
    <xf numFmtId="4" fontId="1" fillId="0" borderId="49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/>
    </xf>
    <xf numFmtId="4" fontId="7" fillId="0" borderId="27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7" fillId="0" borderId="50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/>
    </xf>
    <xf numFmtId="4" fontId="7" fillId="0" borderId="51" xfId="0" applyNumberFormat="1" applyFont="1" applyBorder="1" applyAlignment="1">
      <alignment horizontal="center" vertical="center"/>
    </xf>
    <xf numFmtId="4" fontId="7" fillId="0" borderId="52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53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4" fontId="7" fillId="0" borderId="31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4" fontId="8" fillId="0" borderId="19" xfId="0" applyNumberFormat="1" applyFont="1" applyBorder="1" applyAlignment="1">
      <alignment horizontal="center" vertical="center"/>
    </xf>
    <xf numFmtId="4" fontId="8" fillId="0" borderId="27" xfId="0" applyNumberFormat="1" applyFont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8" fillId="0" borderId="13" xfId="0" applyNumberFormat="1" applyFont="1" applyFill="1" applyBorder="1" applyAlignment="1">
      <alignment horizontal="left" vertical="center" wrapText="1"/>
    </xf>
    <xf numFmtId="0" fontId="7" fillId="0" borderId="16" xfId="0" applyNumberFormat="1" applyFont="1" applyFill="1" applyBorder="1" applyAlignment="1">
      <alignment horizontal="left" vertical="center" wrapText="1"/>
    </xf>
    <xf numFmtId="0" fontId="7" fillId="0" borderId="41" xfId="0" applyNumberFormat="1" applyFont="1" applyFill="1" applyBorder="1" applyAlignment="1">
      <alignment horizontal="left" vertical="center" wrapText="1"/>
    </xf>
    <xf numFmtId="0" fontId="8" fillId="0" borderId="14" xfId="0" applyNumberFormat="1" applyFont="1" applyFill="1" applyBorder="1" applyAlignment="1">
      <alignment horizontal="left" vertical="center" wrapText="1"/>
    </xf>
    <xf numFmtId="2" fontId="1" fillId="0" borderId="40" xfId="0" applyNumberFormat="1" applyFont="1" applyBorder="1" applyAlignment="1">
      <alignment horizontal="center" vertical="center" wrapText="1"/>
    </xf>
    <xf numFmtId="2" fontId="1" fillId="0" borderId="41" xfId="0" applyNumberFormat="1" applyFont="1" applyBorder="1" applyAlignment="1">
      <alignment horizontal="center" vertical="center" wrapText="1"/>
    </xf>
    <xf numFmtId="2" fontId="1" fillId="0" borderId="42" xfId="0" applyNumberFormat="1" applyFont="1" applyBorder="1" applyAlignment="1">
      <alignment horizontal="center" vertical="center" wrapText="1"/>
    </xf>
    <xf numFmtId="2" fontId="2" fillId="0" borderId="54" xfId="0" applyNumberFormat="1" applyFont="1" applyBorder="1" applyAlignment="1">
      <alignment horizontal="center" vertical="center" wrapText="1"/>
    </xf>
    <xf numFmtId="2" fontId="2" fillId="0" borderId="55" xfId="0" applyNumberFormat="1" applyFont="1" applyBorder="1" applyAlignment="1">
      <alignment horizontal="center" vertical="center" wrapText="1"/>
    </xf>
    <xf numFmtId="2" fontId="2" fillId="0" borderId="56" xfId="0" applyNumberFormat="1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35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57" xfId="0" applyNumberFormat="1" applyFont="1" applyBorder="1" applyAlignment="1">
      <alignment horizontal="center" vertical="center"/>
    </xf>
    <xf numFmtId="0" fontId="6" fillId="0" borderId="47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/>
    </xf>
    <xf numFmtId="49" fontId="8" fillId="0" borderId="44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49" fontId="8" fillId="0" borderId="58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48" xfId="0" applyNumberFormat="1" applyFont="1" applyFill="1" applyBorder="1" applyAlignment="1">
      <alignment horizontal="center" vertical="center" wrapText="1"/>
    </xf>
    <xf numFmtId="49" fontId="6" fillId="0" borderId="43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/>
    </xf>
    <xf numFmtId="4" fontId="2" fillId="0" borderId="35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tabSelected="1" view="pageBreakPreview" zoomScale="80" zoomScaleSheetLayoutView="80" zoomScalePageLayoutView="0" workbookViewId="0" topLeftCell="A1">
      <selection activeCell="C1" sqref="C1:D1"/>
    </sheetView>
  </sheetViews>
  <sheetFormatPr defaultColWidth="9.140625" defaultRowHeight="12.75"/>
  <cols>
    <col min="1" max="1" width="7.28125" style="0" customWidth="1"/>
    <col min="2" max="2" width="69.57421875" style="0" customWidth="1"/>
    <col min="3" max="3" width="11.8515625" style="0" customWidth="1"/>
    <col min="4" max="4" width="13.8515625" style="0" customWidth="1"/>
    <col min="5" max="5" width="9.8515625" style="0" customWidth="1"/>
    <col min="6" max="6" width="66.421875" style="0" customWidth="1"/>
    <col min="7" max="7" width="10.57421875" style="0" customWidth="1"/>
    <col min="8" max="8" width="10.00390625" style="0" bestFit="1" customWidth="1"/>
    <col min="16" max="16" width="10.00390625" style="0" bestFit="1" customWidth="1"/>
    <col min="17" max="17" width="12.140625" style="0" customWidth="1"/>
  </cols>
  <sheetData>
    <row r="1" spans="3:7" ht="18.75">
      <c r="C1" s="133" t="s">
        <v>22</v>
      </c>
      <c r="D1" s="133"/>
      <c r="E1" s="22"/>
      <c r="F1" s="22"/>
      <c r="G1" s="22"/>
    </row>
    <row r="2" spans="3:7" ht="12.75">
      <c r="C2" s="1"/>
      <c r="D2" s="1"/>
      <c r="E2" s="1"/>
      <c r="F2" s="1"/>
      <c r="G2" s="1"/>
    </row>
    <row r="3" spans="3:7" ht="27.75" customHeight="1">
      <c r="C3" s="134" t="s">
        <v>16</v>
      </c>
      <c r="D3" s="134"/>
      <c r="E3" s="23"/>
      <c r="F3" s="23"/>
      <c r="G3" s="23"/>
    </row>
    <row r="4" spans="3:7" ht="12.75">
      <c r="C4" s="2"/>
      <c r="D4" s="2"/>
      <c r="E4" s="2"/>
      <c r="F4" s="2"/>
      <c r="G4" s="2"/>
    </row>
    <row r="5" spans="3:7" ht="15.75">
      <c r="C5" s="135" t="s">
        <v>17</v>
      </c>
      <c r="D5" s="135"/>
      <c r="E5" s="24"/>
      <c r="F5" s="24"/>
      <c r="G5" s="24"/>
    </row>
    <row r="6" spans="3:7" ht="15.75">
      <c r="C6" s="128" t="s">
        <v>73</v>
      </c>
      <c r="D6" s="128"/>
      <c r="E6" s="21"/>
      <c r="F6" s="21"/>
      <c r="G6" s="21"/>
    </row>
    <row r="7" spans="1:7" ht="12.75">
      <c r="A7" s="1"/>
      <c r="B7" s="1"/>
      <c r="C7" s="1"/>
      <c r="D7" s="1"/>
      <c r="E7" s="1"/>
      <c r="F7" s="1"/>
      <c r="G7" s="1"/>
    </row>
    <row r="8" spans="1:17" ht="18.75">
      <c r="A8" s="132" t="s">
        <v>69</v>
      </c>
      <c r="B8" s="132"/>
      <c r="C8" s="132"/>
      <c r="D8" s="132"/>
      <c r="E8" s="25"/>
      <c r="F8" s="132" t="s">
        <v>69</v>
      </c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</row>
    <row r="9" spans="1:10" ht="5.25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7" ht="15.75">
      <c r="A10" s="128" t="s">
        <v>21</v>
      </c>
      <c r="B10" s="128"/>
      <c r="C10" s="128"/>
      <c r="D10" s="128"/>
      <c r="E10" s="21"/>
      <c r="F10" s="128" t="s">
        <v>21</v>
      </c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</row>
    <row r="11" spans="1:10" ht="6.75" customHeight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7" ht="18.75">
      <c r="A12" s="132" t="s">
        <v>72</v>
      </c>
      <c r="B12" s="132"/>
      <c r="C12" s="132"/>
      <c r="D12" s="132"/>
      <c r="E12" s="25"/>
      <c r="F12" s="132" t="s">
        <v>104</v>
      </c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</row>
    <row r="13" spans="1:10" ht="13.5" thickBot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7" ht="28.5" customHeight="1" thickBot="1">
      <c r="A14" s="6" t="s">
        <v>0</v>
      </c>
      <c r="B14" s="4" t="s">
        <v>26</v>
      </c>
      <c r="C14" s="7" t="s">
        <v>18</v>
      </c>
      <c r="D14" s="6" t="s">
        <v>1</v>
      </c>
      <c r="E14" s="83"/>
      <c r="F14" s="83"/>
      <c r="G14" s="119" t="s">
        <v>101</v>
      </c>
      <c r="H14" s="116" t="s">
        <v>91</v>
      </c>
      <c r="I14" s="117"/>
      <c r="J14" s="117"/>
      <c r="K14" s="117"/>
      <c r="L14" s="117"/>
      <c r="M14" s="117"/>
      <c r="N14" s="117"/>
      <c r="O14" s="117"/>
      <c r="P14" s="118"/>
      <c r="Q14" s="122" t="s">
        <v>71</v>
      </c>
    </row>
    <row r="15" spans="1:17" ht="16.5" customHeight="1" thickBot="1">
      <c r="A15" s="126" t="s">
        <v>19</v>
      </c>
      <c r="B15" s="127"/>
      <c r="C15" s="127"/>
      <c r="D15" s="146"/>
      <c r="E15" s="84"/>
      <c r="F15" s="84"/>
      <c r="G15" s="120"/>
      <c r="H15" s="18" t="s">
        <v>92</v>
      </c>
      <c r="I15" s="27" t="s">
        <v>93</v>
      </c>
      <c r="J15" s="27" t="s">
        <v>94</v>
      </c>
      <c r="K15" s="27" t="s">
        <v>95</v>
      </c>
      <c r="L15" s="27" t="s">
        <v>96</v>
      </c>
      <c r="M15" s="27" t="s">
        <v>97</v>
      </c>
      <c r="N15" s="27" t="s">
        <v>98</v>
      </c>
      <c r="O15" s="27" t="s">
        <v>99</v>
      </c>
      <c r="P15" s="19" t="s">
        <v>100</v>
      </c>
      <c r="Q15" s="123"/>
    </row>
    <row r="16" spans="1:17" ht="16.5" customHeight="1" thickBot="1">
      <c r="A16" s="129">
        <v>1</v>
      </c>
      <c r="B16" s="5" t="s">
        <v>20</v>
      </c>
      <c r="C16" s="10">
        <f>SUM(C18+C17)</f>
        <v>11847</v>
      </c>
      <c r="D16" s="3"/>
      <c r="E16" s="129">
        <v>1</v>
      </c>
      <c r="F16" s="5" t="s">
        <v>20</v>
      </c>
      <c r="G16" s="121"/>
      <c r="H16" s="31">
        <v>7433.29</v>
      </c>
      <c r="I16" s="32">
        <v>9204.21</v>
      </c>
      <c r="J16" s="32">
        <v>9197.05</v>
      </c>
      <c r="K16" s="32">
        <v>9158.48</v>
      </c>
      <c r="L16" s="32">
        <v>6045.77</v>
      </c>
      <c r="M16" s="32">
        <v>5974.16</v>
      </c>
      <c r="N16" s="32">
        <v>6119.17</v>
      </c>
      <c r="O16" s="32">
        <v>6105.96</v>
      </c>
      <c r="P16" s="37">
        <v>4796.7</v>
      </c>
      <c r="Q16" s="39">
        <f aca="true" t="shared" si="0" ref="Q16:Q47">SUM(H16:P16)</f>
        <v>64034.79</v>
      </c>
    </row>
    <row r="17" spans="1:17" ht="34.5" customHeight="1" thickBot="1">
      <c r="A17" s="130"/>
      <c r="B17" s="20" t="s">
        <v>74</v>
      </c>
      <c r="C17" s="9">
        <v>7583</v>
      </c>
      <c r="D17" s="48"/>
      <c r="E17" s="130"/>
      <c r="F17" s="20" t="s">
        <v>74</v>
      </c>
      <c r="G17" s="35">
        <v>64034.79</v>
      </c>
      <c r="H17" s="33">
        <f>SUM(C17/G17)*H16</f>
        <v>880.2502213250017</v>
      </c>
      <c r="I17" s="26">
        <f>SUM(C17/G17)*I16</f>
        <v>1089.9625723766721</v>
      </c>
      <c r="J17" s="26">
        <f>SUM(C17/G17)*J16</f>
        <v>1089.1146851578649</v>
      </c>
      <c r="K17" s="26">
        <f>SUM(C17/G17)*K16</f>
        <v>1084.5472256565533</v>
      </c>
      <c r="L17" s="26">
        <f>SUM(C17/G17)*L16</f>
        <v>715.9400992804069</v>
      </c>
      <c r="M17" s="26">
        <f>SUM(C17/G17)*M16</f>
        <v>707.460042892309</v>
      </c>
      <c r="N17" s="26">
        <f>SUM(C17/G17)*N16</f>
        <v>724.6321274732064</v>
      </c>
      <c r="O17" s="26">
        <f>SUM(C17/G17)*O16</f>
        <v>723.0677992385077</v>
      </c>
      <c r="P17" s="38">
        <f>SUM(C17/G17)*P16</f>
        <v>568.0252265994782</v>
      </c>
      <c r="Q17" s="40">
        <f t="shared" si="0"/>
        <v>7583</v>
      </c>
    </row>
    <row r="18" spans="1:17" ht="24" customHeight="1" thickBot="1">
      <c r="A18" s="131"/>
      <c r="B18" s="8" t="s">
        <v>75</v>
      </c>
      <c r="C18" s="9">
        <v>4264</v>
      </c>
      <c r="D18" s="49"/>
      <c r="E18" s="131"/>
      <c r="F18" s="8" t="s">
        <v>75</v>
      </c>
      <c r="G18" s="86">
        <v>64034.79</v>
      </c>
      <c r="H18" s="41">
        <f>SUM(C18/G18)*H16</f>
        <v>494.9738815415808</v>
      </c>
      <c r="I18" s="42">
        <f>SUM(C18/G18)*I16</f>
        <v>612.89732409523</v>
      </c>
      <c r="J18" s="42">
        <f>SUM(C18/G18)*J16</f>
        <v>612.4205482675901</v>
      </c>
      <c r="K18" s="42">
        <f>SUM(C18/G18)*K16</f>
        <v>609.8522181457923</v>
      </c>
      <c r="L18" s="42">
        <f>SUM(C18/G18)*L16</f>
        <v>402.5805859596011</v>
      </c>
      <c r="M18" s="42">
        <f>SUM(C18/G18)*M16</f>
        <v>397.8121617951742</v>
      </c>
      <c r="N18" s="42">
        <f>SUM(C18/G18)*N16</f>
        <v>407.4682040809379</v>
      </c>
      <c r="O18" s="42">
        <f>SUM(C18/G18)*O16</f>
        <v>406.58856599670276</v>
      </c>
      <c r="P18" s="43">
        <f>SUM(C18/G18)*P16</f>
        <v>319.4065101173909</v>
      </c>
      <c r="Q18" s="87">
        <f t="shared" si="0"/>
        <v>4264.000000000001</v>
      </c>
    </row>
    <row r="19" spans="1:17" ht="16.5" thickBot="1">
      <c r="A19" s="124" t="s">
        <v>23</v>
      </c>
      <c r="B19" s="125"/>
      <c r="C19" s="125"/>
      <c r="D19" s="142"/>
      <c r="E19" s="85"/>
      <c r="F19" s="143" t="s">
        <v>23</v>
      </c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5"/>
    </row>
    <row r="20" spans="1:17" ht="16.5" thickBot="1">
      <c r="A20" s="3">
        <v>2</v>
      </c>
      <c r="B20" s="3" t="s">
        <v>24</v>
      </c>
      <c r="C20" s="13">
        <f>SUM(C21+C45)</f>
        <v>12410.599999999999</v>
      </c>
      <c r="D20" s="11"/>
      <c r="E20" s="3">
        <v>2</v>
      </c>
      <c r="F20" s="15" t="s">
        <v>24</v>
      </c>
      <c r="G20" s="88">
        <v>64034.79</v>
      </c>
      <c r="H20" s="89">
        <f>SUM(C20/G20)*H16</f>
        <v>1440.6479489352585</v>
      </c>
      <c r="I20" s="42">
        <f>SUM(C20/G20)*I16</f>
        <v>1783.8704339625378</v>
      </c>
      <c r="J20" s="42">
        <f>SUM(C20/G20)*J16</f>
        <v>1782.48275242255</v>
      </c>
      <c r="K20" s="42">
        <f>SUM(C20/G20)*K16</f>
        <v>1775.0074902720846</v>
      </c>
      <c r="L20" s="42">
        <f>SUM(C20/G20)*L16</f>
        <v>1171.7323217894523</v>
      </c>
      <c r="M20" s="42">
        <f>SUM(C20/G20)*M16</f>
        <v>1157.853568286864</v>
      </c>
      <c r="N20" s="42">
        <f>SUM(C20/G20)*N16</f>
        <v>1185.9579956770374</v>
      </c>
      <c r="O20" s="42">
        <f>SUM(C20/G20)*O16</f>
        <v>1183.3977619978139</v>
      </c>
      <c r="P20" s="90">
        <f>SUM(C20/G20)*P16</f>
        <v>929.6497266564003</v>
      </c>
      <c r="Q20" s="40">
        <f t="shared" si="0"/>
        <v>12410.599999999999</v>
      </c>
    </row>
    <row r="21" spans="1:17" ht="16.5" thickBot="1">
      <c r="A21" s="15">
        <v>2.1</v>
      </c>
      <c r="B21" s="11" t="s">
        <v>25</v>
      </c>
      <c r="C21" s="13">
        <f>SUM(C23+C24+C25)</f>
        <v>10835.599999999999</v>
      </c>
      <c r="D21" s="11"/>
      <c r="E21" s="15">
        <v>2.1</v>
      </c>
      <c r="F21" s="11" t="s">
        <v>25</v>
      </c>
      <c r="G21" s="34">
        <v>64034.79</v>
      </c>
      <c r="H21" s="28">
        <f>SUM(C21/G21)*H16</f>
        <v>1257.8187126716584</v>
      </c>
      <c r="I21" s="29">
        <f>SUM(C21/G21)*I16</f>
        <v>1557.4836409395575</v>
      </c>
      <c r="J21" s="29">
        <f>SUM(C21/G21)*J16</f>
        <v>1556.272066793691</v>
      </c>
      <c r="K21" s="29">
        <f>SUM(C21/G21)*K16</f>
        <v>1549.7454725470323</v>
      </c>
      <c r="L21" s="29">
        <f>SUM(C21/G21)*L16</f>
        <v>1023.0305340581267</v>
      </c>
      <c r="M21" s="29">
        <f>SUM(C21/G21)*M16</f>
        <v>1010.9131004567984</v>
      </c>
      <c r="N21" s="29">
        <f>SUM(C21/G21)*N16</f>
        <v>1035.4508611959216</v>
      </c>
      <c r="O21" s="29">
        <f>SUM(C21/G21)*O16</f>
        <v>1033.2155407396508</v>
      </c>
      <c r="P21" s="30">
        <f>SUM(C21/G21)*P16</f>
        <v>811.6700705975609</v>
      </c>
      <c r="Q21" s="40">
        <f t="shared" si="0"/>
        <v>10835.599999999999</v>
      </c>
    </row>
    <row r="22" spans="1:17" ht="15" thickBot="1">
      <c r="A22" s="136" t="s">
        <v>41</v>
      </c>
      <c r="B22" s="50" t="s">
        <v>27</v>
      </c>
      <c r="C22" s="51">
        <f>SUM(C23+C24)</f>
        <v>7108.4</v>
      </c>
      <c r="D22" s="52"/>
      <c r="E22" s="136" t="s">
        <v>41</v>
      </c>
      <c r="F22" s="50" t="s">
        <v>27</v>
      </c>
      <c r="G22" s="34">
        <v>64034.79</v>
      </c>
      <c r="H22" s="44">
        <f>SUM(C22/G22)*H16</f>
        <v>825.1576781309035</v>
      </c>
      <c r="I22" s="45">
        <f>SUM(C22/G22)*I16</f>
        <v>1021.744685412414</v>
      </c>
      <c r="J22" s="45">
        <f>SUM(C22/G22)*J16</f>
        <v>1020.949865221702</v>
      </c>
      <c r="K22" s="45">
        <f>SUM(C22/G22)*K16</f>
        <v>1016.6682709820708</v>
      </c>
      <c r="L22" s="45">
        <f>SUM(C22/G22)*L16</f>
        <v>671.1312939107007</v>
      </c>
      <c r="M22" s="45">
        <f>SUM(C22/G22)*M16</f>
        <v>663.1819819195159</v>
      </c>
      <c r="N22" s="45">
        <f>SUM(C22/G22)*N16</f>
        <v>679.2793109495635</v>
      </c>
      <c r="O22" s="45">
        <f>SUM(C22/G22)*O16</f>
        <v>677.8128898993813</v>
      </c>
      <c r="P22" s="46">
        <f>SUM(C22/G22)*P16</f>
        <v>532.4740235737479</v>
      </c>
      <c r="Q22" s="40">
        <f t="shared" si="0"/>
        <v>7108.4</v>
      </c>
    </row>
    <row r="23" spans="1:17" ht="15">
      <c r="A23" s="137"/>
      <c r="B23" s="110" t="s">
        <v>28</v>
      </c>
      <c r="C23" s="54">
        <v>5805.3</v>
      </c>
      <c r="D23" s="55"/>
      <c r="E23" s="137"/>
      <c r="F23" s="47" t="s">
        <v>28</v>
      </c>
      <c r="G23" s="34">
        <v>64034.79</v>
      </c>
      <c r="H23" s="91">
        <f>SUM(C23/G23)*7433.29</f>
        <v>673.8911525594134</v>
      </c>
      <c r="I23" s="92">
        <f>SUM(C23/G23)*9204.21</f>
        <v>834.4401584357502</v>
      </c>
      <c r="J23" s="92">
        <f>SUM(C23/G23)*9197.05</f>
        <v>833.7910433531522</v>
      </c>
      <c r="K23" s="92">
        <f>SUM(C23/G23)*9158.48</f>
        <v>830.294343809045</v>
      </c>
      <c r="L23" s="92">
        <f>SUM(C23/G23)*6045.77</f>
        <v>548.1006275026435</v>
      </c>
      <c r="M23" s="92">
        <f>SUM(C23/G23)*5974.16</f>
        <v>541.6085700913519</v>
      </c>
      <c r="N23" s="92">
        <f>SUM(C23/G23)*6119.17</f>
        <v>554.7549636845846</v>
      </c>
      <c r="O23" s="92">
        <f>SUM(C23/G23)*6105.96</f>
        <v>553.5573644888973</v>
      </c>
      <c r="P23" s="93">
        <f>SUM(C23/G23)*4796.7</f>
        <v>434.86177607516163</v>
      </c>
      <c r="Q23" s="94">
        <f t="shared" si="0"/>
        <v>5805.299999999999</v>
      </c>
    </row>
    <row r="24" spans="1:17" ht="15">
      <c r="A24" s="138"/>
      <c r="B24" s="111" t="s">
        <v>29</v>
      </c>
      <c r="C24" s="56">
        <v>1303.1</v>
      </c>
      <c r="D24" s="57"/>
      <c r="E24" s="138"/>
      <c r="F24" s="12" t="s">
        <v>29</v>
      </c>
      <c r="G24" s="34">
        <v>64034.79</v>
      </c>
      <c r="H24" s="91">
        <f>SUM(C24/G24)*7433.29</f>
        <v>151.2665255714901</v>
      </c>
      <c r="I24" s="92">
        <f>SUM(C24/G24)*9204.21</f>
        <v>187.30452697666374</v>
      </c>
      <c r="J24" s="92">
        <f>SUM(C24/G24)*9197.05</f>
        <v>187.15882186854986</v>
      </c>
      <c r="K24" s="92">
        <f>SUM(C24/G24)*9158.48</f>
        <v>186.37392717302575</v>
      </c>
      <c r="L24" s="92">
        <f>SUM(C24/G24)*6045.77</f>
        <v>123.03066640805723</v>
      </c>
      <c r="M24" s="92">
        <f>SUM(C24/G24)*5974.16</f>
        <v>121.57341182816401</v>
      </c>
      <c r="N24" s="92">
        <f>SUM(C24/G24)*6119.17</f>
        <v>124.52434726497891</v>
      </c>
      <c r="O24" s="92">
        <f>SUM(C24/G24)*6105.96</f>
        <v>124.25552541048388</v>
      </c>
      <c r="P24" s="93">
        <f>SUM(C24/G24)*4796.7</f>
        <v>97.6122474985863</v>
      </c>
      <c r="Q24" s="94">
        <f t="shared" si="0"/>
        <v>1303.1</v>
      </c>
    </row>
    <row r="25" spans="1:17" ht="15.75">
      <c r="A25" s="53"/>
      <c r="B25" s="112" t="s">
        <v>77</v>
      </c>
      <c r="C25" s="59">
        <f>SUM(C27+C28+C29+C30+C31+C32+C33+C34+C35+C36+C37+C38+C39+C40+C41+C42+C43+C44)</f>
        <v>3727.2</v>
      </c>
      <c r="D25" s="57"/>
      <c r="E25" s="53"/>
      <c r="F25" s="58" t="s">
        <v>77</v>
      </c>
      <c r="G25" s="34">
        <v>64034.79</v>
      </c>
      <c r="H25" s="91">
        <f>SUM(C25/G25)*7433.29</f>
        <v>432.6610345407551</v>
      </c>
      <c r="I25" s="92">
        <f>SUM(C25/G25)*9204.21</f>
        <v>535.7389555271438</v>
      </c>
      <c r="J25" s="92">
        <f>SUM(C25/G25)*9197.05</f>
        <v>535.3222015719891</v>
      </c>
      <c r="K25" s="92">
        <f>SUM(C25/G25)*9158.48</f>
        <v>533.0772015649618</v>
      </c>
      <c r="L25" s="92">
        <f>SUM(C25/G25)*6045.77</f>
        <v>351.8992401474261</v>
      </c>
      <c r="M25" s="92">
        <f>SUM(C25/G25)*5974.16</f>
        <v>347.7311185372826</v>
      </c>
      <c r="N25" s="92">
        <f>SUM(C25/G25)*6119.17</f>
        <v>356.17155024635827</v>
      </c>
      <c r="O25" s="92">
        <f>SUM(C25/G25)*6105.96</f>
        <v>355.40265084026976</v>
      </c>
      <c r="P25" s="93">
        <f>SUM(C25/G25)*4796.7</f>
        <v>279.19604702381315</v>
      </c>
      <c r="Q25" s="94">
        <f t="shared" si="0"/>
        <v>3727.2</v>
      </c>
    </row>
    <row r="26" spans="1:17" ht="15">
      <c r="A26" s="139" t="s">
        <v>42</v>
      </c>
      <c r="B26" s="112" t="s">
        <v>30</v>
      </c>
      <c r="C26" s="59">
        <f>SUM(C27+C28)</f>
        <v>1006.3</v>
      </c>
      <c r="D26" s="57"/>
      <c r="E26" s="139" t="s">
        <v>42</v>
      </c>
      <c r="F26" s="60" t="s">
        <v>30</v>
      </c>
      <c r="G26" s="34">
        <v>64034.79</v>
      </c>
      <c r="H26" s="91">
        <f>SUM(C26/G26)*7433.29</f>
        <v>116.81337171559397</v>
      </c>
      <c r="I26" s="92">
        <f>SUM(C26/G26)*9204.21</f>
        <v>144.64319353588883</v>
      </c>
      <c r="J26" s="92">
        <f>SUM(C26/G26)*9197.05</f>
        <v>144.53067488782267</v>
      </c>
      <c r="K26" s="92">
        <f>SUM(C26/G26)*9158.48</f>
        <v>143.9245513883937</v>
      </c>
      <c r="L26" s="92">
        <f>SUM(C26/G26)*6045.77</f>
        <v>95.00864063113193</v>
      </c>
      <c r="M26" s="92">
        <f>SUM(C26/G26)*5974.16</f>
        <v>93.88329700152057</v>
      </c>
      <c r="N26" s="92">
        <f>SUM(C26/G26)*6119.17</f>
        <v>96.1621139227598</v>
      </c>
      <c r="O26" s="92">
        <f>SUM(C26/G26)*6105.96</f>
        <v>95.95452016005675</v>
      </c>
      <c r="P26" s="93">
        <f>SUM(C26/G26)*4796.7</f>
        <v>75.37963675683172</v>
      </c>
      <c r="Q26" s="94">
        <f t="shared" si="0"/>
        <v>1006.2999999999998</v>
      </c>
    </row>
    <row r="27" spans="1:17" ht="15">
      <c r="A27" s="140"/>
      <c r="B27" s="111" t="s">
        <v>2</v>
      </c>
      <c r="C27" s="56">
        <v>935.8</v>
      </c>
      <c r="D27" s="57"/>
      <c r="E27" s="140"/>
      <c r="F27" s="12" t="s">
        <v>2</v>
      </c>
      <c r="G27" s="34">
        <v>64034.79</v>
      </c>
      <c r="H27" s="91">
        <f>SUM(C27-822.3)/G27*7433.29+78.8</f>
        <v>91.97531321645624</v>
      </c>
      <c r="I27" s="92">
        <f>SUM(C27-822.3)/G27*9204.21+136.8</f>
        <v>153.11422286229097</v>
      </c>
      <c r="J27" s="92">
        <f>SUM(C27-822.3)/G27*9197.05+91.8</f>
        <v>108.10153194849238</v>
      </c>
      <c r="K27" s="92">
        <f>SUM(C27-822.37)/G27*9158.48+113.2</f>
        <v>129.4231559813033</v>
      </c>
      <c r="L27" s="92">
        <f>SUM(C27-822.3)/G27*6045.77+138.6</f>
        <v>149.31597010000345</v>
      </c>
      <c r="M27" s="92">
        <f>SUM(C27-822.3)/G27*5974.16+61.9</f>
        <v>72.48904323727774</v>
      </c>
      <c r="N27" s="92">
        <f>SUM(C27-822.3)/G27*6119.17+67.5</f>
        <v>78.34606969117881</v>
      </c>
      <c r="O27" s="92">
        <f>SUM(C27-822.3)/G27*6105.96+81.6</f>
        <v>92.42265530971522</v>
      </c>
      <c r="P27" s="93">
        <f>SUM(C27-822.3)/G27*4796.7+52.11</f>
        <v>60.61202600804968</v>
      </c>
      <c r="Q27" s="94">
        <f t="shared" si="0"/>
        <v>935.7999883547678</v>
      </c>
    </row>
    <row r="28" spans="1:17" ht="15">
      <c r="A28" s="141"/>
      <c r="B28" s="111" t="s">
        <v>3</v>
      </c>
      <c r="C28" s="56">
        <v>70.5</v>
      </c>
      <c r="D28" s="57"/>
      <c r="E28" s="141"/>
      <c r="F28" s="12" t="s">
        <v>3</v>
      </c>
      <c r="G28" s="34">
        <v>64034.79</v>
      </c>
      <c r="H28" s="91">
        <f>SUM(C28/G28)*7433.29</f>
        <v>8.18378486132304</v>
      </c>
      <c r="I28" s="92">
        <f>SUM(C28/G28)*9204.21</f>
        <v>10.133504068647683</v>
      </c>
      <c r="J28" s="92">
        <f>SUM(C28/G28)*9197.05</f>
        <v>10.125621166244162</v>
      </c>
      <c r="K28" s="92">
        <f>SUM(C28/G28)*9158.48</f>
        <v>10.083156983883292</v>
      </c>
      <c r="L28" s="92">
        <f>SUM(C28/G28)*6045.77</f>
        <v>6.656175260354567</v>
      </c>
      <c r="M28" s="92">
        <f>SUM(C28/G28)*5974.16</f>
        <v>6.577335226679122</v>
      </c>
      <c r="N28" s="92">
        <f>SUM(C28/G28)*6119.17</f>
        <v>6.7369860196308915</v>
      </c>
      <c r="O28" s="92">
        <f>SUM(C28/G28)*6105.96</f>
        <v>6.7224422848891985</v>
      </c>
      <c r="P28" s="93">
        <f>SUM(C28/G28)*4796.7</f>
        <v>5.280994128348043</v>
      </c>
      <c r="Q28" s="94">
        <f t="shared" si="0"/>
        <v>70.5</v>
      </c>
    </row>
    <row r="29" spans="1:17" ht="29.25" customHeight="1">
      <c r="A29" s="61" t="s">
        <v>43</v>
      </c>
      <c r="B29" s="111" t="s">
        <v>85</v>
      </c>
      <c r="C29" s="56">
        <v>767.3</v>
      </c>
      <c r="D29" s="57"/>
      <c r="E29" s="61" t="s">
        <v>43</v>
      </c>
      <c r="F29" s="111" t="s">
        <v>85</v>
      </c>
      <c r="G29" s="34">
        <v>64034.79</v>
      </c>
      <c r="H29" s="95">
        <v>53.2</v>
      </c>
      <c r="I29" s="96">
        <v>146.6</v>
      </c>
      <c r="J29" s="96">
        <v>130.3</v>
      </c>
      <c r="K29" s="96">
        <v>65.7</v>
      </c>
      <c r="L29" s="96">
        <v>121.5</v>
      </c>
      <c r="M29" s="96">
        <v>47.3</v>
      </c>
      <c r="N29" s="96">
        <v>54.6</v>
      </c>
      <c r="O29" s="96">
        <v>62.7</v>
      </c>
      <c r="P29" s="97">
        <v>85.4</v>
      </c>
      <c r="Q29" s="94">
        <f t="shared" si="0"/>
        <v>767.3</v>
      </c>
    </row>
    <row r="30" spans="1:17" ht="19.5" customHeight="1">
      <c r="A30" s="61" t="s">
        <v>44</v>
      </c>
      <c r="B30" s="111" t="s">
        <v>5</v>
      </c>
      <c r="C30" s="56">
        <v>130</v>
      </c>
      <c r="D30" s="57"/>
      <c r="E30" s="61" t="s">
        <v>44</v>
      </c>
      <c r="F30" s="111" t="s">
        <v>5</v>
      </c>
      <c r="G30" s="34">
        <v>64034.79</v>
      </c>
      <c r="H30" s="95"/>
      <c r="I30" s="96"/>
      <c r="J30" s="96"/>
      <c r="K30" s="96"/>
      <c r="L30" s="96"/>
      <c r="M30" s="96"/>
      <c r="N30" s="96">
        <v>71.4</v>
      </c>
      <c r="O30" s="96">
        <v>58.6</v>
      </c>
      <c r="P30" s="97"/>
      <c r="Q30" s="94">
        <f t="shared" si="0"/>
        <v>130</v>
      </c>
    </row>
    <row r="31" spans="1:17" ht="30">
      <c r="A31" s="61" t="s">
        <v>45</v>
      </c>
      <c r="B31" s="111" t="s">
        <v>4</v>
      </c>
      <c r="C31" s="56">
        <v>162</v>
      </c>
      <c r="D31" s="57"/>
      <c r="E31" s="61" t="s">
        <v>45</v>
      </c>
      <c r="F31" s="111" t="s">
        <v>4</v>
      </c>
      <c r="G31" s="34">
        <v>64034.79</v>
      </c>
      <c r="H31" s="95">
        <v>18</v>
      </c>
      <c r="I31" s="95">
        <v>18</v>
      </c>
      <c r="J31" s="95">
        <v>18</v>
      </c>
      <c r="K31" s="95">
        <v>18</v>
      </c>
      <c r="L31" s="95">
        <v>18</v>
      </c>
      <c r="M31" s="95">
        <v>18</v>
      </c>
      <c r="N31" s="95">
        <v>18</v>
      </c>
      <c r="O31" s="95">
        <v>18</v>
      </c>
      <c r="P31" s="95">
        <v>18</v>
      </c>
      <c r="Q31" s="94">
        <f t="shared" si="0"/>
        <v>162</v>
      </c>
    </row>
    <row r="32" spans="1:17" ht="21" customHeight="1">
      <c r="A32" s="61" t="s">
        <v>46</v>
      </c>
      <c r="B32" s="111" t="s">
        <v>31</v>
      </c>
      <c r="C32" s="56">
        <v>160.6</v>
      </c>
      <c r="D32" s="57"/>
      <c r="E32" s="61" t="s">
        <v>46</v>
      </c>
      <c r="F32" s="111" t="s">
        <v>31</v>
      </c>
      <c r="G32" s="34">
        <v>64034.79</v>
      </c>
      <c r="H32" s="95"/>
      <c r="I32" s="96">
        <v>43.8</v>
      </c>
      <c r="J32" s="96">
        <v>21.9</v>
      </c>
      <c r="K32" s="96">
        <v>21.9</v>
      </c>
      <c r="L32" s="96">
        <v>14.6</v>
      </c>
      <c r="M32" s="96">
        <v>14.6</v>
      </c>
      <c r="N32" s="96">
        <v>14.6</v>
      </c>
      <c r="O32" s="96">
        <v>14.6</v>
      </c>
      <c r="P32" s="97">
        <v>14.6</v>
      </c>
      <c r="Q32" s="94">
        <f t="shared" si="0"/>
        <v>160.59999999999997</v>
      </c>
    </row>
    <row r="33" spans="1:17" ht="24.75" customHeight="1">
      <c r="A33" s="61" t="s">
        <v>47</v>
      </c>
      <c r="B33" s="111" t="s">
        <v>7</v>
      </c>
      <c r="C33" s="56">
        <v>428.1</v>
      </c>
      <c r="D33" s="57"/>
      <c r="E33" s="61" t="s">
        <v>47</v>
      </c>
      <c r="F33" s="111" t="s">
        <v>7</v>
      </c>
      <c r="G33" s="34">
        <v>64034.79</v>
      </c>
      <c r="H33" s="95"/>
      <c r="I33" s="96"/>
      <c r="J33" s="96">
        <v>15.4</v>
      </c>
      <c r="K33" s="96">
        <v>293</v>
      </c>
      <c r="L33" s="96">
        <v>78.6</v>
      </c>
      <c r="M33" s="96"/>
      <c r="N33" s="96">
        <v>38.7</v>
      </c>
      <c r="O33" s="96">
        <v>2.4</v>
      </c>
      <c r="P33" s="97"/>
      <c r="Q33" s="94">
        <f t="shared" si="0"/>
        <v>428.09999999999997</v>
      </c>
    </row>
    <row r="34" spans="1:17" ht="19.5" customHeight="1">
      <c r="A34" s="61" t="s">
        <v>48</v>
      </c>
      <c r="B34" s="111" t="s">
        <v>32</v>
      </c>
      <c r="C34" s="56">
        <v>67.8</v>
      </c>
      <c r="D34" s="57"/>
      <c r="E34" s="61" t="s">
        <v>48</v>
      </c>
      <c r="F34" s="111" t="s">
        <v>32</v>
      </c>
      <c r="G34" s="34">
        <v>64034.79</v>
      </c>
      <c r="H34" s="95">
        <v>2.6</v>
      </c>
      <c r="I34" s="96">
        <v>14.8</v>
      </c>
      <c r="J34" s="96">
        <v>11.4</v>
      </c>
      <c r="K34" s="96">
        <v>17</v>
      </c>
      <c r="L34" s="96">
        <v>10.8</v>
      </c>
      <c r="M34" s="96">
        <v>3.4</v>
      </c>
      <c r="N34" s="96">
        <v>7</v>
      </c>
      <c r="O34" s="96"/>
      <c r="P34" s="97">
        <v>0.8</v>
      </c>
      <c r="Q34" s="94">
        <f t="shared" si="0"/>
        <v>67.8</v>
      </c>
    </row>
    <row r="35" spans="1:17" ht="21" customHeight="1">
      <c r="A35" s="61" t="s">
        <v>49</v>
      </c>
      <c r="B35" s="111" t="s">
        <v>83</v>
      </c>
      <c r="C35" s="56">
        <v>44</v>
      </c>
      <c r="D35" s="57"/>
      <c r="E35" s="61" t="s">
        <v>49</v>
      </c>
      <c r="F35" s="111" t="s">
        <v>83</v>
      </c>
      <c r="G35" s="34">
        <v>64034.79</v>
      </c>
      <c r="H35" s="95">
        <v>6</v>
      </c>
      <c r="I35" s="96">
        <v>6</v>
      </c>
      <c r="J35" s="96">
        <v>6</v>
      </c>
      <c r="K35" s="96">
        <v>6</v>
      </c>
      <c r="L35" s="96">
        <v>4</v>
      </c>
      <c r="M35" s="96">
        <v>4</v>
      </c>
      <c r="N35" s="96">
        <v>4</v>
      </c>
      <c r="O35" s="96">
        <v>4</v>
      </c>
      <c r="P35" s="97">
        <v>4</v>
      </c>
      <c r="Q35" s="94">
        <f t="shared" si="0"/>
        <v>44</v>
      </c>
    </row>
    <row r="36" spans="1:17" ht="21" customHeight="1">
      <c r="A36" s="61" t="s">
        <v>50</v>
      </c>
      <c r="B36" s="111" t="s">
        <v>82</v>
      </c>
      <c r="C36" s="56">
        <v>75</v>
      </c>
      <c r="D36" s="57"/>
      <c r="E36" s="61" t="s">
        <v>50</v>
      </c>
      <c r="F36" s="111" t="s">
        <v>82</v>
      </c>
      <c r="G36" s="34">
        <v>64034.79</v>
      </c>
      <c r="H36" s="95">
        <v>15.6</v>
      </c>
      <c r="I36" s="96">
        <v>11.8</v>
      </c>
      <c r="J36" s="96">
        <v>4.2</v>
      </c>
      <c r="K36" s="96">
        <v>4.2</v>
      </c>
      <c r="L36" s="96">
        <v>4.2</v>
      </c>
      <c r="M36" s="96">
        <v>12.8</v>
      </c>
      <c r="N36" s="96">
        <v>4.2</v>
      </c>
      <c r="O36" s="96">
        <v>9.8</v>
      </c>
      <c r="P36" s="97">
        <v>8.2</v>
      </c>
      <c r="Q36" s="94">
        <f t="shared" si="0"/>
        <v>75</v>
      </c>
    </row>
    <row r="37" spans="1:17" ht="21" customHeight="1">
      <c r="A37" s="61" t="s">
        <v>51</v>
      </c>
      <c r="B37" s="111" t="s">
        <v>81</v>
      </c>
      <c r="C37" s="56">
        <v>97</v>
      </c>
      <c r="D37" s="57"/>
      <c r="E37" s="61" t="s">
        <v>51</v>
      </c>
      <c r="F37" s="111" t="s">
        <v>81</v>
      </c>
      <c r="G37" s="34">
        <v>64034.79</v>
      </c>
      <c r="H37" s="95">
        <v>21.8</v>
      </c>
      <c r="I37" s="96">
        <v>9.8</v>
      </c>
      <c r="J37" s="96">
        <v>20.2</v>
      </c>
      <c r="K37" s="96">
        <v>13.6</v>
      </c>
      <c r="L37" s="96">
        <v>2.9</v>
      </c>
      <c r="M37" s="96">
        <v>7</v>
      </c>
      <c r="N37" s="96">
        <v>14.3</v>
      </c>
      <c r="O37" s="96">
        <v>4.6</v>
      </c>
      <c r="P37" s="97">
        <v>2.8</v>
      </c>
      <c r="Q37" s="94">
        <f t="shared" si="0"/>
        <v>96.99999999999999</v>
      </c>
    </row>
    <row r="38" spans="1:17" ht="18.75" customHeight="1">
      <c r="A38" s="61" t="s">
        <v>105</v>
      </c>
      <c r="B38" s="111" t="s">
        <v>76</v>
      </c>
      <c r="C38" s="56">
        <v>552</v>
      </c>
      <c r="D38" s="57"/>
      <c r="E38" s="61" t="s">
        <v>105</v>
      </c>
      <c r="F38" s="111" t="s">
        <v>76</v>
      </c>
      <c r="G38" s="34">
        <v>64034.79</v>
      </c>
      <c r="H38" s="95"/>
      <c r="I38" s="96"/>
      <c r="J38" s="96">
        <v>262.7</v>
      </c>
      <c r="K38" s="96">
        <v>289.3</v>
      </c>
      <c r="L38" s="96"/>
      <c r="M38" s="96"/>
      <c r="N38" s="96"/>
      <c r="O38" s="96"/>
      <c r="P38" s="97"/>
      <c r="Q38" s="94">
        <f t="shared" si="0"/>
        <v>552</v>
      </c>
    </row>
    <row r="39" spans="1:17" ht="22.5" customHeight="1">
      <c r="A39" s="61" t="s">
        <v>106</v>
      </c>
      <c r="B39" s="111" t="s">
        <v>78</v>
      </c>
      <c r="C39" s="56">
        <v>30</v>
      </c>
      <c r="D39" s="57"/>
      <c r="E39" s="61" t="s">
        <v>106</v>
      </c>
      <c r="F39" s="111" t="s">
        <v>78</v>
      </c>
      <c r="G39" s="34">
        <v>64034.79</v>
      </c>
      <c r="H39" s="95"/>
      <c r="I39" s="96"/>
      <c r="J39" s="96">
        <v>30</v>
      </c>
      <c r="K39" s="96"/>
      <c r="L39" s="96"/>
      <c r="M39" s="96"/>
      <c r="N39" s="96"/>
      <c r="O39" s="96"/>
      <c r="P39" s="97"/>
      <c r="Q39" s="94">
        <f t="shared" si="0"/>
        <v>30</v>
      </c>
    </row>
    <row r="40" spans="1:17" ht="23.25" customHeight="1">
      <c r="A40" s="61" t="s">
        <v>107</v>
      </c>
      <c r="B40" s="111" t="s">
        <v>79</v>
      </c>
      <c r="C40" s="56">
        <v>43</v>
      </c>
      <c r="D40" s="57"/>
      <c r="E40" s="61" t="s">
        <v>107</v>
      </c>
      <c r="F40" s="111" t="s">
        <v>79</v>
      </c>
      <c r="G40" s="34">
        <v>64034.79</v>
      </c>
      <c r="H40" s="95">
        <v>4.2</v>
      </c>
      <c r="I40" s="96">
        <v>6.3</v>
      </c>
      <c r="J40" s="96">
        <v>2.1</v>
      </c>
      <c r="K40" s="96">
        <v>2.1</v>
      </c>
      <c r="L40" s="96">
        <v>2.8</v>
      </c>
      <c r="M40" s="96">
        <v>7</v>
      </c>
      <c r="N40" s="96">
        <v>5.6</v>
      </c>
      <c r="O40" s="96">
        <v>5.6</v>
      </c>
      <c r="P40" s="97">
        <v>7.3</v>
      </c>
      <c r="Q40" s="94">
        <f t="shared" si="0"/>
        <v>43</v>
      </c>
    </row>
    <row r="41" spans="1:17" ht="21" customHeight="1">
      <c r="A41" s="61" t="s">
        <v>108</v>
      </c>
      <c r="B41" s="111" t="s">
        <v>80</v>
      </c>
      <c r="C41" s="56">
        <v>72.5</v>
      </c>
      <c r="D41" s="57"/>
      <c r="E41" s="61" t="s">
        <v>108</v>
      </c>
      <c r="F41" s="111" t="s">
        <v>80</v>
      </c>
      <c r="G41" s="34">
        <v>64034.79</v>
      </c>
      <c r="H41" s="95">
        <v>5.1</v>
      </c>
      <c r="I41" s="96">
        <v>10</v>
      </c>
      <c r="J41" s="96">
        <v>11.7</v>
      </c>
      <c r="K41" s="96">
        <v>10</v>
      </c>
      <c r="L41" s="96">
        <v>7.8</v>
      </c>
      <c r="M41" s="96">
        <v>8.9</v>
      </c>
      <c r="N41" s="96">
        <v>6.7</v>
      </c>
      <c r="O41" s="96">
        <v>6.7</v>
      </c>
      <c r="P41" s="97">
        <v>5.6</v>
      </c>
      <c r="Q41" s="94">
        <f t="shared" si="0"/>
        <v>72.49999999999999</v>
      </c>
    </row>
    <row r="42" spans="1:17" ht="22.5" customHeight="1">
      <c r="A42" s="61" t="s">
        <v>109</v>
      </c>
      <c r="B42" s="111" t="s">
        <v>84</v>
      </c>
      <c r="C42" s="56">
        <v>46.1</v>
      </c>
      <c r="D42" s="57"/>
      <c r="E42" s="61" t="s">
        <v>109</v>
      </c>
      <c r="F42" s="111" t="s">
        <v>84</v>
      </c>
      <c r="G42" s="34">
        <v>64034.79</v>
      </c>
      <c r="H42" s="95"/>
      <c r="I42" s="96"/>
      <c r="J42" s="96">
        <v>30</v>
      </c>
      <c r="K42" s="96"/>
      <c r="L42" s="96"/>
      <c r="M42" s="96"/>
      <c r="N42" s="96">
        <v>16.1</v>
      </c>
      <c r="O42" s="96"/>
      <c r="P42" s="97"/>
      <c r="Q42" s="94">
        <f t="shared" si="0"/>
        <v>46.1</v>
      </c>
    </row>
    <row r="43" spans="1:17" ht="18.75" customHeight="1">
      <c r="A43" s="61" t="s">
        <v>110</v>
      </c>
      <c r="B43" s="111" t="s">
        <v>33</v>
      </c>
      <c r="C43" s="56">
        <v>0.5</v>
      </c>
      <c r="D43" s="57"/>
      <c r="E43" s="61" t="s">
        <v>110</v>
      </c>
      <c r="F43" s="111" t="s">
        <v>33</v>
      </c>
      <c r="G43" s="34">
        <v>64034.79</v>
      </c>
      <c r="H43" s="95"/>
      <c r="I43" s="96"/>
      <c r="J43" s="96"/>
      <c r="K43" s="96">
        <v>0.5</v>
      </c>
      <c r="L43" s="96"/>
      <c r="M43" s="96"/>
      <c r="N43" s="96"/>
      <c r="O43" s="96"/>
      <c r="P43" s="97"/>
      <c r="Q43" s="94">
        <f t="shared" si="0"/>
        <v>0.5</v>
      </c>
    </row>
    <row r="44" spans="1:17" ht="23.25" customHeight="1" thickBot="1">
      <c r="A44" s="62" t="s">
        <v>111</v>
      </c>
      <c r="B44" s="113" t="s">
        <v>34</v>
      </c>
      <c r="C44" s="16">
        <v>45</v>
      </c>
      <c r="D44" s="63"/>
      <c r="E44" s="62" t="s">
        <v>111</v>
      </c>
      <c r="F44" s="113" t="s">
        <v>34</v>
      </c>
      <c r="G44" s="34">
        <v>64034.79</v>
      </c>
      <c r="H44" s="98"/>
      <c r="I44" s="99"/>
      <c r="J44" s="99"/>
      <c r="K44" s="99">
        <v>9.6</v>
      </c>
      <c r="L44" s="99"/>
      <c r="M44" s="99">
        <v>11.8</v>
      </c>
      <c r="N44" s="99"/>
      <c r="O44" s="99">
        <v>23.6</v>
      </c>
      <c r="P44" s="100"/>
      <c r="Q44" s="94">
        <f t="shared" si="0"/>
        <v>45</v>
      </c>
    </row>
    <row r="45" spans="1:17" ht="15" thickBot="1">
      <c r="A45" s="64">
        <v>2.2</v>
      </c>
      <c r="B45" s="65" t="s">
        <v>35</v>
      </c>
      <c r="C45" s="51">
        <f>SUM(C46:C54)+C55</f>
        <v>1575</v>
      </c>
      <c r="D45" s="66"/>
      <c r="E45" s="64">
        <v>2.2</v>
      </c>
      <c r="F45" s="65" t="s">
        <v>35</v>
      </c>
      <c r="G45" s="34">
        <v>64034.79</v>
      </c>
      <c r="H45" s="101">
        <f aca="true" t="shared" si="1" ref="H45:H58">SUM(C45/G45)*7433.29</f>
        <v>182.82923626359982</v>
      </c>
      <c r="I45" s="102">
        <f aca="true" t="shared" si="2" ref="I45:I58">SUM(C45/G45)*9204.21</f>
        <v>226.38679302298013</v>
      </c>
      <c r="J45" s="102">
        <f aca="true" t="shared" si="3" ref="J45:J58">SUM(C45/G45)*9197.05</f>
        <v>226.2106856288589</v>
      </c>
      <c r="K45" s="102">
        <f aca="true" t="shared" si="4" ref="K45:K58">SUM(C45/G45)*9158.48</f>
        <v>225.26201772505226</v>
      </c>
      <c r="L45" s="102">
        <f aca="true" t="shared" si="5" ref="L45:L58">SUM(C45/G45)*6045.77</f>
        <v>148.70178773132542</v>
      </c>
      <c r="M45" s="102">
        <f aca="true" t="shared" si="6" ref="M45:M58">SUM(C45/G45)*5974.16</f>
        <v>146.9404678300655</v>
      </c>
      <c r="N45" s="102">
        <f aca="true" t="shared" si="7" ref="N45:N58">SUM(C45/G45)*6119.17</f>
        <v>150.50713448111566</v>
      </c>
      <c r="O45" s="102">
        <f aca="true" t="shared" si="8" ref="O45:O58">SUM(C45/G45)*6105.96</f>
        <v>150.18222125816294</v>
      </c>
      <c r="P45" s="103">
        <f aca="true" t="shared" si="9" ref="P45:P58">SUM(C45/G45)*4796.7</f>
        <v>117.97965605883925</v>
      </c>
      <c r="Q45" s="94">
        <f t="shared" si="0"/>
        <v>1575</v>
      </c>
    </row>
    <row r="46" spans="1:17" ht="22.5" customHeight="1">
      <c r="A46" s="67" t="s">
        <v>52</v>
      </c>
      <c r="B46" s="114" t="s">
        <v>11</v>
      </c>
      <c r="C46" s="68">
        <v>335.6</v>
      </c>
      <c r="D46" s="69"/>
      <c r="E46" s="67" t="s">
        <v>52</v>
      </c>
      <c r="F46" s="114" t="s">
        <v>11</v>
      </c>
      <c r="G46" s="34">
        <v>64034.79</v>
      </c>
      <c r="H46" s="91">
        <f t="shared" si="1"/>
        <v>38.957137580993084</v>
      </c>
      <c r="I46" s="92">
        <f t="shared" si="2"/>
        <v>48.23835411969025</v>
      </c>
      <c r="J46" s="92">
        <f t="shared" si="3"/>
        <v>48.20082926796512</v>
      </c>
      <c r="K46" s="92">
        <f t="shared" si="4"/>
        <v>47.998687713350826</v>
      </c>
      <c r="L46" s="92">
        <f t="shared" si="5"/>
        <v>31.685282515957347</v>
      </c>
      <c r="M46" s="92">
        <f t="shared" si="6"/>
        <v>31.30998158969523</v>
      </c>
      <c r="N46" s="92">
        <f t="shared" si="7"/>
        <v>32.06996465515074</v>
      </c>
      <c r="O46" s="92">
        <f t="shared" si="8"/>
        <v>32.00073235189809</v>
      </c>
      <c r="P46" s="93">
        <f t="shared" si="9"/>
        <v>25.13903020529934</v>
      </c>
      <c r="Q46" s="94">
        <f t="shared" si="0"/>
        <v>335.6</v>
      </c>
    </row>
    <row r="47" spans="1:17" ht="19.5" customHeight="1">
      <c r="A47" s="61" t="s">
        <v>53</v>
      </c>
      <c r="B47" s="111" t="s">
        <v>36</v>
      </c>
      <c r="C47" s="56">
        <v>25.3</v>
      </c>
      <c r="D47" s="57"/>
      <c r="E47" s="61" t="s">
        <v>53</v>
      </c>
      <c r="F47" s="111" t="s">
        <v>36</v>
      </c>
      <c r="G47" s="34">
        <v>64034.79</v>
      </c>
      <c r="H47" s="91">
        <f t="shared" si="1"/>
        <v>2.9368759856946514</v>
      </c>
      <c r="I47" s="92">
        <f t="shared" si="2"/>
        <v>3.636562453004062</v>
      </c>
      <c r="J47" s="92">
        <f t="shared" si="3"/>
        <v>3.6337335532762736</v>
      </c>
      <c r="K47" s="92">
        <f t="shared" si="4"/>
        <v>3.6184946339325856</v>
      </c>
      <c r="L47" s="92">
        <f t="shared" si="5"/>
        <v>2.3886699870492274</v>
      </c>
      <c r="M47" s="92">
        <f t="shared" si="6"/>
        <v>2.360377038794068</v>
      </c>
      <c r="N47" s="92">
        <f t="shared" si="7"/>
        <v>2.417670160236334</v>
      </c>
      <c r="O47" s="92">
        <f t="shared" si="8"/>
        <v>2.4124509192581094</v>
      </c>
      <c r="P47" s="93">
        <f t="shared" si="9"/>
        <v>1.8951652687546878</v>
      </c>
      <c r="Q47" s="94">
        <f t="shared" si="0"/>
        <v>25.3</v>
      </c>
    </row>
    <row r="48" spans="1:17" ht="21" customHeight="1">
      <c r="A48" s="61" t="s">
        <v>54</v>
      </c>
      <c r="B48" s="111" t="s">
        <v>86</v>
      </c>
      <c r="C48" s="56">
        <v>6.3</v>
      </c>
      <c r="D48" s="57"/>
      <c r="E48" s="61" t="s">
        <v>54</v>
      </c>
      <c r="F48" s="111" t="s">
        <v>86</v>
      </c>
      <c r="G48" s="34">
        <v>64034.79</v>
      </c>
      <c r="H48" s="91">
        <f t="shared" si="1"/>
        <v>0.7313169450543993</v>
      </c>
      <c r="I48" s="92">
        <f t="shared" si="2"/>
        <v>0.9055471720919205</v>
      </c>
      <c r="J48" s="92">
        <f t="shared" si="3"/>
        <v>0.9048427425154356</v>
      </c>
      <c r="K48" s="92">
        <f t="shared" si="4"/>
        <v>0.901048070900209</v>
      </c>
      <c r="L48" s="92">
        <f t="shared" si="5"/>
        <v>0.5948071509253017</v>
      </c>
      <c r="M48" s="92">
        <f t="shared" si="6"/>
        <v>0.5877618713202619</v>
      </c>
      <c r="N48" s="92">
        <f t="shared" si="7"/>
        <v>0.6020285379244625</v>
      </c>
      <c r="O48" s="92">
        <f t="shared" si="8"/>
        <v>0.6007288850326518</v>
      </c>
      <c r="P48" s="93">
        <f t="shared" si="9"/>
        <v>0.471918624235357</v>
      </c>
      <c r="Q48" s="94">
        <f aca="true" t="shared" si="10" ref="Q48:Q65">SUM(H48:P48)</f>
        <v>6.299999999999999</v>
      </c>
    </row>
    <row r="49" spans="1:17" ht="21" customHeight="1">
      <c r="A49" s="61" t="s">
        <v>55</v>
      </c>
      <c r="B49" s="111" t="s">
        <v>37</v>
      </c>
      <c r="C49" s="56">
        <v>18.1</v>
      </c>
      <c r="D49" s="57"/>
      <c r="E49" s="61" t="s">
        <v>55</v>
      </c>
      <c r="F49" s="111" t="s">
        <v>37</v>
      </c>
      <c r="G49" s="34">
        <v>64034.79</v>
      </c>
      <c r="H49" s="91">
        <f t="shared" si="1"/>
        <v>2.1010851913467667</v>
      </c>
      <c r="I49" s="92">
        <f t="shared" si="2"/>
        <v>2.6016513991847243</v>
      </c>
      <c r="J49" s="92">
        <f t="shared" si="3"/>
        <v>2.5996275618300615</v>
      </c>
      <c r="K49" s="92">
        <f t="shared" si="4"/>
        <v>2.588725410046633</v>
      </c>
      <c r="L49" s="92">
        <f t="shared" si="5"/>
        <v>1.7088903859917401</v>
      </c>
      <c r="M49" s="92">
        <f t="shared" si="6"/>
        <v>1.688649185856626</v>
      </c>
      <c r="N49" s="92">
        <f t="shared" si="7"/>
        <v>1.72963754546552</v>
      </c>
      <c r="O49" s="92">
        <f t="shared" si="8"/>
        <v>1.7259036220779362</v>
      </c>
      <c r="P49" s="93">
        <f t="shared" si="9"/>
        <v>1.3558296981999942</v>
      </c>
      <c r="Q49" s="94">
        <f t="shared" si="10"/>
        <v>18.1</v>
      </c>
    </row>
    <row r="50" spans="1:17" ht="23.25" customHeight="1">
      <c r="A50" s="61" t="s">
        <v>56</v>
      </c>
      <c r="B50" s="113" t="s">
        <v>88</v>
      </c>
      <c r="C50" s="16">
        <v>32.6</v>
      </c>
      <c r="D50" s="63"/>
      <c r="E50" s="61" t="s">
        <v>56</v>
      </c>
      <c r="F50" s="113" t="s">
        <v>88</v>
      </c>
      <c r="G50" s="34">
        <v>64034.79</v>
      </c>
      <c r="H50" s="91">
        <f t="shared" si="1"/>
        <v>3.7842749855195903</v>
      </c>
      <c r="I50" s="92">
        <f t="shared" si="2"/>
        <v>4.68584727145978</v>
      </c>
      <c r="J50" s="92">
        <f t="shared" si="3"/>
        <v>4.682202127937017</v>
      </c>
      <c r="K50" s="92">
        <f t="shared" si="4"/>
        <v>4.662566208150288</v>
      </c>
      <c r="L50" s="92">
        <f t="shared" si="5"/>
        <v>3.0778909714547362</v>
      </c>
      <c r="M50" s="92">
        <f t="shared" si="6"/>
        <v>3.0414344452445303</v>
      </c>
      <c r="N50" s="92">
        <f t="shared" si="7"/>
        <v>3.1152587835456322</v>
      </c>
      <c r="O50" s="92">
        <f t="shared" si="8"/>
        <v>3.1085335955657856</v>
      </c>
      <c r="P50" s="93">
        <f t="shared" si="9"/>
        <v>2.441991611122641</v>
      </c>
      <c r="Q50" s="94">
        <f t="shared" si="10"/>
        <v>32.599999999999994</v>
      </c>
    </row>
    <row r="51" spans="1:17" ht="22.5" customHeight="1">
      <c r="A51" s="70" t="s">
        <v>57</v>
      </c>
      <c r="B51" s="111" t="s">
        <v>38</v>
      </c>
      <c r="C51" s="56">
        <v>1</v>
      </c>
      <c r="D51" s="57"/>
      <c r="E51" s="70" t="s">
        <v>57</v>
      </c>
      <c r="F51" s="111" t="s">
        <v>38</v>
      </c>
      <c r="G51" s="34">
        <v>64034.79</v>
      </c>
      <c r="H51" s="91">
        <f t="shared" si="1"/>
        <v>0.11608205477053958</v>
      </c>
      <c r="I51" s="92">
        <f t="shared" si="2"/>
        <v>0.14373764636379693</v>
      </c>
      <c r="J51" s="92">
        <f t="shared" si="3"/>
        <v>0.14362583214530725</v>
      </c>
      <c r="K51" s="92">
        <f t="shared" si="4"/>
        <v>0.1430235033174935</v>
      </c>
      <c r="L51" s="92">
        <f t="shared" si="5"/>
        <v>0.09441383348020663</v>
      </c>
      <c r="M51" s="92">
        <f t="shared" si="6"/>
        <v>0.09329553513020032</v>
      </c>
      <c r="N51" s="92">
        <f t="shared" si="7"/>
        <v>0.09556008538483535</v>
      </c>
      <c r="O51" s="92">
        <f t="shared" si="8"/>
        <v>0.0953537912750241</v>
      </c>
      <c r="P51" s="93">
        <f t="shared" si="9"/>
        <v>0.07490771813259636</v>
      </c>
      <c r="Q51" s="94">
        <f t="shared" si="10"/>
        <v>0.9999999999999999</v>
      </c>
    </row>
    <row r="52" spans="1:17" ht="22.5" customHeight="1">
      <c r="A52" s="61" t="s">
        <v>58</v>
      </c>
      <c r="B52" s="110" t="s">
        <v>89</v>
      </c>
      <c r="C52" s="71">
        <v>37.5</v>
      </c>
      <c r="D52" s="72"/>
      <c r="E52" s="61" t="s">
        <v>58</v>
      </c>
      <c r="F52" s="110" t="s">
        <v>89</v>
      </c>
      <c r="G52" s="34">
        <v>64034.79</v>
      </c>
      <c r="H52" s="91">
        <f t="shared" si="1"/>
        <v>4.353077053895234</v>
      </c>
      <c r="I52" s="92">
        <f t="shared" si="2"/>
        <v>5.390161738642384</v>
      </c>
      <c r="J52" s="92">
        <f t="shared" si="3"/>
        <v>5.385968705449022</v>
      </c>
      <c r="K52" s="92">
        <f t="shared" si="4"/>
        <v>5.363381374406006</v>
      </c>
      <c r="L52" s="92">
        <f t="shared" si="5"/>
        <v>3.5405187555077484</v>
      </c>
      <c r="M52" s="92">
        <f t="shared" si="6"/>
        <v>3.4985825673825115</v>
      </c>
      <c r="N52" s="92">
        <f t="shared" si="7"/>
        <v>3.583503201931325</v>
      </c>
      <c r="O52" s="92">
        <f t="shared" si="8"/>
        <v>3.575767172813403</v>
      </c>
      <c r="P52" s="93">
        <f t="shared" si="9"/>
        <v>2.8090394299723633</v>
      </c>
      <c r="Q52" s="94">
        <f t="shared" si="10"/>
        <v>37.5</v>
      </c>
    </row>
    <row r="53" spans="1:17" ht="15">
      <c r="A53" s="62" t="s">
        <v>59</v>
      </c>
      <c r="B53" s="111" t="s">
        <v>6</v>
      </c>
      <c r="C53" s="56">
        <v>10.9</v>
      </c>
      <c r="D53" s="57"/>
      <c r="E53" s="62" t="s">
        <v>59</v>
      </c>
      <c r="F53" s="111" t="s">
        <v>6</v>
      </c>
      <c r="G53" s="34">
        <v>64034.79</v>
      </c>
      <c r="H53" s="91">
        <f t="shared" si="1"/>
        <v>1.2652943969988815</v>
      </c>
      <c r="I53" s="92">
        <f t="shared" si="2"/>
        <v>1.5667403453653863</v>
      </c>
      <c r="J53" s="92">
        <f t="shared" si="3"/>
        <v>1.565521570383849</v>
      </c>
      <c r="K53" s="92">
        <f t="shared" si="4"/>
        <v>1.558956186160679</v>
      </c>
      <c r="L53" s="92">
        <f t="shared" si="5"/>
        <v>1.0291107849342522</v>
      </c>
      <c r="M53" s="92">
        <f t="shared" si="6"/>
        <v>1.0169213329191835</v>
      </c>
      <c r="N53" s="92">
        <f t="shared" si="7"/>
        <v>1.0416049306947053</v>
      </c>
      <c r="O53" s="92">
        <f t="shared" si="8"/>
        <v>1.0393563248977626</v>
      </c>
      <c r="P53" s="93">
        <f t="shared" si="9"/>
        <v>0.8164941276453003</v>
      </c>
      <c r="Q53" s="94">
        <f t="shared" si="10"/>
        <v>10.9</v>
      </c>
    </row>
    <row r="54" spans="1:17" ht="30.75" thickBot="1">
      <c r="A54" s="62" t="s">
        <v>60</v>
      </c>
      <c r="B54" s="113" t="s">
        <v>8</v>
      </c>
      <c r="C54" s="16">
        <v>284.1</v>
      </c>
      <c r="D54" s="63"/>
      <c r="E54" s="62" t="s">
        <v>60</v>
      </c>
      <c r="F54" s="113" t="s">
        <v>8</v>
      </c>
      <c r="G54" s="34">
        <v>64034.79</v>
      </c>
      <c r="H54" s="104">
        <f t="shared" si="1"/>
        <v>32.9789117603103</v>
      </c>
      <c r="I54" s="105">
        <f t="shared" si="2"/>
        <v>40.83586533195471</v>
      </c>
      <c r="J54" s="105">
        <f t="shared" si="3"/>
        <v>40.8040989124818</v>
      </c>
      <c r="K54" s="105">
        <f t="shared" si="4"/>
        <v>40.63297729249991</v>
      </c>
      <c r="L54" s="105">
        <f t="shared" si="5"/>
        <v>26.822970091726706</v>
      </c>
      <c r="M54" s="105">
        <f t="shared" si="6"/>
        <v>26.505261530489914</v>
      </c>
      <c r="N54" s="105">
        <f t="shared" si="7"/>
        <v>27.148620257831723</v>
      </c>
      <c r="O54" s="105">
        <f t="shared" si="8"/>
        <v>27.090012101234347</v>
      </c>
      <c r="P54" s="106">
        <f t="shared" si="9"/>
        <v>21.281282721470628</v>
      </c>
      <c r="Q54" s="94">
        <f t="shared" si="10"/>
        <v>284.1</v>
      </c>
    </row>
    <row r="55" spans="1:17" ht="16.5" thickBot="1">
      <c r="A55" s="73" t="s">
        <v>60</v>
      </c>
      <c r="B55" s="115" t="s">
        <v>9</v>
      </c>
      <c r="C55" s="75">
        <f>SUM(C56:C63)</f>
        <v>823.5999999999999</v>
      </c>
      <c r="D55" s="76"/>
      <c r="E55" s="73" t="s">
        <v>60</v>
      </c>
      <c r="F55" s="74" t="s">
        <v>9</v>
      </c>
      <c r="G55" s="34">
        <v>64034.79</v>
      </c>
      <c r="H55" s="101">
        <f t="shared" si="1"/>
        <v>95.60518030901639</v>
      </c>
      <c r="I55" s="102">
        <f t="shared" si="2"/>
        <v>118.38232554522313</v>
      </c>
      <c r="J55" s="102">
        <f t="shared" si="3"/>
        <v>118.29023535487504</v>
      </c>
      <c r="K55" s="102">
        <f t="shared" si="4"/>
        <v>117.79415733228764</v>
      </c>
      <c r="L55" s="102">
        <f t="shared" si="5"/>
        <v>77.75923325429817</v>
      </c>
      <c r="M55" s="102">
        <f t="shared" si="6"/>
        <v>76.83820273323298</v>
      </c>
      <c r="N55" s="102">
        <f t="shared" si="7"/>
        <v>78.70328632295038</v>
      </c>
      <c r="O55" s="102">
        <f t="shared" si="8"/>
        <v>78.53338249410983</v>
      </c>
      <c r="P55" s="103">
        <f t="shared" si="9"/>
        <v>61.693996654006355</v>
      </c>
      <c r="Q55" s="94">
        <f t="shared" si="10"/>
        <v>823.5999999999998</v>
      </c>
    </row>
    <row r="56" spans="1:17" ht="15">
      <c r="A56" s="77" t="s">
        <v>61</v>
      </c>
      <c r="B56" s="110" t="s">
        <v>10</v>
      </c>
      <c r="C56" s="54">
        <v>43.2</v>
      </c>
      <c r="D56" s="55"/>
      <c r="E56" s="77" t="s">
        <v>61</v>
      </c>
      <c r="F56" s="110" t="s">
        <v>10</v>
      </c>
      <c r="G56" s="34">
        <v>64034.79</v>
      </c>
      <c r="H56" s="91">
        <f t="shared" si="1"/>
        <v>5.01474476608731</v>
      </c>
      <c r="I56" s="92">
        <f t="shared" si="2"/>
        <v>6.209466322916027</v>
      </c>
      <c r="J56" s="92">
        <f t="shared" si="3"/>
        <v>6.204635948677273</v>
      </c>
      <c r="K56" s="92">
        <f t="shared" si="4"/>
        <v>6.17861534331572</v>
      </c>
      <c r="L56" s="92">
        <f t="shared" si="5"/>
        <v>4.078677606344926</v>
      </c>
      <c r="M56" s="92">
        <f t="shared" si="6"/>
        <v>4.030367117624654</v>
      </c>
      <c r="N56" s="92">
        <f t="shared" si="7"/>
        <v>4.128195688624887</v>
      </c>
      <c r="O56" s="92">
        <f t="shared" si="8"/>
        <v>4.119283783081041</v>
      </c>
      <c r="P56" s="93">
        <f t="shared" si="9"/>
        <v>3.236013423328163</v>
      </c>
      <c r="Q56" s="94">
        <f t="shared" si="10"/>
        <v>43.2</v>
      </c>
    </row>
    <row r="57" spans="1:17" ht="17.25" customHeight="1">
      <c r="A57" s="61" t="s">
        <v>62</v>
      </c>
      <c r="B57" s="111" t="s">
        <v>90</v>
      </c>
      <c r="C57" s="56">
        <v>147.7</v>
      </c>
      <c r="D57" s="57"/>
      <c r="E57" s="61" t="s">
        <v>62</v>
      </c>
      <c r="F57" s="111" t="s">
        <v>90</v>
      </c>
      <c r="G57" s="34">
        <v>64034.79</v>
      </c>
      <c r="H57" s="91">
        <f t="shared" si="1"/>
        <v>17.145319489608696</v>
      </c>
      <c r="I57" s="92">
        <f t="shared" si="2"/>
        <v>21.230050367932805</v>
      </c>
      <c r="J57" s="92">
        <f t="shared" si="3"/>
        <v>21.21353540786188</v>
      </c>
      <c r="K57" s="92">
        <f t="shared" si="4"/>
        <v>21.12457143999379</v>
      </c>
      <c r="L57" s="92">
        <f t="shared" si="5"/>
        <v>13.944923205026518</v>
      </c>
      <c r="M57" s="92">
        <f t="shared" si="6"/>
        <v>13.779750538730585</v>
      </c>
      <c r="N57" s="92">
        <f t="shared" si="7"/>
        <v>14.114224611340179</v>
      </c>
      <c r="O57" s="92">
        <f t="shared" si="8"/>
        <v>14.083754971321058</v>
      </c>
      <c r="P57" s="93">
        <f t="shared" si="9"/>
        <v>11.06386996818448</v>
      </c>
      <c r="Q57" s="94">
        <f t="shared" si="10"/>
        <v>147.7</v>
      </c>
    </row>
    <row r="58" spans="1:17" ht="17.25" customHeight="1">
      <c r="A58" s="61" t="s">
        <v>63</v>
      </c>
      <c r="B58" s="111" t="s">
        <v>40</v>
      </c>
      <c r="C58" s="56">
        <v>2</v>
      </c>
      <c r="D58" s="57"/>
      <c r="E58" s="61" t="s">
        <v>63</v>
      </c>
      <c r="F58" s="111" t="s">
        <v>40</v>
      </c>
      <c r="G58" s="34">
        <v>64034.79</v>
      </c>
      <c r="H58" s="91">
        <f t="shared" si="1"/>
        <v>0.23216410954107916</v>
      </c>
      <c r="I58" s="92">
        <f t="shared" si="2"/>
        <v>0.28747529272759387</v>
      </c>
      <c r="J58" s="92">
        <f t="shared" si="3"/>
        <v>0.2872516642906145</v>
      </c>
      <c r="K58" s="92">
        <f t="shared" si="4"/>
        <v>0.286047006634987</v>
      </c>
      <c r="L58" s="92">
        <f t="shared" si="5"/>
        <v>0.18882766696041325</v>
      </c>
      <c r="M58" s="92">
        <f t="shared" si="6"/>
        <v>0.18659107026040064</v>
      </c>
      <c r="N58" s="92">
        <f t="shared" si="7"/>
        <v>0.1911201707696707</v>
      </c>
      <c r="O58" s="92">
        <f t="shared" si="8"/>
        <v>0.1907075825500482</v>
      </c>
      <c r="P58" s="93">
        <f t="shared" si="9"/>
        <v>0.14981543626519273</v>
      </c>
      <c r="Q58" s="94">
        <f t="shared" si="10"/>
        <v>1.9999999999999998</v>
      </c>
    </row>
    <row r="59" spans="1:17" ht="21" customHeight="1">
      <c r="A59" s="61" t="s">
        <v>64</v>
      </c>
      <c r="B59" s="111" t="s">
        <v>12</v>
      </c>
      <c r="C59" s="56">
        <v>42</v>
      </c>
      <c r="D59" s="57"/>
      <c r="E59" s="61" t="s">
        <v>64</v>
      </c>
      <c r="F59" s="111" t="s">
        <v>12</v>
      </c>
      <c r="G59" s="34">
        <v>64034.79</v>
      </c>
      <c r="H59" s="95">
        <v>5.7</v>
      </c>
      <c r="I59" s="95">
        <v>5.7</v>
      </c>
      <c r="J59" s="95">
        <v>5.7</v>
      </c>
      <c r="K59" s="95">
        <v>5.7</v>
      </c>
      <c r="L59" s="96">
        <v>3.8</v>
      </c>
      <c r="M59" s="96">
        <v>3.8</v>
      </c>
      <c r="N59" s="96">
        <v>3.8</v>
      </c>
      <c r="O59" s="96">
        <v>3.8</v>
      </c>
      <c r="P59" s="96">
        <v>4</v>
      </c>
      <c r="Q59" s="94">
        <f t="shared" si="10"/>
        <v>42</v>
      </c>
    </row>
    <row r="60" spans="1:17" ht="27" customHeight="1">
      <c r="A60" s="61" t="s">
        <v>65</v>
      </c>
      <c r="B60" s="111" t="s">
        <v>102</v>
      </c>
      <c r="C60" s="56">
        <v>81.5</v>
      </c>
      <c r="D60" s="57"/>
      <c r="E60" s="61" t="s">
        <v>65</v>
      </c>
      <c r="F60" s="111" t="s">
        <v>102</v>
      </c>
      <c r="G60" s="34">
        <v>64034.79</v>
      </c>
      <c r="H60" s="91">
        <f>SUM(C60/G60)*7433.29</f>
        <v>9.460687463798974</v>
      </c>
      <c r="I60" s="92">
        <f>SUM(C60/G60)*9204.21</f>
        <v>11.714618178649449</v>
      </c>
      <c r="J60" s="92">
        <f>SUM(C60/G60)*9197.05</f>
        <v>11.70550531984254</v>
      </c>
      <c r="K60" s="92">
        <f>SUM(C60/G60)*9158.48</f>
        <v>11.65641552037572</v>
      </c>
      <c r="L60" s="92">
        <f>SUM(C60/G60)*6045.77</f>
        <v>7.694727428636839</v>
      </c>
      <c r="M60" s="92">
        <f>SUM(C60/G60)*5974.16</f>
        <v>7.603586113111326</v>
      </c>
      <c r="N60" s="92">
        <f>SUM(C60/G60)*6119.17</f>
        <v>7.78814695886408</v>
      </c>
      <c r="O60" s="92">
        <f>SUM(C60/G60)*6105.96</f>
        <v>7.7713339889144635</v>
      </c>
      <c r="P60" s="93">
        <f>SUM(C60/G60)*4796.7</f>
        <v>6.1049790278066025</v>
      </c>
      <c r="Q60" s="94">
        <f t="shared" si="10"/>
        <v>81.5</v>
      </c>
    </row>
    <row r="61" spans="1:17" ht="23.25" customHeight="1">
      <c r="A61" s="61" t="s">
        <v>66</v>
      </c>
      <c r="B61" s="111" t="s">
        <v>13</v>
      </c>
      <c r="C61" s="56">
        <v>414.7</v>
      </c>
      <c r="D61" s="57"/>
      <c r="E61" s="61" t="s">
        <v>66</v>
      </c>
      <c r="F61" s="111" t="s">
        <v>13</v>
      </c>
      <c r="G61" s="34">
        <v>64034.79</v>
      </c>
      <c r="H61" s="91">
        <f>SUM(C61/G61)*7433.29</f>
        <v>48.13922811334276</v>
      </c>
      <c r="I61" s="92">
        <f>SUM(C61/G61)*9204.21</f>
        <v>59.608001947066576</v>
      </c>
      <c r="J61" s="92">
        <f>SUM(C61/G61)*9197.05</f>
        <v>59.56163259065892</v>
      </c>
      <c r="K61" s="92">
        <f>SUM(C61/G61)*9158.48</f>
        <v>59.311846825764555</v>
      </c>
      <c r="L61" s="92">
        <f>SUM(C61/G61)*6045.77</f>
        <v>39.15341674424169</v>
      </c>
      <c r="M61" s="92">
        <f>SUM(C61/G61)*5974.16</f>
        <v>38.68965841849407</v>
      </c>
      <c r="N61" s="92">
        <f>SUM(C61/G61)*6119.17</f>
        <v>39.62876740909121</v>
      </c>
      <c r="O61" s="92">
        <f>SUM(C61/G61)*6105.96</f>
        <v>39.54321724175249</v>
      </c>
      <c r="P61" s="93">
        <f>SUM(C61/G61)*4796.7</f>
        <v>31.064230709587708</v>
      </c>
      <c r="Q61" s="94">
        <f t="shared" si="10"/>
        <v>414.69999999999993</v>
      </c>
    </row>
    <row r="62" spans="1:17" ht="15">
      <c r="A62" s="61" t="s">
        <v>67</v>
      </c>
      <c r="B62" s="111" t="s">
        <v>39</v>
      </c>
      <c r="C62" s="56">
        <v>14</v>
      </c>
      <c r="D62" s="78"/>
      <c r="E62" s="61" t="s">
        <v>67</v>
      </c>
      <c r="F62" s="111" t="s">
        <v>39</v>
      </c>
      <c r="G62" s="34">
        <v>64034.79</v>
      </c>
      <c r="H62" s="91">
        <f>SUM(C62/G62)*7433.29</f>
        <v>1.6251487667875542</v>
      </c>
      <c r="I62" s="92">
        <f>SUM(C62/G62)*9204.21</f>
        <v>2.012327049093157</v>
      </c>
      <c r="J62" s="92">
        <f>SUM(C62/G62)*9197.05</f>
        <v>2.0107616500343015</v>
      </c>
      <c r="K62" s="92">
        <f>SUM(C62/G62)*9158.48</f>
        <v>2.002329046444909</v>
      </c>
      <c r="L62" s="92">
        <f>SUM(C62/G62)*6045.77</f>
        <v>1.3217936687228928</v>
      </c>
      <c r="M62" s="92">
        <f>SUM(C62/G62)*5974.16</f>
        <v>1.3061374918228044</v>
      </c>
      <c r="N62" s="92">
        <f>SUM(C62/G62)*6119.17</f>
        <v>1.3378411953876947</v>
      </c>
      <c r="O62" s="92">
        <f>SUM(C62/G62)*6105.96</f>
        <v>1.3349530778503373</v>
      </c>
      <c r="P62" s="93">
        <f>SUM(C62/G62)*4796.7</f>
        <v>1.048708053856349</v>
      </c>
      <c r="Q62" s="94">
        <f t="shared" si="10"/>
        <v>14</v>
      </c>
    </row>
    <row r="63" spans="1:17" ht="15.75" thickBot="1">
      <c r="A63" s="62" t="s">
        <v>68</v>
      </c>
      <c r="B63" s="113" t="s">
        <v>87</v>
      </c>
      <c r="C63" s="16">
        <v>78.5</v>
      </c>
      <c r="D63" s="79"/>
      <c r="E63" s="62" t="s">
        <v>68</v>
      </c>
      <c r="F63" s="113" t="s">
        <v>87</v>
      </c>
      <c r="G63" s="34">
        <v>64034.79</v>
      </c>
      <c r="H63" s="91">
        <f>SUM(C63/G63)*7433.29</f>
        <v>9.112441299487358</v>
      </c>
      <c r="I63" s="92">
        <f>SUM(C63/G63)*9204.21</f>
        <v>11.283405239558059</v>
      </c>
      <c r="J63" s="92">
        <f>SUM(C63/G63)*9197.05</f>
        <v>11.27462782340662</v>
      </c>
      <c r="K63" s="92">
        <f>SUM(C63/G63)*9158.48</f>
        <v>11.22734501042324</v>
      </c>
      <c r="L63" s="92">
        <f>SUM(C63/G63)*6045.77</f>
        <v>7.41148592819622</v>
      </c>
      <c r="M63" s="92">
        <f>SUM(C63/G63)*5974.16</f>
        <v>7.323699507720725</v>
      </c>
      <c r="N63" s="92">
        <f>SUM(C63/G63)*6119.17</f>
        <v>7.501466702709575</v>
      </c>
      <c r="O63" s="92">
        <f>SUM(C63/G63)*6105.96</f>
        <v>7.485272615089392</v>
      </c>
      <c r="P63" s="93">
        <f>SUM(C63/G63)*4796.7</f>
        <v>5.880255873408815</v>
      </c>
      <c r="Q63" s="94">
        <f t="shared" si="10"/>
        <v>78.5</v>
      </c>
    </row>
    <row r="64" spans="1:17" ht="16.5" thickBot="1">
      <c r="A64" s="73"/>
      <c r="B64" s="74" t="s">
        <v>14</v>
      </c>
      <c r="C64" s="75">
        <f>SUM(C21)+C45</f>
        <v>12410.599999999999</v>
      </c>
      <c r="D64" s="76"/>
      <c r="E64" s="73"/>
      <c r="F64" s="74" t="s">
        <v>14</v>
      </c>
      <c r="G64" s="34">
        <v>64034.79</v>
      </c>
      <c r="H64" s="14">
        <f aca="true" t="shared" si="11" ref="H64:P64">SUM(H21)+H45</f>
        <v>1440.6479489352582</v>
      </c>
      <c r="I64" s="14">
        <f t="shared" si="11"/>
        <v>1783.8704339625376</v>
      </c>
      <c r="J64" s="14">
        <f t="shared" si="11"/>
        <v>1782.48275242255</v>
      </c>
      <c r="K64" s="14">
        <f t="shared" si="11"/>
        <v>1775.0074902720844</v>
      </c>
      <c r="L64" s="14">
        <f t="shared" si="11"/>
        <v>1171.732321789452</v>
      </c>
      <c r="M64" s="14">
        <f t="shared" si="11"/>
        <v>1157.853568286864</v>
      </c>
      <c r="N64" s="14">
        <f t="shared" si="11"/>
        <v>1185.9579956770372</v>
      </c>
      <c r="O64" s="14">
        <f t="shared" si="11"/>
        <v>1183.3977619978136</v>
      </c>
      <c r="P64" s="14">
        <f t="shared" si="11"/>
        <v>929.6497266564002</v>
      </c>
      <c r="Q64" s="94">
        <f t="shared" si="10"/>
        <v>12410.599999999999</v>
      </c>
    </row>
    <row r="65" spans="1:17" ht="53.25" customHeight="1" thickBot="1">
      <c r="A65" s="80"/>
      <c r="B65" s="74" t="s">
        <v>15</v>
      </c>
      <c r="C65" s="81">
        <f>SUM(C16-C20)</f>
        <v>-563.5999999999985</v>
      </c>
      <c r="D65" s="82" t="s">
        <v>103</v>
      </c>
      <c r="E65" s="80"/>
      <c r="F65" s="74" t="s">
        <v>15</v>
      </c>
      <c r="G65" s="36">
        <v>64034.79</v>
      </c>
      <c r="H65" s="107">
        <f>SUM(C65/G65)*7433.29</f>
        <v>-65.42384606867594</v>
      </c>
      <c r="I65" s="108">
        <f>SUM(C65/G65)*9204.21</f>
        <v>-81.01053749063574</v>
      </c>
      <c r="J65" s="108">
        <f>SUM(C65/G65)*9197.05</f>
        <v>-80.94751899709496</v>
      </c>
      <c r="K65" s="108">
        <f>SUM(C65/G65)*9158.48</f>
        <v>-80.60804646973914</v>
      </c>
      <c r="L65" s="108">
        <f>SUM(C65/G65)*6045.77</f>
        <v>-53.21163654944432</v>
      </c>
      <c r="M65" s="108">
        <f>SUM(C65/G65)*5974.16</f>
        <v>-52.581363599380765</v>
      </c>
      <c r="N65" s="108">
        <f>SUM(C65/G65)*6119.17</f>
        <v>-53.85766412289306</v>
      </c>
      <c r="O65" s="108">
        <f>SUM(C65/G65)*6105.96</f>
        <v>-53.74139676260344</v>
      </c>
      <c r="P65" s="109">
        <f>SUM(C65/G65)*4796.7</f>
        <v>-42.2179899395312</v>
      </c>
      <c r="Q65" s="94">
        <f t="shared" si="10"/>
        <v>-563.5999999999987</v>
      </c>
    </row>
    <row r="66" spans="1:7" ht="15.75">
      <c r="A66" s="17"/>
      <c r="B66" s="17"/>
      <c r="C66" s="17"/>
      <c r="D66" s="17"/>
      <c r="E66" s="17"/>
      <c r="F66" s="17"/>
      <c r="G66" s="17"/>
    </row>
    <row r="67" spans="1:7" ht="15.75">
      <c r="A67" s="17"/>
      <c r="B67" s="17"/>
      <c r="C67" s="17"/>
      <c r="D67" s="17"/>
      <c r="E67" s="17"/>
      <c r="F67" s="17"/>
      <c r="G67" s="17"/>
    </row>
    <row r="68" spans="1:7" ht="15.75">
      <c r="A68" s="128" t="s">
        <v>70</v>
      </c>
      <c r="B68" s="128"/>
      <c r="C68" s="128"/>
      <c r="D68" s="128"/>
      <c r="E68" s="21"/>
      <c r="F68" s="21"/>
      <c r="G68" s="21"/>
    </row>
    <row r="69" spans="1:7" ht="15.75">
      <c r="A69" s="17"/>
      <c r="B69" s="17"/>
      <c r="C69" s="17"/>
      <c r="D69" s="17"/>
      <c r="E69" s="17"/>
      <c r="F69" s="17"/>
      <c r="G69" s="17"/>
    </row>
    <row r="70" spans="1:7" ht="15.75">
      <c r="A70" s="17"/>
      <c r="B70" s="17"/>
      <c r="C70" s="17"/>
      <c r="D70" s="17"/>
      <c r="E70" s="17"/>
      <c r="F70" s="17"/>
      <c r="G70" s="17"/>
    </row>
    <row r="71" spans="1:7" ht="15.75">
      <c r="A71" s="17"/>
      <c r="B71" s="17"/>
      <c r="C71" s="17"/>
      <c r="D71" s="17"/>
      <c r="E71" s="17"/>
      <c r="F71" s="17"/>
      <c r="G71" s="17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</sheetData>
  <sheetProtection/>
  <mergeCells count="23">
    <mergeCell ref="E26:E28"/>
    <mergeCell ref="H14:P14"/>
    <mergeCell ref="G14:G16"/>
    <mergeCell ref="A22:A24"/>
    <mergeCell ref="A26:A28"/>
    <mergeCell ref="A68:D68"/>
    <mergeCell ref="A16:A18"/>
    <mergeCell ref="Q14:Q15"/>
    <mergeCell ref="A19:D19"/>
    <mergeCell ref="E16:E18"/>
    <mergeCell ref="F19:Q19"/>
    <mergeCell ref="A15:D15"/>
    <mergeCell ref="E22:E24"/>
    <mergeCell ref="F10:Q10"/>
    <mergeCell ref="F12:Q12"/>
    <mergeCell ref="C1:D1"/>
    <mergeCell ref="C3:D3"/>
    <mergeCell ref="C5:D5"/>
    <mergeCell ref="F8:Q8"/>
    <mergeCell ref="A8:D8"/>
    <mergeCell ref="C6:D6"/>
    <mergeCell ref="A10:D10"/>
    <mergeCell ref="A12:D12"/>
  </mergeCells>
  <printOptions/>
  <pageMargins left="1.04" right="0.75" top="0.52" bottom="0.51" header="0.5" footer="0.5"/>
  <pageSetup horizontalDpi="360" verticalDpi="360" orientation="portrait" paperSize="9" scale="81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</cp:lastModifiedBy>
  <cp:lastPrinted>2015-09-25T12:08:25Z</cp:lastPrinted>
  <dcterms:created xsi:type="dcterms:W3CDTF">1996-10-08T23:32:33Z</dcterms:created>
  <dcterms:modified xsi:type="dcterms:W3CDTF">2017-01-12T08:11:41Z</dcterms:modified>
  <cp:category/>
  <cp:version/>
  <cp:contentType/>
  <cp:contentStatus/>
</cp:coreProperties>
</file>