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5690" yWindow="285" windowWidth="13005" windowHeight="11940" tabRatio="949"/>
  </bookViews>
  <sheets>
    <sheet name="Титульный" sheetId="1" r:id="rId1"/>
    <sheet name="Паспорт" sheetId="2" r:id="rId2"/>
    <sheet name="1.Баланс ВС " sheetId="29" r:id="rId3"/>
    <sheet name="КР ВС итоги" sheetId="12" state="hidden" r:id="rId4"/>
    <sheet name="2.КР_ВС" sheetId="36" r:id="rId5"/>
    <sheet name="3.ЭРСБ " sheetId="4" r:id="rId6"/>
    <sheet name="ЭРСБ итоги" sheetId="19" state="hidden" r:id="rId7"/>
    <sheet name="ПКНЭ и ФП ВС" sheetId="21" state="hidden" r:id="rId8"/>
    <sheet name="4.КОАбон ВС" sheetId="28" r:id="rId9"/>
    <sheet name="5-6.ПКНЭ и ФП ВС (2017)" sheetId="31" r:id="rId10"/>
    <sheet name="ОтчетВС 2014" sheetId="25" state="hidden" r:id="rId11"/>
    <sheet name="7.Очет ВС 2015" sheetId="33" r:id="rId12"/>
    <sheet name="8.БалансВО" sheetId="22" r:id="rId13"/>
    <sheet name="КР ВО итоги" sheetId="13" state="hidden" r:id="rId14"/>
    <sheet name="9.КР_ВО" sheetId="35" r:id="rId15"/>
    <sheet name="10.КОАбон ВО" sheetId="30" r:id="rId16"/>
    <sheet name="Надежн.ВО" sheetId="23" state="hidden" r:id="rId17"/>
    <sheet name="11-12.Надежн.ВО (2017)" sheetId="32" r:id="rId18"/>
    <sheet name="ФП и Отчет ВО 2014" sheetId="24" state="hidden" r:id="rId19"/>
    <sheet name="13.Отчет ВО 2015" sheetId="34" r:id="rId20"/>
  </sheets>
  <definedNames>
    <definedName name="_xlnm.Print_Titles" localSheetId="4">'2.КР_ВС'!$5:$5</definedName>
    <definedName name="_xlnm.Print_Titles" localSheetId="5">'3.ЭРСБ '!$12:$12</definedName>
    <definedName name="_xlnm.Print_Titles" localSheetId="12">'8.БалансВО'!#REF!</definedName>
    <definedName name="_xlnm.Print_Titles" localSheetId="14">'9.КР_ВО'!$5:$5</definedName>
    <definedName name="_xlnm.Print_Titles" localSheetId="3">'КР ВС итоги'!$7:$7</definedName>
    <definedName name="_xlnm.Print_Titles" localSheetId="6">'ЭРСБ итоги'!$12:$12</definedName>
    <definedName name="_xlnm.Print_Area" localSheetId="2">'1.Баланс ВС '!$A$1:$J$83</definedName>
    <definedName name="_xlnm.Print_Area" localSheetId="15">'10.КОАбон ВО'!$A$1:$J$13</definedName>
    <definedName name="_xlnm.Print_Area" localSheetId="17">'11-12.Надежн.ВО (2017)'!$A$1:$G$40</definedName>
    <definedName name="_xlnm.Print_Area" localSheetId="19">'13.Отчет ВО 2015'!$A$1:$AM$231</definedName>
    <definedName name="_xlnm.Print_Area" localSheetId="4">'2.КР_ВС'!$D$1:$AH$734</definedName>
    <definedName name="_xlnm.Print_Area" localSheetId="5">'3.ЭРСБ '!$A$1:$F$124</definedName>
    <definedName name="_xlnm.Print_Area" localSheetId="8">'4.КОАбон ВС'!$A$1:$J$13</definedName>
    <definedName name="_xlnm.Print_Area" localSheetId="9">'5-6.ПКНЭ и ФП ВС (2017)'!$A$1:$G$39</definedName>
    <definedName name="_xlnm.Print_Area" localSheetId="12">'8.БалансВО'!$A$1:$J$41</definedName>
    <definedName name="_xlnm.Print_Area" localSheetId="14">'9.КР_ВО'!$A$1:$I$461</definedName>
    <definedName name="_xlnm.Print_Area" localSheetId="13">'КР ВО итоги'!$A$1:$I$74</definedName>
    <definedName name="_xlnm.Print_Area" localSheetId="3">'КР ВС итоги'!$A$1:$AH$77</definedName>
    <definedName name="_xlnm.Print_Area" localSheetId="16">Надежн.ВО!$A$1:$G$31</definedName>
    <definedName name="_xlnm.Print_Area" localSheetId="10">'ОтчетВС 2014'!$A$1:$AD$201</definedName>
    <definedName name="_xlnm.Print_Area" localSheetId="1">Паспорт!$A$1:$BX$19</definedName>
    <definedName name="_xlnm.Print_Area" localSheetId="7">'ПКНЭ и ФП ВС'!$A$1:$G$41</definedName>
    <definedName name="_xlnm.Print_Area" localSheetId="18">'ФП и Отчет ВО 2014'!$A$1:$AF$76</definedName>
    <definedName name="_xlnm.Print_Area" localSheetId="6">'ЭРСБ итоги'!$A$1:$F$59</definedName>
  </definedNames>
  <calcPr calcId="125725"/>
</workbook>
</file>

<file path=xl/calcChain.xml><?xml version="1.0" encoding="utf-8"?>
<calcChain xmlns="http://schemas.openxmlformats.org/spreadsheetml/2006/main">
  <c r="AF711" i="36"/>
  <c r="AF707"/>
  <c r="AF705"/>
  <c r="AF704"/>
  <c r="AF703"/>
  <c r="AF702"/>
  <c r="AF698" s="1"/>
  <c r="AF682"/>
  <c r="AF677"/>
  <c r="AF676"/>
  <c r="AF675" s="1"/>
  <c r="AF671"/>
  <c r="AF669"/>
  <c r="AF667"/>
  <c r="AF665"/>
  <c r="AF663"/>
  <c r="AF661"/>
  <c r="AF659"/>
  <c r="AF657"/>
  <c r="AF652"/>
  <c r="AF613" s="1"/>
  <c r="G29" i="32"/>
  <c r="F29"/>
  <c r="E29"/>
  <c r="D29"/>
  <c r="C29"/>
  <c r="B29"/>
  <c r="G27" i="31"/>
  <c r="F27"/>
  <c r="E27"/>
  <c r="D27"/>
  <c r="C27"/>
  <c r="B27"/>
  <c r="G360" i="35"/>
  <c r="D109" i="4"/>
  <c r="D108"/>
  <c r="G125" i="35"/>
  <c r="G114"/>
  <c r="G107"/>
  <c r="G84"/>
  <c r="G48"/>
  <c r="G37"/>
  <c r="G8"/>
  <c r="G177"/>
  <c r="G265" s="1"/>
  <c r="AF197" i="36"/>
  <c r="AF164"/>
  <c r="AF100"/>
  <c r="AF712" l="1"/>
  <c r="H39" i="22"/>
  <c r="J38"/>
  <c r="I38"/>
  <c r="H38"/>
  <c r="J37"/>
  <c r="I37"/>
  <c r="H37"/>
  <c r="J35"/>
  <c r="I35"/>
  <c r="H35"/>
  <c r="G26"/>
  <c r="F26"/>
  <c r="F7"/>
  <c r="E26"/>
  <c r="D26"/>
  <c r="J7"/>
  <c r="I7"/>
  <c r="H7"/>
  <c r="G7"/>
  <c r="D113" i="4"/>
  <c r="D118" s="1"/>
  <c r="D111"/>
  <c r="D116" s="1"/>
  <c r="D79"/>
  <c r="D114"/>
  <c r="J79" i="29"/>
  <c r="I79"/>
  <c r="H79"/>
  <c r="G79"/>
  <c r="F79"/>
  <c r="E79"/>
  <c r="D79"/>
  <c r="F49"/>
  <c r="F37" s="1"/>
  <c r="E49"/>
  <c r="D49"/>
  <c r="D37" s="1"/>
  <c r="J37"/>
  <c r="I37"/>
  <c r="H37"/>
  <c r="G37"/>
  <c r="E37"/>
  <c r="J25"/>
  <c r="I25"/>
  <c r="H25"/>
  <c r="G20"/>
  <c r="F20"/>
  <c r="J19"/>
  <c r="I19"/>
  <c r="H19"/>
  <c r="G19"/>
  <c r="F19"/>
  <c r="D19"/>
  <c r="J18"/>
  <c r="I18"/>
  <c r="H18"/>
  <c r="G18"/>
  <c r="F18"/>
  <c r="D18"/>
  <c r="J9"/>
  <c r="I9"/>
  <c r="H9"/>
  <c r="G9"/>
  <c r="F9"/>
  <c r="AF473" i="36"/>
  <c r="AF472"/>
  <c r="AF469"/>
  <c r="AF468"/>
  <c r="AF330"/>
  <c r="AF329" s="1"/>
  <c r="AF306"/>
  <c r="AF297"/>
  <c r="AF286"/>
  <c r="AF279"/>
  <c r="AF248"/>
  <c r="AF241"/>
  <c r="AF188"/>
  <c r="AF129"/>
  <c r="AF112"/>
  <c r="AF8"/>
  <c r="G426" i="35"/>
  <c r="G415"/>
  <c r="G408"/>
  <c r="G404"/>
  <c r="G398"/>
  <c r="G393"/>
  <c r="G390"/>
  <c r="G363"/>
  <c r="G362" s="1"/>
  <c r="G439" s="1"/>
  <c r="G438"/>
  <c r="G162"/>
  <c r="G160" s="1"/>
  <c r="G151"/>
  <c r="G148"/>
  <c r="G144"/>
  <c r="G139"/>
  <c r="G136"/>
  <c r="G133"/>
  <c r="G130"/>
  <c r="G120"/>
  <c r="G70"/>
  <c r="G63"/>
  <c r="J299" i="33"/>
  <c r="J298"/>
  <c r="J297"/>
  <c r="J296"/>
  <c r="J295"/>
  <c r="J294"/>
  <c r="J293"/>
  <c r="J292"/>
  <c r="J291"/>
  <c r="J290"/>
  <c r="J289"/>
  <c r="J288"/>
  <c r="J287"/>
  <c r="K286"/>
  <c r="H286"/>
  <c r="AI285"/>
  <c r="K285"/>
  <c r="J285"/>
  <c r="AI284"/>
  <c r="K284" s="1"/>
  <c r="J284"/>
  <c r="AI283"/>
  <c r="K283" s="1"/>
  <c r="J283"/>
  <c r="AI282"/>
  <c r="K282" s="1"/>
  <c r="J282"/>
  <c r="K281"/>
  <c r="J281"/>
  <c r="AI280"/>
  <c r="AE280"/>
  <c r="AC280"/>
  <c r="AA280"/>
  <c r="Y280"/>
  <c r="W280"/>
  <c r="U280"/>
  <c r="J280"/>
  <c r="J279"/>
  <c r="AC278"/>
  <c r="K278" s="1"/>
  <c r="J278"/>
  <c r="AI277"/>
  <c r="K277"/>
  <c r="J277"/>
  <c r="K276"/>
  <c r="J276"/>
  <c r="AI275"/>
  <c r="K275" s="1"/>
  <c r="J275"/>
  <c r="AI274"/>
  <c r="K274" s="1"/>
  <c r="J274"/>
  <c r="J273"/>
  <c r="H272"/>
  <c r="AI271"/>
  <c r="AG271"/>
  <c r="J271"/>
  <c r="AI270"/>
  <c r="AG270"/>
  <c r="K270"/>
  <c r="J270"/>
  <c r="AI269"/>
  <c r="AG269"/>
  <c r="J269"/>
  <c r="AI268"/>
  <c r="AG268"/>
  <c r="AC268"/>
  <c r="K268"/>
  <c r="J268"/>
  <c r="H267"/>
  <c r="J266"/>
  <c r="Q265"/>
  <c r="J265"/>
  <c r="W264"/>
  <c r="K264" s="1"/>
  <c r="J264"/>
  <c r="W263"/>
  <c r="K263" s="1"/>
  <c r="J263"/>
  <c r="K262"/>
  <c r="J262"/>
  <c r="H261"/>
  <c r="K260"/>
  <c r="J260"/>
  <c r="AC259"/>
  <c r="J259"/>
  <c r="K258"/>
  <c r="K257" s="1"/>
  <c r="J258"/>
  <c r="J257" s="1"/>
  <c r="H257"/>
  <c r="J256"/>
  <c r="K255"/>
  <c r="J255"/>
  <c r="K254"/>
  <c r="J254"/>
  <c r="K253"/>
  <c r="J253"/>
  <c r="K252"/>
  <c r="J252"/>
  <c r="K251"/>
  <c r="J251"/>
  <c r="K250"/>
  <c r="J250"/>
  <c r="K249"/>
  <c r="J249"/>
  <c r="K248"/>
  <c r="J248"/>
  <c r="K247"/>
  <c r="J247"/>
  <c r="K246"/>
  <c r="J246"/>
  <c r="K245"/>
  <c r="J245"/>
  <c r="K244"/>
  <c r="J244"/>
  <c r="K243"/>
  <c r="J243"/>
  <c r="K242"/>
  <c r="K241" s="1"/>
  <c r="J242"/>
  <c r="J241" s="1"/>
  <c r="H241"/>
  <c r="J239"/>
  <c r="AC238"/>
  <c r="K238" s="1"/>
  <c r="K236" s="1"/>
  <c r="J238"/>
  <c r="AI237"/>
  <c r="AG237"/>
  <c r="AE237"/>
  <c r="AC237"/>
  <c r="AA237"/>
  <c r="Y237"/>
  <c r="W237"/>
  <c r="U237"/>
  <c r="S237"/>
  <c r="Q237"/>
  <c r="O237"/>
  <c r="J237"/>
  <c r="J236"/>
  <c r="H236"/>
  <c r="J235"/>
  <c r="J234"/>
  <c r="J233"/>
  <c r="J232"/>
  <c r="J231"/>
  <c r="J230"/>
  <c r="J229"/>
  <c r="J228"/>
  <c r="J227"/>
  <c r="J226"/>
  <c r="J225"/>
  <c r="J224"/>
  <c r="J223"/>
  <c r="J222"/>
  <c r="J221"/>
  <c r="J220"/>
  <c r="J219"/>
  <c r="J218"/>
  <c r="J217"/>
  <c r="J216"/>
  <c r="J215"/>
  <c r="W214"/>
  <c r="U214"/>
  <c r="K214" s="1"/>
  <c r="J214"/>
  <c r="AI213"/>
  <c r="K213" s="1"/>
  <c r="J213"/>
  <c r="AI212"/>
  <c r="K212"/>
  <c r="J212"/>
  <c r="AI211"/>
  <c r="K211" s="1"/>
  <c r="J211"/>
  <c r="AI210"/>
  <c r="K210" s="1"/>
  <c r="J210"/>
  <c r="J209" s="1"/>
  <c r="H209"/>
  <c r="J207"/>
  <c r="AI206"/>
  <c r="K206"/>
  <c r="AI205"/>
  <c r="K205"/>
  <c r="AI204"/>
  <c r="K204"/>
  <c r="AI203"/>
  <c r="K203"/>
  <c r="AI202"/>
  <c r="K202"/>
  <c r="AI201"/>
  <c r="K201"/>
  <c r="AI200"/>
  <c r="K200"/>
  <c r="AG199"/>
  <c r="K199"/>
  <c r="J199"/>
  <c r="AG198"/>
  <c r="K198" s="1"/>
  <c r="J198"/>
  <c r="AE197"/>
  <c r="K197" s="1"/>
  <c r="J197"/>
  <c r="AE196"/>
  <c r="K196" s="1"/>
  <c r="J196"/>
  <c r="AE195"/>
  <c r="K195"/>
  <c r="J195"/>
  <c r="AI194"/>
  <c r="AC194"/>
  <c r="J194"/>
  <c r="AC193"/>
  <c r="K193"/>
  <c r="J193"/>
  <c r="AC192"/>
  <c r="K192" s="1"/>
  <c r="J192"/>
  <c r="AE191"/>
  <c r="K191" s="1"/>
  <c r="J191"/>
  <c r="J190"/>
  <c r="AC189"/>
  <c r="K189" s="1"/>
  <c r="J189"/>
  <c r="J188"/>
  <c r="K187"/>
  <c r="J187"/>
  <c r="AI186"/>
  <c r="K186" s="1"/>
  <c r="J186"/>
  <c r="AI185"/>
  <c r="K185" s="1"/>
  <c r="J185"/>
  <c r="Q184"/>
  <c r="K184"/>
  <c r="J184"/>
  <c r="W183"/>
  <c r="Q183"/>
  <c r="K183"/>
  <c r="J183"/>
  <c r="AI182"/>
  <c r="K182" s="1"/>
  <c r="J182"/>
  <c r="U181"/>
  <c r="S181"/>
  <c r="J181"/>
  <c r="AG180"/>
  <c r="K180" s="1"/>
  <c r="J180"/>
  <c r="AI179"/>
  <c r="AG179"/>
  <c r="AE179"/>
  <c r="J179"/>
  <c r="AC178"/>
  <c r="K178"/>
  <c r="AA178"/>
  <c r="J178"/>
  <c r="AC177"/>
  <c r="K177"/>
  <c r="J177"/>
  <c r="AI176"/>
  <c r="K176" s="1"/>
  <c r="J176"/>
  <c r="AI175"/>
  <c r="AE175"/>
  <c r="AC175"/>
  <c r="K175" s="1"/>
  <c r="J175"/>
  <c r="AG174"/>
  <c r="AA174"/>
  <c r="J174"/>
  <c r="Y173"/>
  <c r="K173" s="1"/>
  <c r="J173"/>
  <c r="Y172"/>
  <c r="K172" s="1"/>
  <c r="J172"/>
  <c r="H171"/>
  <c r="K169"/>
  <c r="J169"/>
  <c r="K168"/>
  <c r="J168"/>
  <c r="K167"/>
  <c r="J167"/>
  <c r="K166"/>
  <c r="J166"/>
  <c r="K165"/>
  <c r="J165"/>
  <c r="K164"/>
  <c r="J164"/>
  <c r="K163"/>
  <c r="J163"/>
  <c r="K162"/>
  <c r="K161" s="1"/>
  <c r="J162"/>
  <c r="H161"/>
  <c r="AI108"/>
  <c r="K108" s="1"/>
  <c r="J108"/>
  <c r="K106"/>
  <c r="J106"/>
  <c r="AI105"/>
  <c r="J105"/>
  <c r="AI103"/>
  <c r="K103"/>
  <c r="J103"/>
  <c r="AI101"/>
  <c r="K101"/>
  <c r="J101"/>
  <c r="AI99"/>
  <c r="K99"/>
  <c r="J99"/>
  <c r="AI97"/>
  <c r="AG97"/>
  <c r="AE97"/>
  <c r="AC97"/>
  <c r="K97"/>
  <c r="J97"/>
  <c r="K95"/>
  <c r="J95"/>
  <c r="K93"/>
  <c r="J93"/>
  <c r="K91"/>
  <c r="J91"/>
  <c r="K89"/>
  <c r="J89"/>
  <c r="K87"/>
  <c r="J87"/>
  <c r="K85"/>
  <c r="J85"/>
  <c r="K83"/>
  <c r="J83"/>
  <c r="AI81"/>
  <c r="K81" s="1"/>
  <c r="J81"/>
  <c r="AI79"/>
  <c r="K79" s="1"/>
  <c r="J79"/>
  <c r="AI77"/>
  <c r="K77" s="1"/>
  <c r="J77"/>
  <c r="K75"/>
  <c r="J75"/>
  <c r="K73"/>
  <c r="J73"/>
  <c r="K71"/>
  <c r="J71"/>
  <c r="K69"/>
  <c r="J69"/>
  <c r="K67"/>
  <c r="J67"/>
  <c r="K65"/>
  <c r="J65"/>
  <c r="K63"/>
  <c r="J63"/>
  <c r="K61"/>
  <c r="J61"/>
  <c r="K59"/>
  <c r="J59"/>
  <c r="K57"/>
  <c r="J57"/>
  <c r="J55"/>
  <c r="AI53"/>
  <c r="K53"/>
  <c r="J53"/>
  <c r="K51"/>
  <c r="J51"/>
  <c r="K49"/>
  <c r="J49"/>
  <c r="AI47"/>
  <c r="K47" s="1"/>
  <c r="J47"/>
  <c r="K45"/>
  <c r="J45"/>
  <c r="K43"/>
  <c r="J43"/>
  <c r="AI41"/>
  <c r="K41" s="1"/>
  <c r="J41"/>
  <c r="AI39"/>
  <c r="K39"/>
  <c r="J39"/>
  <c r="AI37"/>
  <c r="K37" s="1"/>
  <c r="J37"/>
  <c r="K35"/>
  <c r="J35"/>
  <c r="AI33"/>
  <c r="K33" s="1"/>
  <c r="J33"/>
  <c r="AE31"/>
  <c r="J31"/>
  <c r="K29"/>
  <c r="J29"/>
  <c r="K27"/>
  <c r="J27"/>
  <c r="K25"/>
  <c r="J25"/>
  <c r="AI23"/>
  <c r="K23" s="1"/>
  <c r="J23"/>
  <c r="J21"/>
  <c r="AI19"/>
  <c r="K19"/>
  <c r="J19"/>
  <c r="AI17"/>
  <c r="K17" s="1"/>
  <c r="J17"/>
  <c r="M16"/>
  <c r="J15"/>
  <c r="AE13"/>
  <c r="AC13"/>
  <c r="AA13"/>
  <c r="Y13"/>
  <c r="J13"/>
  <c r="J12" s="1"/>
  <c r="H12"/>
  <c r="Z223" i="34"/>
  <c r="L223"/>
  <c r="I216"/>
  <c r="I215"/>
  <c r="I214"/>
  <c r="I213"/>
  <c r="I212"/>
  <c r="I211"/>
  <c r="I210"/>
  <c r="I209"/>
  <c r="I208"/>
  <c r="I207"/>
  <c r="I206"/>
  <c r="I205"/>
  <c r="I204"/>
  <c r="I203"/>
  <c r="J202"/>
  <c r="G202"/>
  <c r="J201"/>
  <c r="J190"/>
  <c r="I177"/>
  <c r="AH176"/>
  <c r="J176"/>
  <c r="J173" s="1"/>
  <c r="I176"/>
  <c r="I175"/>
  <c r="I174"/>
  <c r="G173"/>
  <c r="J172"/>
  <c r="J171"/>
  <c r="I172"/>
  <c r="I171"/>
  <c r="G171"/>
  <c r="AB169"/>
  <c r="J169" s="1"/>
  <c r="J168" s="1"/>
  <c r="I169"/>
  <c r="I168"/>
  <c r="G168"/>
  <c r="J167"/>
  <c r="I167"/>
  <c r="J166"/>
  <c r="J165" s="1"/>
  <c r="I166"/>
  <c r="I165" s="1"/>
  <c r="G165"/>
  <c r="AH164"/>
  <c r="J164" s="1"/>
  <c r="J163" s="1"/>
  <c r="I164"/>
  <c r="I163" s="1"/>
  <c r="G163"/>
  <c r="J156"/>
  <c r="AH155"/>
  <c r="J155"/>
  <c r="J152" s="1"/>
  <c r="I155"/>
  <c r="I152" s="1"/>
  <c r="G152"/>
  <c r="AH151"/>
  <c r="J151"/>
  <c r="J150" s="1"/>
  <c r="I151"/>
  <c r="I150" s="1"/>
  <c r="G150"/>
  <c r="J149"/>
  <c r="I149"/>
  <c r="AH148"/>
  <c r="J148"/>
  <c r="J147" s="1"/>
  <c r="I148"/>
  <c r="G147"/>
  <c r="AH146"/>
  <c r="J146"/>
  <c r="I146"/>
  <c r="AH145"/>
  <c r="J145" s="1"/>
  <c r="I145"/>
  <c r="J144"/>
  <c r="I144"/>
  <c r="I143" s="1"/>
  <c r="G143"/>
  <c r="J133"/>
  <c r="I133"/>
  <c r="J132"/>
  <c r="J131" s="1"/>
  <c r="I132"/>
  <c r="I131" s="1"/>
  <c r="G131"/>
  <c r="AH130"/>
  <c r="J130" s="1"/>
  <c r="I130"/>
  <c r="J129"/>
  <c r="I129"/>
  <c r="J128"/>
  <c r="I128"/>
  <c r="I127" s="1"/>
  <c r="G127"/>
  <c r="AH126"/>
  <c r="J126" s="1"/>
  <c r="AB125"/>
  <c r="P125"/>
  <c r="I125"/>
  <c r="J124"/>
  <c r="I124"/>
  <c r="J123"/>
  <c r="I123"/>
  <c r="AH122"/>
  <c r="J122" s="1"/>
  <c r="I122"/>
  <c r="AH121"/>
  <c r="J121" s="1"/>
  <c r="I121"/>
  <c r="J120"/>
  <c r="I120"/>
  <c r="AB119"/>
  <c r="I119"/>
  <c r="J118"/>
  <c r="I118"/>
  <c r="AH117"/>
  <c r="J117" s="1"/>
  <c r="I117"/>
  <c r="AH116"/>
  <c r="J116"/>
  <c r="I116"/>
  <c r="AH115"/>
  <c r="J115" s="1"/>
  <c r="I115"/>
  <c r="I114" s="1"/>
  <c r="I113" s="1"/>
  <c r="G114"/>
  <c r="G113" s="1"/>
  <c r="J108"/>
  <c r="J107"/>
  <c r="J103"/>
  <c r="J102"/>
  <c r="J101"/>
  <c r="J100"/>
  <c r="J99"/>
  <c r="J93"/>
  <c r="J92"/>
  <c r="J85"/>
  <c r="J83"/>
  <c r="N82"/>
  <c r="J82" s="1"/>
  <c r="J81"/>
  <c r="I81"/>
  <c r="J80"/>
  <c r="J79"/>
  <c r="J78"/>
  <c r="AH77"/>
  <c r="J76"/>
  <c r="J75"/>
  <c r="J74"/>
  <c r="J73"/>
  <c r="J72"/>
  <c r="J71"/>
  <c r="J70"/>
  <c r="J69"/>
  <c r="J68"/>
  <c r="J67"/>
  <c r="I67"/>
  <c r="I66"/>
  <c r="J65"/>
  <c r="I65"/>
  <c r="I64"/>
  <c r="AD63"/>
  <c r="J63" s="1"/>
  <c r="I63"/>
  <c r="I62"/>
  <c r="G62"/>
  <c r="V61"/>
  <c r="J61"/>
  <c r="I61"/>
  <c r="X60"/>
  <c r="J60" s="1"/>
  <c r="I60"/>
  <c r="V59"/>
  <c r="V223"/>
  <c r="R59"/>
  <c r="R223"/>
  <c r="P59"/>
  <c r="J59"/>
  <c r="I59"/>
  <c r="I58"/>
  <c r="G58"/>
  <c r="AH57"/>
  <c r="J57" s="1"/>
  <c r="I57"/>
  <c r="AH56"/>
  <c r="J56" s="1"/>
  <c r="I56"/>
  <c r="J55"/>
  <c r="I55"/>
  <c r="J54"/>
  <c r="I54"/>
  <c r="AH53"/>
  <c r="AF53"/>
  <c r="I53"/>
  <c r="AH52"/>
  <c r="J52" s="1"/>
  <c r="I52"/>
  <c r="AH51"/>
  <c r="J51" s="1"/>
  <c r="I51"/>
  <c r="I50" s="1"/>
  <c r="G50"/>
  <c r="T48"/>
  <c r="I48"/>
  <c r="J47"/>
  <c r="I47"/>
  <c r="AH46"/>
  <c r="I46"/>
  <c r="AH45"/>
  <c r="AF45"/>
  <c r="I45"/>
  <c r="AH44"/>
  <c r="AF44"/>
  <c r="J44" s="1"/>
  <c r="J43" s="1"/>
  <c r="I44"/>
  <c r="I43" s="1"/>
  <c r="G43"/>
  <c r="AD41"/>
  <c r="X41"/>
  <c r="I41"/>
  <c r="T39"/>
  <c r="P39"/>
  <c r="J39" s="1"/>
  <c r="I39"/>
  <c r="AD37"/>
  <c r="AD223" s="1"/>
  <c r="X37"/>
  <c r="P37"/>
  <c r="P223" s="1"/>
  <c r="I37"/>
  <c r="J35"/>
  <c r="I35"/>
  <c r="N33"/>
  <c r="I33"/>
  <c r="J31"/>
  <c r="I31"/>
  <c r="AH30"/>
  <c r="AH29"/>
  <c r="J29" s="1"/>
  <c r="I29"/>
  <c r="AH27"/>
  <c r="J27"/>
  <c r="I27"/>
  <c r="AH25"/>
  <c r="J25" s="1"/>
  <c r="I25"/>
  <c r="I23"/>
  <c r="AH21"/>
  <c r="I21"/>
  <c r="AH19"/>
  <c r="J19"/>
  <c r="I19"/>
  <c r="I17"/>
  <c r="AH15"/>
  <c r="I15"/>
  <c r="I14" s="1"/>
  <c r="G14"/>
  <c r="J125"/>
  <c r="D184" i="25"/>
  <c r="D183"/>
  <c r="D182"/>
  <c r="D181"/>
  <c r="D180"/>
  <c r="D179"/>
  <c r="AB178"/>
  <c r="AB188" s="1"/>
  <c r="AA178"/>
  <c r="AA188" s="1"/>
  <c r="Z178"/>
  <c r="Z188" s="1"/>
  <c r="Y178"/>
  <c r="Y188" s="1"/>
  <c r="X178"/>
  <c r="X188" s="1"/>
  <c r="W178"/>
  <c r="W188" s="1"/>
  <c r="V178"/>
  <c r="V188" s="1"/>
  <c r="U178"/>
  <c r="U188" s="1"/>
  <c r="T178"/>
  <c r="T188" s="1"/>
  <c r="S178"/>
  <c r="S188" s="1"/>
  <c r="R178"/>
  <c r="R188" s="1"/>
  <c r="Q178"/>
  <c r="Q188" s="1"/>
  <c r="P178"/>
  <c r="P188" s="1"/>
  <c r="O178"/>
  <c r="O188" s="1"/>
  <c r="N178"/>
  <c r="N188" s="1"/>
  <c r="M178"/>
  <c r="M188" s="1"/>
  <c r="L178"/>
  <c r="L188" s="1"/>
  <c r="K178"/>
  <c r="K188" s="1"/>
  <c r="J178"/>
  <c r="J188" s="1"/>
  <c r="I178"/>
  <c r="I188" s="1"/>
  <c r="H178"/>
  <c r="H188" s="1"/>
  <c r="G178"/>
  <c r="G188" s="1"/>
  <c r="F178"/>
  <c r="F188" s="1"/>
  <c r="E178"/>
  <c r="E188" s="1"/>
  <c r="C178"/>
  <c r="C188" s="1"/>
  <c r="D156"/>
  <c r="D155" s="1"/>
  <c r="D187" s="1"/>
  <c r="AB155"/>
  <c r="AB187"/>
  <c r="AA155"/>
  <c r="AA187"/>
  <c r="Z155"/>
  <c r="Z187"/>
  <c r="Y155"/>
  <c r="Y187"/>
  <c r="X155"/>
  <c r="X187"/>
  <c r="W155"/>
  <c r="W187"/>
  <c r="V155"/>
  <c r="V187" s="1"/>
  <c r="U155"/>
  <c r="U187" s="1"/>
  <c r="T155"/>
  <c r="T187" s="1"/>
  <c r="S155"/>
  <c r="S187" s="1"/>
  <c r="R155"/>
  <c r="R187" s="1"/>
  <c r="Q155"/>
  <c r="Q187" s="1"/>
  <c r="P155"/>
  <c r="P187" s="1"/>
  <c r="O155"/>
  <c r="O187" s="1"/>
  <c r="N155"/>
  <c r="N187" s="1"/>
  <c r="M155"/>
  <c r="M187" s="1"/>
  <c r="L155"/>
  <c r="L187" s="1"/>
  <c r="K155"/>
  <c r="K187" s="1"/>
  <c r="J155"/>
  <c r="J187" s="1"/>
  <c r="I155"/>
  <c r="I187" s="1"/>
  <c r="H155"/>
  <c r="H187" s="1"/>
  <c r="G155"/>
  <c r="G187" s="1"/>
  <c r="F155"/>
  <c r="F187" s="1"/>
  <c r="E155"/>
  <c r="E187" s="1"/>
  <c r="C155"/>
  <c r="C187" s="1"/>
  <c r="D154"/>
  <c r="D153" s="1"/>
  <c r="AB153"/>
  <c r="AA153"/>
  <c r="Z153"/>
  <c r="Y153"/>
  <c r="X153"/>
  <c r="W153"/>
  <c r="V153"/>
  <c r="U153"/>
  <c r="T153"/>
  <c r="S153"/>
  <c r="R153"/>
  <c r="Q153"/>
  <c r="P153"/>
  <c r="O153"/>
  <c r="N153"/>
  <c r="M153"/>
  <c r="L153"/>
  <c r="K153"/>
  <c r="J153"/>
  <c r="I153"/>
  <c r="H153"/>
  <c r="G153"/>
  <c r="F153"/>
  <c r="E153"/>
  <c r="C153"/>
  <c r="D152"/>
  <c r="D151"/>
  <c r="D150" s="1"/>
  <c r="AB150"/>
  <c r="AA150"/>
  <c r="Z150"/>
  <c r="Y150"/>
  <c r="X150"/>
  <c r="W150"/>
  <c r="V150"/>
  <c r="U150"/>
  <c r="T150"/>
  <c r="S150"/>
  <c r="R150"/>
  <c r="Q150"/>
  <c r="P150"/>
  <c r="O150"/>
  <c r="N150"/>
  <c r="M150"/>
  <c r="L150"/>
  <c r="K150"/>
  <c r="J150"/>
  <c r="I150"/>
  <c r="H150"/>
  <c r="G150"/>
  <c r="F150"/>
  <c r="E150"/>
  <c r="C150"/>
  <c r="D149"/>
  <c r="D148"/>
  <c r="D147"/>
  <c r="D146"/>
  <c r="D145"/>
  <c r="D144"/>
  <c r="D143"/>
  <c r="D142"/>
  <c r="D141"/>
  <c r="D140"/>
  <c r="D139"/>
  <c r="D138"/>
  <c r="D137"/>
  <c r="D136"/>
  <c r="D134" s="1"/>
  <c r="AB134"/>
  <c r="AA134"/>
  <c r="Z134"/>
  <c r="Y134"/>
  <c r="X134"/>
  <c r="W134"/>
  <c r="V134"/>
  <c r="U134"/>
  <c r="T134"/>
  <c r="S134"/>
  <c r="R134"/>
  <c r="Q134"/>
  <c r="P134"/>
  <c r="O134"/>
  <c r="N134"/>
  <c r="M134"/>
  <c r="L134"/>
  <c r="K134"/>
  <c r="J134"/>
  <c r="I134"/>
  <c r="H134"/>
  <c r="G134"/>
  <c r="F134"/>
  <c r="E134"/>
  <c r="C134"/>
  <c r="AB133"/>
  <c r="R133"/>
  <c r="AB132"/>
  <c r="AB131" s="1"/>
  <c r="AB186" s="1"/>
  <c r="Z132"/>
  <c r="Z131" s="1"/>
  <c r="X132"/>
  <c r="X131" s="1"/>
  <c r="V132"/>
  <c r="V131" s="1"/>
  <c r="T132"/>
  <c r="T131" s="1"/>
  <c r="R132"/>
  <c r="P132"/>
  <c r="P131" s="1"/>
  <c r="N132"/>
  <c r="N131" s="1"/>
  <c r="L132"/>
  <c r="J132"/>
  <c r="J131"/>
  <c r="H132"/>
  <c r="F132"/>
  <c r="D132" s="1"/>
  <c r="AA131"/>
  <c r="Y131"/>
  <c r="W131"/>
  <c r="U131"/>
  <c r="S131"/>
  <c r="Q131"/>
  <c r="O131"/>
  <c r="M131"/>
  <c r="L131"/>
  <c r="K131"/>
  <c r="I131"/>
  <c r="G131"/>
  <c r="E131"/>
  <c r="C131"/>
  <c r="D130"/>
  <c r="D129" s="1"/>
  <c r="AB129"/>
  <c r="AA129"/>
  <c r="Z129"/>
  <c r="Y129"/>
  <c r="X129"/>
  <c r="W129"/>
  <c r="V129"/>
  <c r="U129"/>
  <c r="T129"/>
  <c r="S129"/>
  <c r="R129"/>
  <c r="Q129"/>
  <c r="P129"/>
  <c r="O129"/>
  <c r="N129"/>
  <c r="M129"/>
  <c r="L129"/>
  <c r="K129"/>
  <c r="J129"/>
  <c r="I129"/>
  <c r="H129"/>
  <c r="G129"/>
  <c r="F129"/>
  <c r="E129"/>
  <c r="C129"/>
  <c r="D128"/>
  <c r="D127"/>
  <c r="D126"/>
  <c r="D125"/>
  <c r="D124"/>
  <c r="D123" s="1"/>
  <c r="AB123"/>
  <c r="AA123"/>
  <c r="Z123"/>
  <c r="Y123"/>
  <c r="X123"/>
  <c r="W123"/>
  <c r="V123"/>
  <c r="U123"/>
  <c r="T123"/>
  <c r="S123"/>
  <c r="R123"/>
  <c r="Q123"/>
  <c r="P123"/>
  <c r="O123"/>
  <c r="N123"/>
  <c r="M123"/>
  <c r="L123"/>
  <c r="K123"/>
  <c r="J123"/>
  <c r="I123"/>
  <c r="H123"/>
  <c r="G123"/>
  <c r="F123"/>
  <c r="E123"/>
  <c r="C123"/>
  <c r="D122"/>
  <c r="D121"/>
  <c r="D120"/>
  <c r="X119"/>
  <c r="D119"/>
  <c r="D118"/>
  <c r="D117"/>
  <c r="D116"/>
  <c r="D115"/>
  <c r="D114"/>
  <c r="D113"/>
  <c r="D112"/>
  <c r="D111"/>
  <c r="D110"/>
  <c r="D109"/>
  <c r="AB109"/>
  <c r="AA109"/>
  <c r="Z109"/>
  <c r="Y109"/>
  <c r="W109"/>
  <c r="V109"/>
  <c r="U109"/>
  <c r="T109"/>
  <c r="S109"/>
  <c r="R109"/>
  <c r="Q109"/>
  <c r="P109"/>
  <c r="O109"/>
  <c r="N109"/>
  <c r="M109"/>
  <c r="L109"/>
  <c r="K109"/>
  <c r="J109"/>
  <c r="I109"/>
  <c r="H109"/>
  <c r="G109"/>
  <c r="F109"/>
  <c r="E109"/>
  <c r="C109"/>
  <c r="AB108"/>
  <c r="Z108"/>
  <c r="Z11"/>
  <c r="X108"/>
  <c r="V108"/>
  <c r="T108"/>
  <c r="T11" s="1"/>
  <c r="R108"/>
  <c r="R11"/>
  <c r="P108"/>
  <c r="N108"/>
  <c r="L108"/>
  <c r="J108"/>
  <c r="H108"/>
  <c r="D108"/>
  <c r="F108"/>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X62"/>
  <c r="X11" s="1"/>
  <c r="V62"/>
  <c r="D61"/>
  <c r="D60"/>
  <c r="D59"/>
  <c r="D58"/>
  <c r="D54"/>
  <c r="D53"/>
  <c r="D52"/>
  <c r="D51"/>
  <c r="D50"/>
  <c r="D49"/>
  <c r="D48"/>
  <c r="D47"/>
  <c r="D46"/>
  <c r="D45"/>
  <c r="D44"/>
  <c r="D43"/>
  <c r="D42"/>
  <c r="D41"/>
  <c r="D40"/>
  <c r="D39"/>
  <c r="D38"/>
  <c r="D37"/>
  <c r="D36"/>
  <c r="D35"/>
  <c r="D34"/>
  <c r="D33"/>
  <c r="D32"/>
  <c r="D31"/>
  <c r="D30"/>
  <c r="D29"/>
  <c r="AB28"/>
  <c r="D28" s="1"/>
  <c r="AB27"/>
  <c r="D27" s="1"/>
  <c r="D26"/>
  <c r="D25"/>
  <c r="D23"/>
  <c r="D22"/>
  <c r="D21"/>
  <c r="D20"/>
  <c r="D19"/>
  <c r="D18"/>
  <c r="D17"/>
  <c r="D16"/>
  <c r="AB15"/>
  <c r="D15" s="1"/>
  <c r="D14"/>
  <c r="D13"/>
  <c r="D12"/>
  <c r="AA11"/>
  <c r="AA186" s="1"/>
  <c r="Y11"/>
  <c r="Y186" s="1"/>
  <c r="W11"/>
  <c r="W186" s="1"/>
  <c r="U11"/>
  <c r="U186"/>
  <c r="S11"/>
  <c r="Q11"/>
  <c r="P11"/>
  <c r="O11"/>
  <c r="O186" s="1"/>
  <c r="N11"/>
  <c r="M11"/>
  <c r="L11"/>
  <c r="K11"/>
  <c r="K186" s="1"/>
  <c r="J11"/>
  <c r="I11"/>
  <c r="G11"/>
  <c r="G186" s="1"/>
  <c r="F11"/>
  <c r="E11"/>
  <c r="E186" s="1"/>
  <c r="C11"/>
  <c r="C186" s="1"/>
  <c r="AB67" i="24"/>
  <c r="AA67"/>
  <c r="Z67"/>
  <c r="Y67"/>
  <c r="X67"/>
  <c r="W67"/>
  <c r="V67"/>
  <c r="U67"/>
  <c r="T67"/>
  <c r="S67"/>
  <c r="R67"/>
  <c r="Q67"/>
  <c r="P67"/>
  <c r="O67"/>
  <c r="N67"/>
  <c r="M67"/>
  <c r="L67"/>
  <c r="K67"/>
  <c r="J67"/>
  <c r="I67"/>
  <c r="H67"/>
  <c r="G67"/>
  <c r="F67"/>
  <c r="E67"/>
  <c r="AA65"/>
  <c r="Z65"/>
  <c r="X65"/>
  <c r="V65"/>
  <c r="U65"/>
  <c r="T65"/>
  <c r="R65"/>
  <c r="P65"/>
  <c r="O65"/>
  <c r="N65"/>
  <c r="M65"/>
  <c r="L65"/>
  <c r="K65"/>
  <c r="J65"/>
  <c r="I65"/>
  <c r="H65"/>
  <c r="G65"/>
  <c r="F65"/>
  <c r="E65"/>
  <c r="D58"/>
  <c r="D67" s="1"/>
  <c r="C58"/>
  <c r="C67" s="1"/>
  <c r="D57"/>
  <c r="AB56"/>
  <c r="D56"/>
  <c r="AB55"/>
  <c r="D55"/>
  <c r="D54"/>
  <c r="C53"/>
  <c r="D52"/>
  <c r="D51"/>
  <c r="D50" s="1"/>
  <c r="C50"/>
  <c r="D49"/>
  <c r="D48"/>
  <c r="C47"/>
  <c r="D46"/>
  <c r="D45"/>
  <c r="D44"/>
  <c r="C43"/>
  <c r="D42"/>
  <c r="D41"/>
  <c r="C41"/>
  <c r="AB40"/>
  <c r="D40" s="1"/>
  <c r="AB39"/>
  <c r="D39" s="1"/>
  <c r="AB38"/>
  <c r="D38" s="1"/>
  <c r="AB37"/>
  <c r="D37"/>
  <c r="C36"/>
  <c r="D35"/>
  <c r="D34"/>
  <c r="D33"/>
  <c r="D32"/>
  <c r="D31"/>
  <c r="D30"/>
  <c r="D29"/>
  <c r="D28"/>
  <c r="D27"/>
  <c r="D26"/>
  <c r="AB25"/>
  <c r="D25" s="1"/>
  <c r="D23" s="1"/>
  <c r="AB24"/>
  <c r="C23"/>
  <c r="C65" s="1"/>
  <c r="D47"/>
  <c r="AF53" i="12"/>
  <c r="AF54"/>
  <c r="AF55"/>
  <c r="AF56"/>
  <c r="AF57"/>
  <c r="AF58"/>
  <c r="AF59"/>
  <c r="AF60"/>
  <c r="AF61"/>
  <c r="AF52"/>
  <c r="AF51" s="1"/>
  <c r="AF63" s="1"/>
  <c r="AF33"/>
  <c r="D17" i="19"/>
  <c r="D22"/>
  <c r="D37"/>
  <c r="D32"/>
  <c r="D27"/>
  <c r="G12" i="13"/>
  <c r="G9"/>
  <c r="G20" s="1"/>
  <c r="G69"/>
  <c r="G68"/>
  <c r="G67"/>
  <c r="G66"/>
  <c r="G65"/>
  <c r="G64"/>
  <c r="G63"/>
  <c r="G56"/>
  <c r="G55"/>
  <c r="G54"/>
  <c r="G53"/>
  <c r="G52"/>
  <c r="G51"/>
  <c r="G50"/>
  <c r="G48" s="1"/>
  <c r="G59" s="1"/>
  <c r="G44"/>
  <c r="G43"/>
  <c r="G42"/>
  <c r="G41"/>
  <c r="G40"/>
  <c r="G39"/>
  <c r="G38"/>
  <c r="G37"/>
  <c r="G22"/>
  <c r="G33" s="1"/>
  <c r="AF9" i="12"/>
  <c r="AF21" s="1"/>
  <c r="AF75"/>
  <c r="AF65"/>
  <c r="AF77" s="1"/>
  <c r="AF47"/>
  <c r="AF37"/>
  <c r="AF49" s="1"/>
  <c r="AF34"/>
  <c r="AF32"/>
  <c r="AF31"/>
  <c r="AF30"/>
  <c r="AF28"/>
  <c r="AF27"/>
  <c r="AF26"/>
  <c r="AF25"/>
  <c r="AF29"/>
  <c r="AF24"/>
  <c r="AF23" s="1"/>
  <c r="D24" i="24"/>
  <c r="J37" i="34"/>
  <c r="X109" i="25"/>
  <c r="G170" i="34"/>
  <c r="G147" i="35"/>
  <c r="AB65" i="24"/>
  <c r="AB11" i="25"/>
  <c r="R131"/>
  <c r="R186"/>
  <c r="J41" i="34"/>
  <c r="K13" i="33"/>
  <c r="D62" i="25"/>
  <c r="V11"/>
  <c r="V186" s="1"/>
  <c r="H131"/>
  <c r="AB223" i="34"/>
  <c r="J119"/>
  <c r="I202"/>
  <c r="J267" i="33"/>
  <c r="AF223" i="34"/>
  <c r="J15"/>
  <c r="D53" i="24"/>
  <c r="H11" i="25"/>
  <c r="H186" s="1"/>
  <c r="L186"/>
  <c r="X223" i="34"/>
  <c r="J171" i="33"/>
  <c r="K181"/>
  <c r="K271"/>
  <c r="K280"/>
  <c r="J286"/>
  <c r="N223" i="34"/>
  <c r="J33"/>
  <c r="I186" i="25"/>
  <c r="M186"/>
  <c r="Q186"/>
  <c r="H11" i="33"/>
  <c r="J261"/>
  <c r="J186" i="25"/>
  <c r="S186"/>
  <c r="D178"/>
  <c r="D188" s="1"/>
  <c r="T223" i="34"/>
  <c r="J161" i="33"/>
  <c r="K269"/>
  <c r="K267"/>
  <c r="F131" i="25"/>
  <c r="F186"/>
  <c r="Z186" l="1"/>
  <c r="P186"/>
  <c r="D133"/>
  <c r="D131" s="1"/>
  <c r="G223" i="34"/>
  <c r="J58"/>
  <c r="J127"/>
  <c r="J143"/>
  <c r="I147"/>
  <c r="I173"/>
  <c r="J272" i="33"/>
  <c r="K12"/>
  <c r="G35" i="13"/>
  <c r="G46" s="1"/>
  <c r="G61"/>
  <c r="G72" s="1"/>
  <c r="D43" i="24"/>
  <c r="X186" i="25"/>
  <c r="T186"/>
  <c r="N186"/>
  <c r="AH223" i="34"/>
  <c r="J50"/>
  <c r="J62"/>
  <c r="G142"/>
  <c r="J142"/>
  <c r="J11" i="33"/>
  <c r="H302"/>
  <c r="K261"/>
  <c r="K272"/>
  <c r="AF475" i="36"/>
  <c r="D119" i="4"/>
  <c r="J170" i="34"/>
  <c r="I223"/>
  <c r="I170"/>
  <c r="D36" i="24"/>
  <c r="D65"/>
  <c r="D11" i="25"/>
  <c r="G13" i="34"/>
  <c r="J114"/>
  <c r="J113" s="1"/>
  <c r="I142"/>
  <c r="I13" s="1"/>
  <c r="K171" i="33"/>
  <c r="K11" s="1"/>
  <c r="K209"/>
  <c r="K302" s="1"/>
  <c r="J302"/>
  <c r="J21" i="34"/>
  <c r="J14" s="1"/>
  <c r="J13" s="1"/>
  <c r="G83" i="35"/>
  <c r="G119"/>
  <c r="AF35" i="12"/>
  <c r="AF7" i="36"/>
  <c r="AF343" s="1"/>
  <c r="D186" i="25" l="1"/>
  <c r="J223" i="34"/>
  <c r="G7" i="35"/>
  <c r="G175" s="1"/>
</calcChain>
</file>

<file path=xl/comments1.xml><?xml version="1.0" encoding="utf-8"?>
<comments xmlns="http://schemas.openxmlformats.org/spreadsheetml/2006/main">
  <authors>
    <author>Автор</author>
  </authors>
  <commentList>
    <comment ref="Z533" authorId="0">
      <text>
        <r>
          <rPr>
            <b/>
            <sz val="8"/>
            <color indexed="81"/>
            <rFont val="Tahoma"/>
            <family val="2"/>
            <charset val="204"/>
          </rPr>
          <t>Автор:</t>
        </r>
        <r>
          <rPr>
            <sz val="8"/>
            <color indexed="81"/>
            <rFont val="Tahoma"/>
            <family val="2"/>
            <charset val="204"/>
          </rPr>
          <t xml:space="preserve">
по дог-ру- админ-ое здание Каляева 194</t>
        </r>
      </text>
    </comment>
  </commentList>
</comments>
</file>

<file path=xl/comments2.xml><?xml version="1.0" encoding="utf-8"?>
<comments xmlns="http://schemas.openxmlformats.org/spreadsheetml/2006/main">
  <authors>
    <author>Автор</author>
  </authors>
  <commentList>
    <comment ref="K117" authorId="0">
      <text>
        <r>
          <rPr>
            <b/>
            <sz val="8"/>
            <color indexed="81"/>
            <rFont val="Tahoma"/>
            <family val="2"/>
            <charset val="204"/>
          </rPr>
          <t>Автор:</t>
        </r>
        <r>
          <rPr>
            <sz val="8"/>
            <color indexed="81"/>
            <rFont val="Tahoma"/>
            <family val="2"/>
            <charset val="204"/>
          </rPr>
          <t xml:space="preserve">
50,45
</t>
        </r>
      </text>
    </comment>
    <comment ref="K119" authorId="0">
      <text>
        <r>
          <rPr>
            <b/>
            <sz val="9"/>
            <color indexed="81"/>
            <rFont val="Tahoma"/>
            <family val="2"/>
            <charset val="204"/>
          </rPr>
          <t>Автор:</t>
        </r>
        <r>
          <rPr>
            <sz val="9"/>
            <color indexed="81"/>
            <rFont val="Tahoma"/>
            <family val="2"/>
            <charset val="204"/>
          </rPr>
          <t xml:space="preserve">
29.46</t>
        </r>
      </text>
    </comment>
    <comment ref="K121" authorId="0">
      <text>
        <r>
          <rPr>
            <b/>
            <sz val="8"/>
            <color indexed="81"/>
            <rFont val="Tahoma"/>
            <family val="2"/>
            <charset val="204"/>
          </rPr>
          <t>Автор:</t>
        </r>
        <r>
          <rPr>
            <sz val="8"/>
            <color indexed="81"/>
            <rFont val="Tahoma"/>
            <family val="2"/>
            <charset val="204"/>
          </rPr>
          <t xml:space="preserve">
18,21</t>
        </r>
      </text>
    </comment>
    <comment ref="K123" authorId="0">
      <text>
        <r>
          <rPr>
            <b/>
            <sz val="8"/>
            <color indexed="81"/>
            <rFont val="Tahoma"/>
            <family val="2"/>
            <charset val="204"/>
          </rPr>
          <t>Автор:</t>
        </r>
        <r>
          <rPr>
            <sz val="8"/>
            <color indexed="81"/>
            <rFont val="Tahoma"/>
            <family val="2"/>
            <charset val="204"/>
          </rPr>
          <t xml:space="preserve">
65,06</t>
        </r>
      </text>
    </comment>
    <comment ref="K125" authorId="0">
      <text>
        <r>
          <rPr>
            <b/>
            <sz val="8"/>
            <color indexed="81"/>
            <rFont val="Tahoma"/>
            <family val="2"/>
            <charset val="204"/>
          </rPr>
          <t>Автор:</t>
        </r>
        <r>
          <rPr>
            <sz val="8"/>
            <color indexed="81"/>
            <rFont val="Tahoma"/>
            <family val="2"/>
            <charset val="204"/>
          </rPr>
          <t xml:space="preserve">
68</t>
        </r>
      </text>
    </comment>
    <comment ref="K127" authorId="0">
      <text>
        <r>
          <rPr>
            <b/>
            <sz val="8"/>
            <color indexed="81"/>
            <rFont val="Tahoma"/>
            <family val="2"/>
            <charset val="204"/>
          </rPr>
          <t>Автор:</t>
        </r>
        <r>
          <rPr>
            <sz val="8"/>
            <color indexed="81"/>
            <rFont val="Tahoma"/>
            <family val="2"/>
            <charset val="204"/>
          </rPr>
          <t xml:space="preserve">
80,06</t>
        </r>
      </text>
    </comment>
    <comment ref="K147" authorId="0">
      <text>
        <r>
          <rPr>
            <b/>
            <sz val="9"/>
            <color indexed="81"/>
            <rFont val="Tahoma"/>
            <family val="2"/>
            <charset val="204"/>
          </rPr>
          <t>Автор:</t>
        </r>
        <r>
          <rPr>
            <sz val="9"/>
            <color indexed="81"/>
            <rFont val="Tahoma"/>
            <family val="2"/>
            <charset val="204"/>
          </rPr>
          <t xml:space="preserve">
18.28</t>
        </r>
      </text>
    </comment>
    <comment ref="K151" authorId="0">
      <text>
        <r>
          <rPr>
            <b/>
            <sz val="8"/>
            <color indexed="81"/>
            <rFont val="Tahoma"/>
            <family val="2"/>
            <charset val="204"/>
          </rPr>
          <t>Автор:</t>
        </r>
        <r>
          <rPr>
            <sz val="8"/>
            <color indexed="81"/>
            <rFont val="Tahoma"/>
            <family val="2"/>
            <charset val="204"/>
          </rPr>
          <t xml:space="preserve">
20,84</t>
        </r>
      </text>
    </comment>
  </commentList>
</comments>
</file>

<file path=xl/comments3.xml><?xml version="1.0" encoding="utf-8"?>
<comments xmlns="http://schemas.openxmlformats.org/spreadsheetml/2006/main">
  <authors>
    <author>Автор</author>
  </authors>
  <commentList>
    <comment ref="B250" authorId="0">
      <text>
        <r>
          <rPr>
            <b/>
            <sz val="8"/>
            <color indexed="81"/>
            <rFont val="Tahoma"/>
            <family val="2"/>
            <charset val="204"/>
          </rPr>
          <t>Автор:</t>
        </r>
        <r>
          <rPr>
            <sz val="8"/>
            <color indexed="81"/>
            <rFont val="Tahoma"/>
            <family val="2"/>
            <charset val="204"/>
          </rPr>
          <t xml:space="preserve">
заменен на 26-ФВ-22 №2 КНС-2</t>
        </r>
      </text>
    </comment>
  </commentList>
</comments>
</file>

<file path=xl/comments4.xml><?xml version="1.0" encoding="utf-8"?>
<comments xmlns="http://schemas.openxmlformats.org/spreadsheetml/2006/main">
  <authors>
    <author>Автор</author>
  </authors>
  <commentList>
    <comment ref="J135" authorId="0">
      <text>
        <r>
          <rPr>
            <b/>
            <sz val="8"/>
            <color indexed="81"/>
            <rFont val="Tahoma"/>
            <family val="2"/>
            <charset val="204"/>
          </rPr>
          <t>Автор:</t>
        </r>
        <r>
          <rPr>
            <sz val="8"/>
            <color indexed="81"/>
            <rFont val="Tahoma"/>
            <family val="2"/>
            <charset val="204"/>
          </rPr>
          <t xml:space="preserve">
93,72</t>
        </r>
      </text>
    </comment>
    <comment ref="J140" authorId="0">
      <text>
        <r>
          <rPr>
            <b/>
            <sz val="8"/>
            <color indexed="81"/>
            <rFont val="Tahoma"/>
            <family val="2"/>
            <charset val="204"/>
          </rPr>
          <t>Автор:</t>
        </r>
        <r>
          <rPr>
            <sz val="8"/>
            <color indexed="81"/>
            <rFont val="Tahoma"/>
            <family val="2"/>
            <charset val="204"/>
          </rPr>
          <t xml:space="preserve">
354,495</t>
        </r>
      </text>
    </comment>
    <comment ref="J141" authorId="0">
      <text>
        <r>
          <rPr>
            <b/>
            <sz val="8"/>
            <color indexed="81"/>
            <rFont val="Tahoma"/>
            <family val="2"/>
            <charset val="204"/>
          </rPr>
          <t>Автор:</t>
        </r>
        <r>
          <rPr>
            <sz val="8"/>
            <color indexed="81"/>
            <rFont val="Tahoma"/>
            <family val="2"/>
            <charset val="204"/>
          </rPr>
          <t xml:space="preserve">
218,59</t>
        </r>
      </text>
    </comment>
    <comment ref="J158" authorId="0">
      <text>
        <r>
          <rPr>
            <b/>
            <sz val="8"/>
            <color indexed="81"/>
            <rFont val="Tahoma"/>
            <family val="2"/>
            <charset val="204"/>
          </rPr>
          <t>Автор:</t>
        </r>
        <r>
          <rPr>
            <sz val="8"/>
            <color indexed="81"/>
            <rFont val="Tahoma"/>
            <family val="2"/>
            <charset val="204"/>
          </rPr>
          <t xml:space="preserve">
231,19</t>
        </r>
      </text>
    </comment>
    <comment ref="J160" authorId="0">
      <text>
        <r>
          <rPr>
            <b/>
            <sz val="8"/>
            <color indexed="81"/>
            <rFont val="Tahoma"/>
            <family val="2"/>
            <charset val="204"/>
          </rPr>
          <t>Автор:</t>
        </r>
        <r>
          <rPr>
            <sz val="8"/>
            <color indexed="81"/>
            <rFont val="Tahoma"/>
            <family val="2"/>
            <charset val="204"/>
          </rPr>
          <t xml:space="preserve">
35,63
</t>
        </r>
      </text>
    </comment>
    <comment ref="J186" authorId="0">
      <text>
        <r>
          <rPr>
            <b/>
            <sz val="8"/>
            <color indexed="81"/>
            <rFont val="Tahoma"/>
            <family val="2"/>
            <charset val="204"/>
          </rPr>
          <t>Автор:</t>
        </r>
        <r>
          <rPr>
            <sz val="8"/>
            <color indexed="81"/>
            <rFont val="Tahoma"/>
            <family val="2"/>
            <charset val="204"/>
          </rPr>
          <t xml:space="preserve">
38,73</t>
        </r>
      </text>
    </comment>
    <comment ref="J194" authorId="0">
      <text>
        <r>
          <rPr>
            <b/>
            <sz val="8"/>
            <color indexed="81"/>
            <rFont val="Tahoma"/>
            <family val="2"/>
            <charset val="204"/>
          </rPr>
          <t>Автор:</t>
        </r>
        <r>
          <rPr>
            <sz val="8"/>
            <color indexed="81"/>
            <rFont val="Tahoma"/>
            <family val="2"/>
            <charset val="204"/>
          </rPr>
          <t xml:space="preserve">
33,59</t>
        </r>
      </text>
    </comment>
    <comment ref="J200" authorId="0">
      <text>
        <r>
          <rPr>
            <b/>
            <sz val="8"/>
            <color indexed="81"/>
            <rFont val="Tahoma"/>
            <family val="2"/>
            <charset val="204"/>
          </rPr>
          <t>Автор:</t>
        </r>
        <r>
          <rPr>
            <sz val="8"/>
            <color indexed="81"/>
            <rFont val="Tahoma"/>
            <family val="2"/>
            <charset val="204"/>
          </rPr>
          <t xml:space="preserve">
3,08</t>
        </r>
      </text>
    </comment>
  </commentList>
</comments>
</file>

<file path=xl/sharedStrings.xml><?xml version="1.0" encoding="utf-8"?>
<sst xmlns="http://schemas.openxmlformats.org/spreadsheetml/2006/main" count="7584" uniqueCount="2285">
  <si>
    <t xml:space="preserve">                 Утверждена</t>
  </si>
  <si>
    <t>город Краснодар</t>
  </si>
  <si>
    <t>ПРОИЗВОДСТВЕННАЯ   ПРОГРАММА</t>
  </si>
  <si>
    <t>г. Краснодар</t>
  </si>
  <si>
    <t xml:space="preserve">постановлением администрации </t>
  </si>
  <si>
    <t xml:space="preserve">муниципального образования </t>
  </si>
  <si>
    <t xml:space="preserve">                                   ООО «Краснодар Водоканал»                                          </t>
  </si>
  <si>
    <t>№ п/п</t>
  </si>
  <si>
    <t>Наименование мероприятий</t>
  </si>
  <si>
    <t>финансовые потребности на  2015 г, тыс. руб. с НДС</t>
  </si>
  <si>
    <t>%</t>
  </si>
  <si>
    <t>1    ВОДОСНАБЖЕНИЕ</t>
  </si>
  <si>
    <t>1.1  Ремонт сетей водоснабжения</t>
  </si>
  <si>
    <t xml:space="preserve">Думенко, 2 </t>
  </si>
  <si>
    <t xml:space="preserve">Чапаева,129 </t>
  </si>
  <si>
    <t xml:space="preserve">Чапаева,125 </t>
  </si>
  <si>
    <t xml:space="preserve">Игнатова,12 </t>
  </si>
  <si>
    <t xml:space="preserve">Гагарина,81-87 </t>
  </si>
  <si>
    <t xml:space="preserve">70 лет Октября, 10 </t>
  </si>
  <si>
    <t xml:space="preserve">пр. Чекистов, 25 </t>
  </si>
  <si>
    <t xml:space="preserve">Куб. Набережная м/д Комсомольской и Мира </t>
  </si>
  <si>
    <t xml:space="preserve">Тургенева, 144 </t>
  </si>
  <si>
    <t xml:space="preserve">Тургенева, 162 </t>
  </si>
  <si>
    <t xml:space="preserve">Московская, 60 </t>
  </si>
  <si>
    <t xml:space="preserve">Московская, 54 </t>
  </si>
  <si>
    <t xml:space="preserve">Карякина, 10-14 </t>
  </si>
  <si>
    <t xml:space="preserve">Тепличная, 56 </t>
  </si>
  <si>
    <t xml:space="preserve">40 лет Победы, 50 </t>
  </si>
  <si>
    <t xml:space="preserve">Коллективная, 45 </t>
  </si>
  <si>
    <t xml:space="preserve">Пушкина, 9-11 </t>
  </si>
  <si>
    <t xml:space="preserve">Новороссийская, 184-186 </t>
  </si>
  <si>
    <t xml:space="preserve">Симферопольская, 26 </t>
  </si>
  <si>
    <t xml:space="preserve">Ленина, 71 </t>
  </si>
  <si>
    <t xml:space="preserve">Гудимы, 24 </t>
  </si>
  <si>
    <t xml:space="preserve">Гимназическая, 79 </t>
  </si>
  <si>
    <t xml:space="preserve">Рашпилевская, 58 </t>
  </si>
  <si>
    <t xml:space="preserve">Октябрьская, 73 </t>
  </si>
  <si>
    <t xml:space="preserve">Чапаева, 67 </t>
  </si>
  <si>
    <t xml:space="preserve">Карасунская, 37 </t>
  </si>
  <si>
    <t xml:space="preserve">Рашпилевская, 17 </t>
  </si>
  <si>
    <t xml:space="preserve">Кирова, 35 </t>
  </si>
  <si>
    <t>Чапаева, 104</t>
  </si>
  <si>
    <t xml:space="preserve">Минская,118 </t>
  </si>
  <si>
    <t>Бургасская, 23А-27</t>
  </si>
  <si>
    <r>
      <t>ВНС</t>
    </r>
    <r>
      <rPr>
        <sz val="10"/>
        <color indexed="8"/>
        <rFont val="Times New Roman"/>
        <family val="1"/>
        <charset val="204"/>
      </rPr>
      <t xml:space="preserve"> Кр. Партизан, 6/1 павильон</t>
    </r>
  </si>
  <si>
    <r>
      <t>ВНС</t>
    </r>
    <r>
      <rPr>
        <sz val="10"/>
        <color indexed="8"/>
        <rFont val="Times New Roman"/>
        <family val="1"/>
        <charset val="204"/>
      </rPr>
      <t xml:space="preserve"> Северная, 253</t>
    </r>
  </si>
  <si>
    <r>
      <t>ВНС</t>
    </r>
    <r>
      <rPr>
        <sz val="10"/>
        <color indexed="8"/>
        <rFont val="Times New Roman"/>
        <family val="1"/>
        <charset val="204"/>
      </rPr>
      <t xml:space="preserve"> Станкостроительная, 19</t>
    </r>
  </si>
  <si>
    <r>
      <t>ВНС</t>
    </r>
    <r>
      <rPr>
        <sz val="10"/>
        <color indexed="8"/>
        <rFont val="Times New Roman"/>
        <family val="1"/>
        <charset val="204"/>
      </rPr>
      <t xml:space="preserve"> Таманская, 174</t>
    </r>
  </si>
  <si>
    <r>
      <t>ВНС</t>
    </r>
    <r>
      <rPr>
        <sz val="10"/>
        <color indexed="8"/>
        <rFont val="Times New Roman"/>
        <family val="1"/>
        <charset val="204"/>
      </rPr>
      <t xml:space="preserve"> Ставропольская, 201</t>
    </r>
  </si>
  <si>
    <r>
      <t>ВНС</t>
    </r>
    <r>
      <rPr>
        <sz val="10"/>
        <color indexed="8"/>
        <rFont val="Times New Roman"/>
        <family val="1"/>
        <charset val="204"/>
      </rPr>
      <t xml:space="preserve"> Селезнева, 164</t>
    </r>
  </si>
  <si>
    <r>
      <t>ВНС</t>
    </r>
    <r>
      <rPr>
        <sz val="10"/>
        <color indexed="8"/>
        <rFont val="Times New Roman"/>
        <family val="1"/>
        <charset val="204"/>
      </rPr>
      <t xml:space="preserve"> Полины Осипенко, 141</t>
    </r>
  </si>
  <si>
    <t xml:space="preserve">1.3 Ремонт зданий </t>
  </si>
  <si>
    <r>
      <t>ВНС</t>
    </r>
    <r>
      <rPr>
        <sz val="10"/>
        <color indexed="8"/>
        <rFont val="Times New Roman"/>
        <family val="1"/>
        <charset val="204"/>
      </rPr>
      <t xml:space="preserve"> 40 лет Победы, 37/1</t>
    </r>
  </si>
  <si>
    <r>
      <t>ВНС</t>
    </r>
    <r>
      <rPr>
        <sz val="10"/>
        <color indexed="8"/>
        <rFont val="Times New Roman"/>
        <family val="1"/>
        <charset val="204"/>
      </rPr>
      <t xml:space="preserve"> Тургенева, 225</t>
    </r>
  </si>
  <si>
    <r>
      <t>ВНС</t>
    </r>
    <r>
      <rPr>
        <sz val="10"/>
        <color indexed="8"/>
        <rFont val="Times New Roman"/>
        <family val="1"/>
        <charset val="204"/>
      </rPr>
      <t xml:space="preserve"> 40 лет Победы, 67</t>
    </r>
  </si>
  <si>
    <r>
      <t>ВНС</t>
    </r>
    <r>
      <rPr>
        <sz val="10"/>
        <color indexed="8"/>
        <rFont val="Times New Roman"/>
        <family val="1"/>
        <charset val="204"/>
      </rPr>
      <t xml:space="preserve"> Госпиталь ИОВ</t>
    </r>
  </si>
  <si>
    <r>
      <t>ВНС</t>
    </r>
    <r>
      <rPr>
        <sz val="10"/>
        <color indexed="8"/>
        <rFont val="Times New Roman"/>
        <family val="1"/>
        <charset val="204"/>
      </rPr>
      <t xml:space="preserve"> Котовского, 102</t>
    </r>
  </si>
  <si>
    <t>ВНС Симферопольская, 50/а</t>
  </si>
  <si>
    <t>ВНС Ставропольская, 125</t>
  </si>
  <si>
    <t>в/з Восточный 2 здание насосной</t>
  </si>
  <si>
    <t>в/з Роща здание насосной</t>
  </si>
  <si>
    <t>1.4 Ремонт павильонов скважин</t>
  </si>
  <si>
    <t>-</t>
  </si>
  <si>
    <t>в/з "Восточный-1". Павильон скважины № 359 инв. № 1971</t>
  </si>
  <si>
    <t xml:space="preserve">в/з "Ново-Западный". Павильон скважины № 106 инв. № 7006 </t>
  </si>
  <si>
    <t xml:space="preserve">в/з "Ново-Западный". Павильон скважины № 385 инв. № 7006 </t>
  </si>
  <si>
    <t xml:space="preserve">в/з "Ново-Западный". Павильон скважины № 382 инв. № 7030 </t>
  </si>
  <si>
    <t xml:space="preserve">в/з "Роща". Павильон скважины № 328 </t>
  </si>
  <si>
    <t xml:space="preserve">в/з "Роща". Павильон скважины № 3 </t>
  </si>
  <si>
    <t xml:space="preserve">в/з "Роща". Павильон скважины № 422 </t>
  </si>
  <si>
    <t xml:space="preserve">в/з "Роща". Павильон скважины № 37 </t>
  </si>
  <si>
    <t xml:space="preserve">в/з "Роща". Павильон скважины № 15 </t>
  </si>
  <si>
    <t xml:space="preserve">в/з "Роща". Павильон скважины № 49 </t>
  </si>
  <si>
    <t xml:space="preserve">в/з "Роща". Павильон скважины № 253 </t>
  </si>
  <si>
    <t xml:space="preserve">в/з "Роща". Павильон скважины № 44 </t>
  </si>
  <si>
    <t xml:space="preserve">в/з "Роща". Павильон скважины № 208 </t>
  </si>
  <si>
    <t xml:space="preserve">в/з "Роща". Павильон скважины № 50 </t>
  </si>
  <si>
    <t xml:space="preserve">в/з "Роща". Павильон скважины № 252 </t>
  </si>
  <si>
    <t xml:space="preserve">в/з "Роща". Павильон скважины № 17 </t>
  </si>
  <si>
    <t xml:space="preserve">в/з "Роща". Павильон скважины № 32 </t>
  </si>
  <si>
    <t xml:space="preserve">в/з "Роща". Павильон скважины № 16 </t>
  </si>
  <si>
    <t xml:space="preserve">в/з "Роща". Павильон скважины № 72 </t>
  </si>
  <si>
    <t xml:space="preserve">в/з "им. Кирова". Павильон скважины № 2 </t>
  </si>
  <si>
    <t xml:space="preserve">в/з "им. Кирова". Павильон скважины № 7 </t>
  </si>
  <si>
    <t xml:space="preserve">в/з "им. Кирова". Павильон скважины № 11 </t>
  </si>
  <si>
    <t xml:space="preserve">в/з "им. Кирова". Павильон скважины № 23 </t>
  </si>
  <si>
    <t>в/з «Центральный» Павильон скважины № 265</t>
  </si>
  <si>
    <t>в/з «Центральный» Павильон скважины № 47</t>
  </si>
  <si>
    <t>1.5 Восстановление асфальтобетонного покрытия</t>
  </si>
  <si>
    <t>Восстановление асфальтобетонного покрытия (после аварийных разрытий)</t>
  </si>
  <si>
    <r>
      <t>ВНС</t>
    </r>
    <r>
      <rPr>
        <sz val="10"/>
        <color indexed="8"/>
        <rFont val="Times New Roman"/>
        <family val="1"/>
        <charset val="204"/>
      </rPr>
      <t xml:space="preserve"> Зиповская, 17</t>
    </r>
  </si>
  <si>
    <r>
      <t>ВНС</t>
    </r>
    <r>
      <rPr>
        <sz val="10"/>
        <color indexed="8"/>
        <rFont val="Times New Roman"/>
        <family val="1"/>
        <charset val="204"/>
      </rPr>
      <t xml:space="preserve"> Литер, 101</t>
    </r>
  </si>
  <si>
    <t>1.6 Ремонт трубопроводов (обвязка оборудования)</t>
  </si>
  <si>
    <t>ВНС Станкостроительная, 19</t>
  </si>
  <si>
    <t>ВНС Селезнева, 206</t>
  </si>
  <si>
    <t>ВНС Ставропольская, 213</t>
  </si>
  <si>
    <t>ВНС Ставропольская, 201</t>
  </si>
  <si>
    <t>ВНС Молодежная, 23</t>
  </si>
  <si>
    <t>ВНС Литер, 43</t>
  </si>
  <si>
    <t>ВНС Литер, 50</t>
  </si>
  <si>
    <t>ВНС Литер, 40</t>
  </si>
  <si>
    <t>ВНС Ленина, 70</t>
  </si>
  <si>
    <t>ВНС Рашпилевская, 128</t>
  </si>
  <si>
    <t>ВНС Коммунаров, 229</t>
  </si>
  <si>
    <t>ВНС Красная, 174</t>
  </si>
  <si>
    <t>ВНС Северная, 493</t>
  </si>
  <si>
    <t>ВНС Садовая, 17</t>
  </si>
  <si>
    <t>Установка ультразвуковых расходомеров на ВНС</t>
  </si>
  <si>
    <t xml:space="preserve">1.7 Капитальный ремонт  артезианских скважин </t>
  </si>
  <si>
    <t>в/з «Восточный-1»  артезианские скважины № 167, 173 (тампонаж)</t>
  </si>
  <si>
    <t>Работы по восстановлению (увеличению) дебета артезианских скважин</t>
  </si>
  <si>
    <t>1.8 Ремонт ограждений санитарной зоны</t>
  </si>
  <si>
    <r>
      <t>ВНС</t>
    </r>
    <r>
      <rPr>
        <sz val="10"/>
        <color indexed="8"/>
        <rFont val="Times New Roman"/>
        <family val="1"/>
        <charset val="204"/>
      </rPr>
      <t xml:space="preserve"> п. Дружелюбный ж/б</t>
    </r>
  </si>
  <si>
    <t>1.9 Ремонт ж/б резервуаров</t>
  </si>
  <si>
    <t>ВНС 40 лет Победы, 39</t>
  </si>
  <si>
    <t>ВНС Кирова, 60</t>
  </si>
  <si>
    <t>ВНС Алтайская, 4</t>
  </si>
  <si>
    <t>ВНС п. Лорис</t>
  </si>
  <si>
    <t>2 Вспомогательные цеха (ремонт технологического оборудования, общестроительные работы)</t>
  </si>
  <si>
    <t>Ремонт трансформатора 400 кВа, 10/0,4 кВ 2 шт.</t>
  </si>
  <si>
    <t>ВНС Зиповская,17, электрооборудование</t>
  </si>
  <si>
    <t>ВНС Гражданская, 4, электрооборудование</t>
  </si>
  <si>
    <t>в/з «Ново-северный» Насосный агрегат Д 1250-63 с  электродвигателем</t>
  </si>
  <si>
    <t>Здание энерго-механического цеха</t>
  </si>
  <si>
    <t>3 Инжиниринговые мероприятия</t>
  </si>
  <si>
    <t>Мониторинг подземных вод Краснодарского месторождения.</t>
  </si>
  <si>
    <t>Обеспечение и поддержание разработанной и введенной в действие постоянно действующей модели Краснодарского месторождения подземных вод. Перспективная оценка влияния эксплуатации водозаборов на окружающую среду.</t>
  </si>
  <si>
    <t>Изготовление проекта водозаборов (корректировка проекта технологической схемы) для артезианских скважин №№ 3,4 расположенные на водозаборе «ст. Подкачки» по адресу: х.Ленина, ул. Морская, 1.)</t>
  </si>
  <si>
    <t xml:space="preserve">Оптимизация работы ВНС и режима работы системы подачи  и  распределения воды с выводом ВНС из работы.   </t>
  </si>
  <si>
    <t xml:space="preserve">Гидравлическое моделирование режимов работы водопроводных сетей г. Краснодара в программно - расчетном комплексе "ZULU".                                      </t>
  </si>
  <si>
    <t xml:space="preserve">Разработка проекта предельно допустимых выбросов (ПДВ) с учетом инвентаризации источников выбросов загрязняющих веществ.   </t>
  </si>
  <si>
    <t>Исследование и телеинспекция артезианских скважин с целью     восстановления их работоспособности и увеличения дебета в количестве 30 шт.</t>
  </si>
  <si>
    <t>Корректировка технического проекта на добычу пресных подземных вод, в части внесения водозаборных скважин, не вошедших в существующий проект.</t>
  </si>
  <si>
    <t>Вспомогательные цеха</t>
  </si>
  <si>
    <t>Инжиниринговые мероприятия</t>
  </si>
  <si>
    <t>С.С. Гераськов</t>
  </si>
  <si>
    <t>1.1.4</t>
  </si>
  <si>
    <t>1.1.1</t>
  </si>
  <si>
    <t>1.1.2</t>
  </si>
  <si>
    <t>1.1.3</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</si>
  <si>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</si>
  <si>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</si>
  <si>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</si>
  <si>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</si>
  <si>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</si>
  <si>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</si>
  <si>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</si>
  <si>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</si>
  <si>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</si>
  <si>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</si>
  <si>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</si>
  <si>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</si>
  <si>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</si>
  <si>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</si>
  <si>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</si>
  <si>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</si>
  <si>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</si>
  <si>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</si>
  <si>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</si>
  <si>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</si>
  <si>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</si>
  <si>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</si>
  <si>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</si>
  <si>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</si>
  <si>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</si>
  <si>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</si>
  <si>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</si>
  <si>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</si>
  <si>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</si>
  <si>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</si>
  <si>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</si>
  <si>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</si>
  <si>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</si>
  <si>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</si>
  <si>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</si>
  <si>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</si>
  <si>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1.2.1</t>
  </si>
  <si>
    <t>1.2.2</t>
  </si>
  <si>
    <t>1.2.3</t>
  </si>
  <si>
    <t>1.2.4</t>
  </si>
  <si>
    <t>1.2.5</t>
  </si>
  <si>
    <t>1.2.6</t>
  </si>
  <si>
    <t>1.2.7</t>
  </si>
  <si>
    <t>1.2.8</t>
  </si>
  <si>
    <t>1.2.9</t>
  </si>
  <si>
    <t>1.3.1</t>
  </si>
  <si>
    <t>1.3.2</t>
  </si>
  <si>
    <t>1.3.3</t>
  </si>
  <si>
    <t>1.3.4</t>
  </si>
  <si>
    <t>1.3.5</t>
  </si>
  <si>
    <t>1.3.6</t>
  </si>
  <si>
    <t>1.3.7</t>
  </si>
  <si>
    <t>1.3.8</t>
  </si>
  <si>
    <t>1.3.9</t>
  </si>
  <si>
    <t>1.3.10</t>
  </si>
  <si>
    <t>1.3.11</t>
  </si>
  <si>
    <t>1.3.12</t>
  </si>
  <si>
    <t>1.3.13</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</si>
  <si>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</si>
  <si>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</si>
  <si>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</si>
  <si>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</si>
  <si>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</si>
  <si>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</si>
  <si>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</si>
  <si>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</si>
  <si>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</si>
  <si>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</si>
  <si>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</si>
  <si>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</si>
  <si>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</si>
  <si>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</si>
  <si>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</si>
  <si>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</si>
  <si>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</si>
  <si>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</si>
  <si>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</si>
  <si>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</si>
  <si>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</si>
  <si>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</si>
  <si>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</si>
  <si>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</si>
  <si>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</si>
  <si>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</si>
  <si>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1.5.1</t>
  </si>
  <si>
    <t>1.6.1</t>
  </si>
  <si>
    <t>1.6.2</t>
  </si>
  <si>
    <t>1.6.3</t>
  </si>
  <si>
    <t>1.6.4</t>
  </si>
  <si>
    <t>1.6.5</t>
  </si>
  <si>
    <t>1.6.6</t>
  </si>
  <si>
    <t>1.6.7</t>
  </si>
  <si>
    <t>1.6.8</t>
  </si>
  <si>
    <t>1.6.9</t>
  </si>
  <si>
    <t>1.6.10</t>
  </si>
  <si>
    <t>1.6.11</t>
  </si>
  <si>
    <t>1.6.12</t>
  </si>
  <si>
    <t>1.6.13</t>
  </si>
  <si>
    <t>1.6.14</t>
  </si>
  <si>
    <t>1.6.15</t>
  </si>
  <si>
    <t>1.7.1</t>
  </si>
  <si>
    <t>1.7.2</t>
  </si>
  <si>
    <t>1.8.1</t>
  </si>
  <si>
    <t>1.8.2</t>
  </si>
  <si>
    <t>1.9.1</t>
  </si>
  <si>
    <t>1.9.2</t>
  </si>
  <si>
    <t>1.9.3</t>
  </si>
  <si>
    <t>1.9.4</t>
  </si>
  <si>
    <t>2.1</t>
  </si>
  <si>
    <t>2.2</t>
  </si>
  <si>
    <t>2.3</t>
  </si>
  <si>
    <t>2.4</t>
  </si>
  <si>
    <t>2.5</t>
  </si>
  <si>
    <t>2.6</t>
  </si>
  <si>
    <t>2.7</t>
  </si>
  <si>
    <t>2.8</t>
  </si>
  <si>
    <t>2.9</t>
  </si>
  <si>
    <t>2.10</t>
  </si>
  <si>
    <t>2.11</t>
  </si>
  <si>
    <t>3.1</t>
  </si>
  <si>
    <t>3.2</t>
  </si>
  <si>
    <t>3.3</t>
  </si>
  <si>
    <t>3.4</t>
  </si>
  <si>
    <t>3.5</t>
  </si>
  <si>
    <t>3.6</t>
  </si>
  <si>
    <t>3.7</t>
  </si>
  <si>
    <t>3.8</t>
  </si>
  <si>
    <t>3.9</t>
  </si>
  <si>
    <t>3.10</t>
  </si>
  <si>
    <t>3.11</t>
  </si>
  <si>
    <t>Замена приборов учета э. э. кл. точности 2 на кл. точности 1  (33шт)</t>
  </si>
  <si>
    <t xml:space="preserve">ВНС Селезнева, 88 </t>
  </si>
  <si>
    <t>Установка частотного регулируемого привода на насосный агрегат мощностью 30 кВт, с установкой прибора учета воды.</t>
  </si>
  <si>
    <t xml:space="preserve">ВНС Селезнева, 132 </t>
  </si>
  <si>
    <t xml:space="preserve">ВНС Ставропольская, 125 </t>
  </si>
  <si>
    <t>Установка частотного регулируемого привода на насосный агрегат мощностью 15 кВт, с установкой прибора учета воды.</t>
  </si>
  <si>
    <t xml:space="preserve">ВНС х.Ленина </t>
  </si>
  <si>
    <t xml:space="preserve">ВНС Таманская, 174 </t>
  </si>
  <si>
    <t xml:space="preserve">ВНС Школьная, 17 </t>
  </si>
  <si>
    <t xml:space="preserve">ВНС п.Водники </t>
  </si>
  <si>
    <t>Установка частотного регулируемого привода на насосный агрегат мощностью 13 кВт, с установкой прибора учета воды.</t>
  </si>
  <si>
    <t xml:space="preserve">ВНС п.Дивный </t>
  </si>
  <si>
    <t>Установка частотного регулируемого привода на насосный агрегат мощностью 7,5 кВт, с установкой прибора учета воды.</t>
  </si>
  <si>
    <t xml:space="preserve">ВНС Коммунаров, 57 </t>
  </si>
  <si>
    <t xml:space="preserve">ВНС Кавказская, 68 </t>
  </si>
  <si>
    <t xml:space="preserve">ВНС Кавказская, 154 </t>
  </si>
  <si>
    <t xml:space="preserve">ВНС Щорса, 1 </t>
  </si>
  <si>
    <t>Установка частотного регулируемого привода на насосный агрегат мощностью 11 кВт, с установкой прибора учета воды.</t>
  </si>
  <si>
    <t>ВНС Коммунаров, 298</t>
  </si>
  <si>
    <t>Установка частотного регулируемого привода на насосный агрегат мощностью 17кВт, с установкой прибора учета воды.</t>
  </si>
  <si>
    <t xml:space="preserve">ВНС Садовая, 17 </t>
  </si>
  <si>
    <t>Установка частотного регулируемого привода на насосный агрегат мощностью 15кВт, с установкой прибора учета воды.</t>
  </si>
  <si>
    <t xml:space="preserve">ВНС Янковского, 151 </t>
  </si>
  <si>
    <t xml:space="preserve">ВНС Промышленная, 94 </t>
  </si>
  <si>
    <t xml:space="preserve">ВНС Колхозная, 20 </t>
  </si>
  <si>
    <t>Установка частотного регулируемого привода на насосный агрегат мощностью 18,5 кВт, с установкой прибора учета воды.</t>
  </si>
  <si>
    <t xml:space="preserve">ВНС Гудимы, 28 </t>
  </si>
  <si>
    <t xml:space="preserve">ВНС Красная, 156 </t>
  </si>
  <si>
    <t>Установка частотного регулируемого привода на насосный агрегат мощностью 30кВт, с установкой прибора учета воды.</t>
  </si>
  <si>
    <t xml:space="preserve">ВНС Рашпилевская, 34 </t>
  </si>
  <si>
    <t>ВНС Ново-Кузнечная, 200</t>
  </si>
  <si>
    <t>Установка насосных агрегатов WILO (с ПЧР)</t>
  </si>
  <si>
    <t>ВНС Чапаева, 81</t>
  </si>
  <si>
    <t>ВНС Шоссе Нефтяников, 25</t>
  </si>
  <si>
    <t>ВНС Стасова, 21</t>
  </si>
  <si>
    <t>Переключение маломощных ВНС на более мощные</t>
  </si>
  <si>
    <t>ВНС Калининградская, 36 на ВНС Северная, 288</t>
  </si>
  <si>
    <t>ВНС Красноармейская, 112 на ВНС Красная, 156</t>
  </si>
  <si>
    <t>ВНС Хабаровская, 77 на ВНС Алтайская, 4</t>
  </si>
  <si>
    <t>Установка энергосберегающих ламп</t>
  </si>
  <si>
    <t>*</t>
  </si>
  <si>
    <t>Выявление незаконно подключенных объектов, имеющих технические условия  без проектной документации</t>
  </si>
  <si>
    <t xml:space="preserve">Работа с потребителями, имеющими проекты, не сданы в эксплуатацию  </t>
  </si>
  <si>
    <t>Полные обследования по улицам с целью выявления самовольных подключений объектов</t>
  </si>
  <si>
    <t>Перекладка сетей водопровода</t>
  </si>
  <si>
    <t>Выполнение работ по обследованию сетей водопровода с целью выявления скрытых утечек</t>
  </si>
  <si>
    <t>Итого:</t>
  </si>
  <si>
    <t>С.С.Гераськов</t>
  </si>
  <si>
    <t>2015 год</t>
  </si>
  <si>
    <t>2016 год</t>
  </si>
  <si>
    <t>2017 год</t>
  </si>
  <si>
    <t>2018 год</t>
  </si>
  <si>
    <t>2019 год</t>
  </si>
  <si>
    <t>Наименование показателя</t>
  </si>
  <si>
    <t>Показатели качества питьевой воды</t>
  </si>
  <si>
    <t>1. Доля проб питьевой воды, подаваемой с источников водоснабжения в распределительную водопроводную сеть, не соответствующих установленным требованиям, в общем объеме проб, отобранных по результатам производственного контроля качества питьевой воды, %</t>
  </si>
  <si>
    <t>1.1.  Количество проб питьевой воды, отобранных по результатам производственного контроля, не соответствующих установленным требованиям, ед.</t>
  </si>
  <si>
    <t>1.2. Общее количество отобранных проб, ед.</t>
  </si>
  <si>
    <t>2. Доля проб питьевой воды в распределительной водопроводной сети, не соответствующих установленным требованиям, в общем объеме проб, отобранных по результатам производственного контроля качества питьевой воды, %</t>
  </si>
  <si>
    <t>2.1 Количество проб питьевой воды в распределительной водопроводной сети, отобранных по результатам производственного контроля качества питьевой воды, не соответствующих установленным требованиям, ед.</t>
  </si>
  <si>
    <t>2.2. Общее количество отобранных проб, ед.</t>
  </si>
  <si>
    <t>Показатели надежности и бесперебойности водоснабжения</t>
  </si>
  <si>
    <t>3. Количество перерывов в подаче воды, произошедших в результате аварий, повреждений и иных технологических нарушений в расчете на протяженность водопроводной сети в год, ед./км</t>
  </si>
  <si>
    <t>3.2. Протяженность водопроводной сети, км</t>
  </si>
  <si>
    <t>Показатели эффективности использования ресурсов</t>
  </si>
  <si>
    <t>4. Доля потерь воды в централизованных системах водоснабжения при ее транспортировке в общем объеме, поданной в водопроводную сеть, %</t>
  </si>
  <si>
    <r>
      <t xml:space="preserve">5. Удельный расход электрической энергии, потребляемой в технологическом процессе подготовки питьевой воды, на единицу объема воды, отпускаемой в сеть, кВт*ч/куб.м </t>
    </r>
    <r>
      <rPr>
        <vertAlign val="superscript"/>
        <sz val="11"/>
        <color indexed="8"/>
        <rFont val="Times New Roman"/>
        <family val="1"/>
        <charset val="204"/>
      </rPr>
      <t>1</t>
    </r>
  </si>
  <si>
    <t>5.1. Общее количество электрической энергии, потребляемой в соответствующем технологическом процессе, тыс. кВт*ч</t>
  </si>
  <si>
    <t>6.1. Общее количество электрической энергии, потребляемой в соответствующем технологическом процессе, тыс. кВт*ч</t>
  </si>
  <si>
    <t xml:space="preserve">  </t>
  </si>
  <si>
    <t xml:space="preserve">Начальник энерго-механической службы – </t>
  </si>
  <si>
    <t>А.В. Потанин</t>
  </si>
  <si>
    <t>Рашпилевская от ул. Советской до ул. Комсомольской</t>
  </si>
  <si>
    <t>1.2 Ремонт зданий КНС</t>
  </si>
  <si>
    <t>КНС ХБК</t>
  </si>
  <si>
    <t>КНС Краснодарский</t>
  </si>
  <si>
    <t>1.4 Капитальный ремонт  кровель КНС</t>
  </si>
  <si>
    <t>КНС 6</t>
  </si>
  <si>
    <t>КНС Кларисса</t>
  </si>
  <si>
    <t>КНС 5А</t>
  </si>
  <si>
    <t>1.5 Капитальный ремонт ограждения санитарной зоны КНС</t>
  </si>
  <si>
    <t>1.6 Капитальный ремонт технологического оборудования</t>
  </si>
  <si>
    <t>КНС 10,  насосный агрегат СДВ 2700/26,5</t>
  </si>
  <si>
    <t>1.7 ОСК-1</t>
  </si>
  <si>
    <t>1.7.1 Капитальный ремонт зданий и сооружений. Общестроительные работы</t>
  </si>
  <si>
    <t>1.7.1.1</t>
  </si>
  <si>
    <t>1.7.1.2</t>
  </si>
  <si>
    <t>Аэротенок №1</t>
  </si>
  <si>
    <t>1.7.1.3</t>
  </si>
  <si>
    <t>Здание песколовки</t>
  </si>
  <si>
    <t>1.7.1.4</t>
  </si>
  <si>
    <t>1.7.1.5</t>
  </si>
  <si>
    <t>1.7.1.6</t>
  </si>
  <si>
    <t>Здание воздуходувной станции</t>
  </si>
  <si>
    <t>1.7.1.7</t>
  </si>
  <si>
    <t>Склад</t>
  </si>
  <si>
    <t>1.7.1.8</t>
  </si>
  <si>
    <t>1.7.1.9</t>
  </si>
  <si>
    <t>Первичные отстойники № 3</t>
  </si>
  <si>
    <t>1.7.1.10</t>
  </si>
  <si>
    <t>Первичные отстойники № 2</t>
  </si>
  <si>
    <t>1.7.1.11</t>
  </si>
  <si>
    <t>Вторичные отстойники № 1</t>
  </si>
  <si>
    <t>Вторичные отстойники № 2</t>
  </si>
  <si>
    <t>1.7.2 Ремонт кровель</t>
  </si>
  <si>
    <t>1.7.2.1</t>
  </si>
  <si>
    <t>Лабораторный корпус</t>
  </si>
  <si>
    <t>1.7.2.2</t>
  </si>
  <si>
    <t>Хлораторная склад хлора</t>
  </si>
  <si>
    <t>1.7.3 Капитальный ремонт технологического оборудования</t>
  </si>
  <si>
    <t>1.7.3.1</t>
  </si>
  <si>
    <t>1.7.3.2</t>
  </si>
  <si>
    <t>Электродвигатель насосного агрегата СДВ 7200/29  1000 кВт, 6 кВ 1 шт.</t>
  </si>
  <si>
    <t>1.8 ОСК-2</t>
  </si>
  <si>
    <t>1.8.2 Капитальный ремонт зданий и сооружений. Общестроительные работы</t>
  </si>
  <si>
    <t>1.8.2.1</t>
  </si>
  <si>
    <t xml:space="preserve">Приемная камера с заменой герметичных затворов главной канализационной насосной станции № 2 </t>
  </si>
  <si>
    <t>1.8.2.2</t>
  </si>
  <si>
    <t>Помещение дежурных машинистов воздуходувной станции</t>
  </si>
  <si>
    <t>1.8.3 Ремонт насосной станции сырого осадка (НССО)</t>
  </si>
  <si>
    <t>1.8.3.1</t>
  </si>
  <si>
    <t>Первичный отстойник  с заменой металлоконструкций  № 1</t>
  </si>
  <si>
    <t>1.8.3.2</t>
  </si>
  <si>
    <t>Технологические трубопроводы машинного зала и запорной арматуры</t>
  </si>
  <si>
    <t>1.8.4 Ремонт воздуходувной станции (ВДС)</t>
  </si>
  <si>
    <t>1.8.4.1</t>
  </si>
  <si>
    <t>Оконные блоки в здании воздуходувной станции</t>
  </si>
  <si>
    <t>1.8.5 Ремонт иловой насосной станции (ИНС)</t>
  </si>
  <si>
    <t>1.8.5.1</t>
  </si>
  <si>
    <t>Кровля здания</t>
  </si>
  <si>
    <t>1.8.6 Ремонт иловых площадок  (ИП)</t>
  </si>
  <si>
    <t>1.8.6.1</t>
  </si>
  <si>
    <t>Иловые площадки с заменой трубопроводов, запорной арматуры, дренажной системы, бетонирование бортов и днища</t>
  </si>
  <si>
    <t>1.8.7 Ремонт сооружений</t>
  </si>
  <si>
    <t>1.8.7.1</t>
  </si>
  <si>
    <t>Водослив-аэраторов 2 шт.</t>
  </si>
  <si>
    <t>1.8.7.2</t>
  </si>
  <si>
    <t>Скважина № 41</t>
  </si>
  <si>
    <t>1.8.8 Капитальный ремонт оборудования ГКНС № 2</t>
  </si>
  <si>
    <t>1.8.8.1</t>
  </si>
  <si>
    <t>2 Вспомогательные цеха</t>
  </si>
  <si>
    <t>2.1 Капитальный ремонт теплотрасс</t>
  </si>
  <si>
    <t>КНС 10</t>
  </si>
  <si>
    <t>2.2 Капитальный ремонт электрооборудования</t>
  </si>
  <si>
    <t>КНС Олимпийская, трансформатор 400кВа 10/0,4 кВ (2шт.)</t>
  </si>
  <si>
    <t>КНС Шнековая 2, питающие КЛ-10 кВ</t>
  </si>
  <si>
    <t>Получение разрешения на сбросы загрязняющих веществ (ЗВ)  в водный объект в пределах согласованных нормативов допустимых сбросов (НДС), а также в пределах лимитов           в соответствии с согласованным планом снижения сбросов   загрязняющих веществ (ЗВ)  в реку Кубань.</t>
  </si>
  <si>
    <t>Работы по оценке  риска населения от загрязняющих веществ в атмосферном воздухе.</t>
  </si>
  <si>
    <t>ВОДООТВЕДЕНИЕ</t>
  </si>
  <si>
    <t>2.1.1</t>
  </si>
  <si>
    <t>2.1.2</t>
  </si>
  <si>
    <t>2.2.1</t>
  </si>
  <si>
    <t>2.2.2</t>
  </si>
  <si>
    <t>2.2.3</t>
  </si>
  <si>
    <t>Наименование мероприятия</t>
  </si>
  <si>
    <t>Показатели очистки сточных вод</t>
  </si>
  <si>
    <t>2. Доля поверхностных сточных вод, не подвергающихся очистке, в общем объеме поверхностных сточных вод, принимаемых в централизованную ливневую систему водоотведения, %</t>
  </si>
  <si>
    <t>3. Доля проб сточных вод, не соответствующих установленным нормативам допустимых сбросов, лимитам на сбросы для централизованной общесплавной (бытовой) системы водоотведения, %</t>
  </si>
  <si>
    <t>3.1. Количество проб сточных вод, не соответствующих установленным нормативам допустимых сбросов, лимитам на сбросы, ед.</t>
  </si>
  <si>
    <t>3.2. Общее количество проб сточных вод, ед.</t>
  </si>
  <si>
    <t>4. Доля проб сточных вод, не соответствующих установленным нормативам допустимых сбросов, лимитам на сбросы для централизованной ливневой систем водоотведения, %</t>
  </si>
  <si>
    <t>4.1. Количество проб сточных вод, не соответствующих установленным нормативам допустимых сбросов, лимитам на сбросы, ед.</t>
  </si>
  <si>
    <t>4.2. Общее количество проб сточных вод, ед.</t>
  </si>
  <si>
    <t>Показатели надежности и бесперебойности водоотведения</t>
  </si>
  <si>
    <t xml:space="preserve">5. Удельное количество аварий и засоров в расчете на протяженность канализационной сети в год, ед./км </t>
  </si>
  <si>
    <t>5.1. Количество аварий и засоров на канализационных сетях, ед.</t>
  </si>
  <si>
    <t>5.2. Протяженность канализационных сетей, км</t>
  </si>
  <si>
    <t>7.1. Общее количество электрической энергии, потребляемой в соответствующем технологическом процессе, тыс. кВт*ч</t>
  </si>
  <si>
    <t>Д-</t>
  </si>
  <si>
    <t>мм L-</t>
  </si>
  <si>
    <t>Пог. м</t>
  </si>
  <si>
    <t>500</t>
  </si>
  <si>
    <t>100</t>
  </si>
  <si>
    <t>220</t>
  </si>
  <si>
    <t>63</t>
  </si>
  <si>
    <t>80</t>
  </si>
  <si>
    <t>50</t>
  </si>
  <si>
    <t>55</t>
  </si>
  <si>
    <t>60</t>
  </si>
  <si>
    <t>300</t>
  </si>
  <si>
    <t>25</t>
  </si>
  <si>
    <t>140</t>
  </si>
  <si>
    <t>160</t>
  </si>
  <si>
    <t>20</t>
  </si>
  <si>
    <t>150</t>
  </si>
  <si>
    <t>90</t>
  </si>
  <si>
    <t>110</t>
  </si>
  <si>
    <t>40</t>
  </si>
  <si>
    <t>250</t>
  </si>
  <si>
    <t>200</t>
  </si>
  <si>
    <t>70</t>
  </si>
  <si>
    <t>1.5.2</t>
  </si>
  <si>
    <t>1.5.3</t>
  </si>
  <si>
    <t>1</t>
  </si>
  <si>
    <t>400</t>
  </si>
  <si>
    <t>1000</t>
  </si>
  <si>
    <t>130</t>
  </si>
  <si>
    <t>350</t>
  </si>
  <si>
    <t xml:space="preserve">Сборный напорный трубопровод в машинном зале КНС 2-я Пятилетка  d=500 мм  L=15 м </t>
  </si>
  <si>
    <t>1.1  Ремонт сетей водоотведения</t>
  </si>
  <si>
    <t>Наименование объекта</t>
  </si>
  <si>
    <t xml:space="preserve">Объекты ООО "Краснодар Водоканал" </t>
  </si>
  <si>
    <t>Объекты ООО "Краснодар Водоканал" (ВНС)</t>
  </si>
  <si>
    <t>в сфере холодного водоснабжения</t>
  </si>
  <si>
    <t xml:space="preserve"> и водоотведения, очистки сточных вод </t>
  </si>
  <si>
    <t>на 2015 - 2019 годы</t>
  </si>
  <si>
    <t>Паспорт производственной программы</t>
  </si>
  <si>
    <t xml:space="preserve"> ООО «Краснодар Водоканал»</t>
  </si>
  <si>
    <t>и водоотведения, очистки сточных вод</t>
  </si>
  <si>
    <t xml:space="preserve">(наименование регулируемой организации) </t>
  </si>
  <si>
    <t>город Краснодар, ул. Каляева, 198</t>
  </si>
  <si>
    <t>(местонахождение)</t>
  </si>
  <si>
    <t xml:space="preserve">Администрация муниципального образования город Краснодар         </t>
  </si>
  <si>
    <t>(наименование уполномоченного органа, утвердившего производственную программу)</t>
  </si>
  <si>
    <t>(местонахождение уполномоченного органа, утвердившего производственную программу)</t>
  </si>
  <si>
    <t>(период реализации  производственной программы)</t>
  </si>
  <si>
    <t xml:space="preserve">Раздел 2. Перечень плановых мероприятий по ремонту объектов  централизованной  </t>
  </si>
  <si>
    <t xml:space="preserve">системы водоснабжения, мероприятий, направленных на  улучшение качества </t>
  </si>
  <si>
    <t>питьевой воды.</t>
  </si>
  <si>
    <t>Финансовые потребности на реализацию мероприятий, тыс. руб. с НДС</t>
  </si>
  <si>
    <t>График реализации мероприятий</t>
  </si>
  <si>
    <t>Начало реализации мероприятий</t>
  </si>
  <si>
    <t>Окончание реализации мероприятий</t>
  </si>
  <si>
    <t>п. Северный ул.2я Дорожная м_д ул. 6я Тихая и 3я Трудовая</t>
  </si>
  <si>
    <t>05.2016</t>
  </si>
  <si>
    <t>07.2016</t>
  </si>
  <si>
    <t>мм</t>
  </si>
  <si>
    <t>L-</t>
  </si>
  <si>
    <t>09.2016</t>
  </si>
  <si>
    <t>ул. Старокубанская, 40/2</t>
  </si>
  <si>
    <t>08.2016</t>
  </si>
  <si>
    <t>ул. Благоева, 21</t>
  </si>
  <si>
    <t>ул. Дунайская, 54</t>
  </si>
  <si>
    <t>ул. Ставропольская, 179 а</t>
  </si>
  <si>
    <t>1.2 Ремонт  резервуаров</t>
  </si>
  <si>
    <t>10.2016</t>
  </si>
  <si>
    <t>1.3 Ремонт трубопроводов (обвязка оборудования)</t>
  </si>
  <si>
    <t>12.2016</t>
  </si>
  <si>
    <t>1.4 Ремонт артезианских скважин</t>
  </si>
  <si>
    <t>04.2016</t>
  </si>
  <si>
    <t>1.5 Ремонт  кровли</t>
  </si>
  <si>
    <t>в/з "Витаминкомбинат" здания хлораторной</t>
  </si>
  <si>
    <t xml:space="preserve">в/з "Северо-Западный" павильон  куст, № 10 </t>
  </si>
  <si>
    <t xml:space="preserve">в/з "Северо-Западный" павильон  куст, № 11 </t>
  </si>
  <si>
    <t>1.5.4</t>
  </si>
  <si>
    <t xml:space="preserve">в/з "Северо-Западный" павильон  куст, № 14 </t>
  </si>
  <si>
    <t>1.5.5</t>
  </si>
  <si>
    <t xml:space="preserve">в/з "Ново-Западный" адм. здания НС 2-го подъёма </t>
  </si>
  <si>
    <t>1.5.6</t>
  </si>
  <si>
    <t>06.2016</t>
  </si>
  <si>
    <t>1.5.7</t>
  </si>
  <si>
    <t>1.5.8</t>
  </si>
  <si>
    <t>ВНС ул. Азовская, 13</t>
  </si>
  <si>
    <t>1.5.9</t>
  </si>
  <si>
    <t>ВНС ул. 1 Мая, 165</t>
  </si>
  <si>
    <t>1.5.10</t>
  </si>
  <si>
    <t>ВНС п.Дивный</t>
  </si>
  <si>
    <t>1.5.11</t>
  </si>
  <si>
    <t>ВНС ул. Воровского, 221</t>
  </si>
  <si>
    <t>1.5.12</t>
  </si>
  <si>
    <t>1.5.13</t>
  </si>
  <si>
    <t>ВНС ул. Ленина, 70</t>
  </si>
  <si>
    <t>1.5.14</t>
  </si>
  <si>
    <t>ВНС ул. Лузана, 5</t>
  </si>
  <si>
    <t>1.5.15</t>
  </si>
  <si>
    <t>ВНС ул. Молодёжная, 23</t>
  </si>
  <si>
    <t>1.5.16</t>
  </si>
  <si>
    <t>1.5.17</t>
  </si>
  <si>
    <t>1.5.18</t>
  </si>
  <si>
    <t>ВНС ул. Суворова, 50</t>
  </si>
  <si>
    <t>ВНС ул. Суворова,153</t>
  </si>
  <si>
    <t>ВНС ул. Тургенева, 158</t>
  </si>
  <si>
    <t>ВНС ул.Промышленная,25/8</t>
  </si>
  <si>
    <t>1.6 Ремонт зданий</t>
  </si>
  <si>
    <t>в/з "Ново-Северный" здание хлораторной,  инв. № 6089</t>
  </si>
  <si>
    <t>в/з "Восточный-1" здание хлораторной  инв. №2352</t>
  </si>
  <si>
    <t xml:space="preserve"> в/з "Центральный" н/с "Пашковская" здание насосной станции, инв. № 2251</t>
  </si>
  <si>
    <t>в/з "Центральный"  н/с "Птицекомбинат" здание насосной станции ,  инв. №569, здание ТП-240п, инв № 579</t>
  </si>
  <si>
    <t>в/з "Центральный" н/с скв.26, здание склада хлора, инв. № 2252</t>
  </si>
  <si>
    <t>ВНС ул. Коммунаров, 298, инв. № 4944</t>
  </si>
  <si>
    <t xml:space="preserve">ВНС Промышленная 25/8 </t>
  </si>
  <si>
    <t>ВНС Воровского 221</t>
  </si>
  <si>
    <t xml:space="preserve">ВНС 1 Мая 165 (ККБ) </t>
  </si>
  <si>
    <t xml:space="preserve">ВНС Тургенева 158 </t>
  </si>
  <si>
    <t>1.7 Ремонт ограждений санитарной зоны</t>
  </si>
  <si>
    <t>в/з "Ново-Западный" ТП-1405, инв. №7071</t>
  </si>
  <si>
    <t>в/з/ "Ново-Северный"куст № 8,  инв. №2937</t>
  </si>
  <si>
    <t>1.7.3</t>
  </si>
  <si>
    <t>1.7.4</t>
  </si>
  <si>
    <t>1.7.5</t>
  </si>
  <si>
    <t>ВНС п. Водники</t>
  </si>
  <si>
    <t>1.7.6</t>
  </si>
  <si>
    <t>1.7.7</t>
  </si>
  <si>
    <t>ВНС ул. Российская, 93</t>
  </si>
  <si>
    <t>ВНС ул.  Таманская, 174</t>
  </si>
  <si>
    <t>1.8 Восстановление асфальтобетонного покрытия</t>
  </si>
  <si>
    <t>01.2016</t>
  </si>
  <si>
    <t>1.8.3</t>
  </si>
  <si>
    <t>1.8.4</t>
  </si>
  <si>
    <t>1.8.5</t>
  </si>
  <si>
    <t>1.9 Ремонт зданий павильонов арт. скважин</t>
  </si>
  <si>
    <t>в/з "Ново-Западный"   скв.№56 (106)  инв. №1567</t>
  </si>
  <si>
    <t>03.2016</t>
  </si>
  <si>
    <t xml:space="preserve"> в/з "Центральный" скв. №47</t>
  </si>
  <si>
    <t xml:space="preserve"> в/з "Центральный"скв. №265</t>
  </si>
  <si>
    <t>1.9.5</t>
  </si>
  <si>
    <t>в/з "Центральный",  скв. №66а,52а,411 инв.№647</t>
  </si>
  <si>
    <t>1.9.6</t>
  </si>
  <si>
    <t>в/з "Кировский" скв. №2 инв. №1314/1</t>
  </si>
  <si>
    <t>1.9.7</t>
  </si>
  <si>
    <t>в/з "Роща", скв. № 3 инв.№876</t>
  </si>
  <si>
    <t>1.9.8</t>
  </si>
  <si>
    <t>в/з "Роща", скв. 15 инв.№891</t>
  </si>
  <si>
    <t>1.9.9</t>
  </si>
  <si>
    <t>в/з "Роща", скв. №16п.(павильон скв.16/1) инв.№901</t>
  </si>
  <si>
    <t>1.9.10</t>
  </si>
  <si>
    <t>в/з "Роща", скв. № 17 инв.№935/1</t>
  </si>
  <si>
    <t>1.9.11</t>
  </si>
  <si>
    <t>в/з "Роща",  скв. № 32 инв.№947</t>
  </si>
  <si>
    <t>1.9.12</t>
  </si>
  <si>
    <t>в/з  "Роща", скв. №37 инв.№953</t>
  </si>
  <si>
    <t>1.9.13</t>
  </si>
  <si>
    <t>в/з "Роща", скв. №44 инв.№970</t>
  </si>
  <si>
    <t>1.9.14</t>
  </si>
  <si>
    <t xml:space="preserve"> в/з "Роща", скв. №49 инв.№975</t>
  </si>
  <si>
    <t>1.9.15</t>
  </si>
  <si>
    <t>в/з  "Роща", скв. №49/1 инв.№980</t>
  </si>
  <si>
    <t>1.9.16</t>
  </si>
  <si>
    <t>в/з "Роща", скв. №50 инв.№985</t>
  </si>
  <si>
    <t>1.9.17</t>
  </si>
  <si>
    <t>в/з "Роща", скв. № 72 инв.№1004</t>
  </si>
  <si>
    <t>1.9.18</t>
  </si>
  <si>
    <t>в/з "Роща",  скв. №119 инв.№937</t>
  </si>
  <si>
    <t>1.9.19</t>
  </si>
  <si>
    <t>в/з "Роща", скв. № 208 инв.№991</t>
  </si>
  <si>
    <t>1.9.20</t>
  </si>
  <si>
    <t>в/з "Роща", скв. № 252 инв.№975</t>
  </si>
  <si>
    <t>1.9.21</t>
  </si>
  <si>
    <t>в/з "Роща", скв. № 253 инв.№964</t>
  </si>
  <si>
    <t>1.9.22</t>
  </si>
  <si>
    <t>в/з "Роща", скв. № 328 инв.№4376</t>
  </si>
  <si>
    <t>1.9.23</t>
  </si>
  <si>
    <t>в/з "Роща", скв. № 422 инв.№4367</t>
  </si>
  <si>
    <t>1.9.24</t>
  </si>
  <si>
    <t xml:space="preserve"> в/з  "Северо-Западный" скв. №12 инв. №8</t>
  </si>
  <si>
    <t>1.9.25</t>
  </si>
  <si>
    <t xml:space="preserve">в/з "Северо-Западный" скв. №13   инв №11 </t>
  </si>
  <si>
    <t>1.9.26</t>
  </si>
  <si>
    <t>в/з "Северо-Западный"скв. № 15, инв. № 37</t>
  </si>
  <si>
    <t xml:space="preserve">в/з «Елизаветинский» ремонт разъединителей </t>
  </si>
  <si>
    <t>11.2016</t>
  </si>
  <si>
    <t>в/з "Роща" ремонт масляных выключателей в РУ-6кВ ТП-52п</t>
  </si>
  <si>
    <t xml:space="preserve">в/з "Ново-Северный" ремонт выключателей </t>
  </si>
  <si>
    <t>Техническое освидетельствование зданий и сооружений электросетевого хозяйства</t>
  </si>
  <si>
    <t xml:space="preserve">Техническое обследование водопроводных сетей и сооружений, находящихся на сетях г.Краснодара </t>
  </si>
  <si>
    <t>04.2046</t>
  </si>
  <si>
    <t xml:space="preserve">Изготовление проекта зон санитарной охраны (ЗСО) для  перебуренных артезианских скважин ООО "Краснодар Водоканал" в количестве - 10 шт. </t>
  </si>
  <si>
    <t>Модернизации системы для моделирования водопроводных сетей г. Краснодара с внедрением модуля диспетчеризации и возможностью регистрации аварийных заявок</t>
  </si>
  <si>
    <t>Итого за 2016 год</t>
  </si>
  <si>
    <t>ВНС Селезнева, 88 РЧВ № 1 объемом 1000 м³</t>
  </si>
  <si>
    <t>ВНС Селезнева, 164 РЧВ №1  объемом 1000 м³</t>
  </si>
  <si>
    <t>в/з "Центральный" скв. № 21, 154  инв. №601</t>
  </si>
  <si>
    <t xml:space="preserve">1 ВОДОСНАБЖЕНИЕ </t>
  </si>
  <si>
    <t xml:space="preserve">ВОДОСНАБЖЕНИЕ </t>
  </si>
  <si>
    <t>1.1</t>
  </si>
  <si>
    <t xml:space="preserve">Сети водоснабжения D 100-500 мм L 8,7 км  </t>
  </si>
  <si>
    <t>1.2</t>
  </si>
  <si>
    <t>Ремонт  резервуаров</t>
  </si>
  <si>
    <t>1.3</t>
  </si>
  <si>
    <t>Ремонт технологического оборудования</t>
  </si>
  <si>
    <t>1.4</t>
  </si>
  <si>
    <t>Ремонт артезианских скважин</t>
  </si>
  <si>
    <t>1.5</t>
  </si>
  <si>
    <t>Ремонт  кровли</t>
  </si>
  <si>
    <t>1.6</t>
  </si>
  <si>
    <t>Ремонт зданий</t>
  </si>
  <si>
    <t>1.7</t>
  </si>
  <si>
    <t>Ремонт ограждений санитарной зоны</t>
  </si>
  <si>
    <t>1.8</t>
  </si>
  <si>
    <t>Восстановление асфальтобетонного покрытия</t>
  </si>
  <si>
    <t>1.9</t>
  </si>
  <si>
    <t>Ремонт зданий павильонов арт. скважин</t>
  </si>
  <si>
    <t>Итого за 2017 год</t>
  </si>
  <si>
    <t xml:space="preserve">Сети водоснабжения D 100-500 мм L 7,1 км  </t>
  </si>
  <si>
    <t>Итого за 2018 год</t>
  </si>
  <si>
    <t xml:space="preserve">Сети водоснабжения D 100-500 мм L 5,7 км  </t>
  </si>
  <si>
    <t>Итого за 2019 год</t>
  </si>
  <si>
    <t>Начало реализации мероприятия</t>
  </si>
  <si>
    <t>2015 г.</t>
  </si>
  <si>
    <t>Технические мероприятия</t>
  </si>
  <si>
    <t>Организационные мероприятия</t>
  </si>
  <si>
    <t>Мероприятия по снижению потерь воды</t>
  </si>
  <si>
    <t>Раздел 3. Перечень плановых мероприятий по энергосбережению и повышению</t>
  </si>
  <si>
    <t>энергетической  эффективности, в том числе снижению потерь воды при</t>
  </si>
  <si>
    <t>транспортировке.</t>
  </si>
  <si>
    <t>Финансовые потребности на реализацию мероприятий, тыс. руб</t>
  </si>
  <si>
    <t>Итого 2015 год:</t>
  </si>
  <si>
    <t>2</t>
  </si>
  <si>
    <t xml:space="preserve">ВНС Воровского, 221 </t>
  </si>
  <si>
    <t>Установка энергоэффективного насосного оборудования (2 н/а дневных марки Д125-480а, 1 н/а марки Д125-480б ночной)</t>
  </si>
  <si>
    <t>3</t>
  </si>
  <si>
    <t xml:space="preserve">ВНС КЭЧ </t>
  </si>
  <si>
    <t>4</t>
  </si>
  <si>
    <t xml:space="preserve">ВНС ДИБ </t>
  </si>
  <si>
    <t>5</t>
  </si>
  <si>
    <t xml:space="preserve">ВНС «Болгария» </t>
  </si>
  <si>
    <t>6</t>
  </si>
  <si>
    <t xml:space="preserve">ВНС кВ.1070 </t>
  </si>
  <si>
    <t>Установка энергоэффективного н/а (2 н/а дневных марки Д125-480а, 1 н/а марки Д125-480б ночной)</t>
  </si>
  <si>
    <t>7</t>
  </si>
  <si>
    <t xml:space="preserve">ВНС кВ.1058 </t>
  </si>
  <si>
    <t>8</t>
  </si>
  <si>
    <t xml:space="preserve">ВНС 40 лет Победы, 35/2 </t>
  </si>
  <si>
    <t>9</t>
  </si>
  <si>
    <t xml:space="preserve">ВНС 40 лет Победы, 37/1 </t>
  </si>
  <si>
    <t>10</t>
  </si>
  <si>
    <t xml:space="preserve">ВНС Селезнева, 206 </t>
  </si>
  <si>
    <t>11</t>
  </si>
  <si>
    <t xml:space="preserve">ВНС Фадеева, 29 </t>
  </si>
  <si>
    <t>12</t>
  </si>
  <si>
    <t xml:space="preserve">ВНС Литер 51 (Тюляева, 7/2) </t>
  </si>
  <si>
    <t>Установка энергоэффективного насосного оборудования (с ПЧР)</t>
  </si>
  <si>
    <t>13</t>
  </si>
  <si>
    <t xml:space="preserve">ВНС Леваневского, 57 </t>
  </si>
  <si>
    <t>14</t>
  </si>
  <si>
    <t>15</t>
  </si>
  <si>
    <t>16</t>
  </si>
  <si>
    <t>17</t>
  </si>
  <si>
    <t>18</t>
  </si>
  <si>
    <t>19</t>
  </si>
  <si>
    <t>Ликвидация колонок</t>
  </si>
  <si>
    <t xml:space="preserve">    *- мероприятия с п.14 по п.19 – экономический эффект в натуральных показателях в тыс.м³.</t>
  </si>
  <si>
    <t xml:space="preserve">    Установка частотных регулируемых приводов позволит сэкономить от 5 до 7% электроэнергии, стабилизировать давление в трубопроводах, обеспечить сохранность сетей и улучшить качество подаваемой воды потребителю.</t>
  </si>
  <si>
    <t xml:space="preserve">    В сравнении с действующим оборудованием, установленным на ВНС, установка энергоэффективного оборудования позволит меньше потреблять электроэнергию и соответствовать современным требованиям эксплуатации.</t>
  </si>
  <si>
    <t xml:space="preserve">    Проверка соблюдения потребителями правила пользования системами коммунального водоснабжения и канализации в РФ, соблюдения условий договоров и обеспечения государственного стандарта единства измерений, в части эксплуатации приборов коммерческого учета. </t>
  </si>
  <si>
    <t xml:space="preserve">    Мероприятия по перекладке сетей водопровода позволят снизить потери воды, сократить затраты на выполнение аварийно-восстановительных работ на сетях, улучшить качество и бесперебойную подачу воды.</t>
  </si>
  <si>
    <t xml:space="preserve">Заместитель главного инженера по эксплуатации                                                  </t>
  </si>
  <si>
    <t xml:space="preserve">по эксплуатации                                                  </t>
  </si>
  <si>
    <t xml:space="preserve">Главный энергетик                                                                                               </t>
  </si>
  <si>
    <t>В.Л.Болотин</t>
  </si>
  <si>
    <t xml:space="preserve">Начальник технического отдела                                                                             </t>
  </si>
  <si>
    <t>Ю.В.Хворов</t>
  </si>
  <si>
    <t>ВНС Брянская, 2/а на  ВНС Дзержинского, 1</t>
  </si>
  <si>
    <t xml:space="preserve">Сети водоснабжения D 100-500 мм L 2,5 км  </t>
  </si>
  <si>
    <t xml:space="preserve">1.2 </t>
  </si>
  <si>
    <t xml:space="preserve">1.3 </t>
  </si>
  <si>
    <t>Ремонт трубопроводов (обвязка оборудования)</t>
  </si>
  <si>
    <t xml:space="preserve">1.4 </t>
  </si>
  <si>
    <t xml:space="preserve">1.5 </t>
  </si>
  <si>
    <t xml:space="preserve">1.7 </t>
  </si>
  <si>
    <t xml:space="preserve">1.8 </t>
  </si>
  <si>
    <t xml:space="preserve">1.9 </t>
  </si>
  <si>
    <t>Итого за 2015 год:</t>
  </si>
  <si>
    <t xml:space="preserve">Сети водоснабжения D 100-500 мм L 3,53 км  </t>
  </si>
  <si>
    <t>Итого за 2015 год</t>
  </si>
  <si>
    <t xml:space="preserve"> ул. Заводская, 18</t>
  </si>
  <si>
    <t>L -</t>
  </si>
  <si>
    <t>Пог.м</t>
  </si>
  <si>
    <t xml:space="preserve"> ул.Зиповская, 1</t>
  </si>
  <si>
    <t>ул.Степная</t>
  </si>
  <si>
    <t>ул.Трамвайная</t>
  </si>
  <si>
    <t>КНС п.Жукова</t>
  </si>
  <si>
    <t>ул.Михаила Власова, 292</t>
  </si>
  <si>
    <t>Коллектор ул. С. Разина</t>
  </si>
  <si>
    <t>Южная от ул. Речной до ул. Станкостроительной</t>
  </si>
  <si>
    <t>Красноармейская от ул. Горького до ул. Карасунской</t>
  </si>
  <si>
    <t xml:space="preserve"> от КНС п.Колосистый до ул. Круговая</t>
  </si>
  <si>
    <t>КНС Есенина-Кухаренко</t>
  </si>
  <si>
    <t>1.2 Ремонт вентиляционных систем</t>
  </si>
  <si>
    <t xml:space="preserve">КНС 2 Пятилетка инв. № 83 </t>
  </si>
  <si>
    <t>КНС Шнековая-2 инв. № 356</t>
  </si>
  <si>
    <t>1.3 Ремонт зданий КНС</t>
  </si>
  <si>
    <t>КНС 3 инв. №331</t>
  </si>
  <si>
    <t>1.4 Ремонт кровли на КНС</t>
  </si>
  <si>
    <t xml:space="preserve">КНС 10 инв.№377 </t>
  </si>
  <si>
    <t xml:space="preserve">КНС Олимпийская инв.№62 </t>
  </si>
  <si>
    <t>КНС Пластмаш инв.№188</t>
  </si>
  <si>
    <t xml:space="preserve">КНС Школа, 17 инв.№ 116 </t>
  </si>
  <si>
    <t xml:space="preserve">КНС 23/27  инв.№5968 </t>
  </si>
  <si>
    <t>1.5 Ремонт ограждения санитарной зоны КНС</t>
  </si>
  <si>
    <t>КНС 5 по ул.Шевченко, 148 инв.№ 437</t>
  </si>
  <si>
    <t>1.6 Ремонт технологического оборудования</t>
  </si>
  <si>
    <t xml:space="preserve">КНС 10  н/а  СДВ 2700/26,5, запорная арматура </t>
  </si>
  <si>
    <t xml:space="preserve">КНС 10 ремонт решетки </t>
  </si>
  <si>
    <t>КНС 7, электродвигатель 110кВт</t>
  </si>
  <si>
    <t>КНС Олимпийская, электродвигатель 160 кВт, электродвигатель 132 кВт, насос СД 800/32</t>
  </si>
  <si>
    <t>КНС Шнековая, 1 насосный агрегат S3806M5511</t>
  </si>
  <si>
    <t>КНС Есенина, насосный агрегат SE 150,80,40,2,5D</t>
  </si>
  <si>
    <t>1.7 ОСК-1. Ремонт зданий и сооружений. Общестроительные работы. Ремонт технологического оборудования.</t>
  </si>
  <si>
    <t xml:space="preserve">Здание лабороторного корпуса </t>
  </si>
  <si>
    <t xml:space="preserve">Первичный отстойник №2 </t>
  </si>
  <si>
    <t>Вторичный отстойник</t>
  </si>
  <si>
    <t xml:space="preserve">Секции аэротенков №4 </t>
  </si>
  <si>
    <t xml:space="preserve">Секции аэротенков №3 </t>
  </si>
  <si>
    <t xml:space="preserve">Кровля здания ремонтно механического цеха </t>
  </si>
  <si>
    <t>Илопровод</t>
  </si>
  <si>
    <t>1.8 ОСК-2. Ремонт зданий и сооружений. Общестроительные работы. Ремонт технологического оборудования.</t>
  </si>
  <si>
    <t>Первичный отстойник №4 с заменой металлоконструкций</t>
  </si>
  <si>
    <t>Здания административно-бытового корпуса.</t>
  </si>
  <si>
    <t>Мягкая кровля здания песковых бункеров</t>
  </si>
  <si>
    <t>Оконные блоки иловой насосной, воздуходувной станции</t>
  </si>
  <si>
    <t>1.8.6</t>
  </si>
  <si>
    <t>Мягкая кровля воздуходувной станции (320м2)</t>
  </si>
  <si>
    <t>1.8.7</t>
  </si>
  <si>
    <t>Ремонт контактных резервуаров с заменой системы аэрации</t>
  </si>
  <si>
    <t>1.8.8</t>
  </si>
  <si>
    <t>Турбоагрегат Н-750-23-4 - 1 шт.</t>
  </si>
  <si>
    <t>1.8.9</t>
  </si>
  <si>
    <t>ГКНС-2 насосный агрегат СДВ7200/29 № 3</t>
  </si>
  <si>
    <t>1.8.10</t>
  </si>
  <si>
    <t xml:space="preserve">Аэротенок № 3 </t>
  </si>
  <si>
    <t>1.8.11</t>
  </si>
  <si>
    <t>Приемный резервуар ГКНС № 2 с заменой донного затвора</t>
  </si>
  <si>
    <t>1.8.12</t>
  </si>
  <si>
    <t>Здание управления задвижек песколовки (кровля)</t>
  </si>
  <si>
    <t>1.8.13</t>
  </si>
  <si>
    <t>Иловая площадка с заменой трубопроводов, запорной арматуры, дренажной системы</t>
  </si>
  <si>
    <t>КНС 3 ремонт электродвигателя</t>
  </si>
  <si>
    <t xml:space="preserve">КНС 5 ремонт электродвигателя </t>
  </si>
  <si>
    <t xml:space="preserve">КНС 6 ремонт электродвигателя </t>
  </si>
  <si>
    <t xml:space="preserve">КНС 3 ремонт электродвигателя </t>
  </si>
  <si>
    <t xml:space="preserve">КНС Фитопатология ремонт электродвигателя </t>
  </si>
  <si>
    <t xml:space="preserve">КНС КСК ремонт электротельфера (2 шт.) </t>
  </si>
  <si>
    <t>Производственный контроль за качеством сточных вод (за соблюдением нормативов НДС, лимитов) на ОСК-1 и ОСК-2</t>
  </si>
  <si>
    <t>Составление и согласование отчета о неизменности технологического процесса, отчетов 2 ТП- воздух, 2 ТП- отходы</t>
  </si>
  <si>
    <t xml:space="preserve">Разработка проекта нормативов предельно допустимых выбросов загрязняющих веществ в атмосферу (проект ПДВ) по промбазе и КНС </t>
  </si>
  <si>
    <t xml:space="preserve">Разработка проекта нормативов предельно допустимых выбросов загрязняющих веществ в атмосферу (проект ПДВ) по ОСК1 </t>
  </si>
  <si>
    <t>Разработка проекта нормативов предельно допустимых выбросов загрязняющих веществ в атмосферу (проект ПДВ) по ОСК2</t>
  </si>
  <si>
    <t>Корректировка разработаннойсхемы мониторинга подземных вод в зоне влияния иловых карт на ОСК-1, ОСК-2, гидрологические замеры, написание отчетов.</t>
  </si>
  <si>
    <t xml:space="preserve">Контроль выбросов за соблюдением нормативов ПДВ на источниках выбросов вредных веществ в атмосферу на предприятии. </t>
  </si>
  <si>
    <t xml:space="preserve">Разработка, утверждение нормативов допустимых сбросов веществ (за исключением радиоактивных веществ) и микроорганизмов в водные объекты; получение  решения о предоставлении водного объекта (река Кубань) или его части в пользование, в целях сброса сточных вод </t>
  </si>
  <si>
    <t xml:space="preserve">Работы по  рекультивации нарушенных земель в зоне влияния иловых площадок, а также проведение мероприятий по предотвращению деградации, загрязнения, захламления, нарушения земель, других негативных (вредных) воздействий хозяйственной деятельности в соответвии с проектами рекультивации нарушенных земель в санитарно-защитной зоне на ОСК-1 и на ОСК-2 </t>
  </si>
  <si>
    <t>Итого за 2016 год:</t>
  </si>
  <si>
    <t>мм L -</t>
  </si>
  <si>
    <t xml:space="preserve">1   ВОДООТВЕДЕНИЕ </t>
  </si>
  <si>
    <t xml:space="preserve">ВОДООТВЕДЕНИЕ </t>
  </si>
  <si>
    <t xml:space="preserve">Сети водоотведения D 100-700 мм L 4,8 км  </t>
  </si>
  <si>
    <t>Ремонт вентиляционных систем</t>
  </si>
  <si>
    <t>Ремонт зданий КНС</t>
  </si>
  <si>
    <t>Ремонт кровли на КНС</t>
  </si>
  <si>
    <t>Ремонт ограждения санитарной зоны КНС</t>
  </si>
  <si>
    <t>ОСК-1. Ремонт зданий и сооружений. Общестроительные работы. Ремонт технологического оборудования.</t>
  </si>
  <si>
    <t>ОСК-2. Ремонт зданий и сооружений. Общестроительные работы. Ремонт технологического оборудования.</t>
  </si>
  <si>
    <t>Итого за 2017 год:</t>
  </si>
  <si>
    <t xml:space="preserve">Сети водоотведения D 100-700 мм L 4,3 км  </t>
  </si>
  <si>
    <t>Итого за 2018 год:</t>
  </si>
  <si>
    <t xml:space="preserve"> ВОДООТВЕДЕНИЕ </t>
  </si>
  <si>
    <t xml:space="preserve">Сети водоотведения D 100-700 мм L 3,5 км  </t>
  </si>
  <si>
    <t>Итого за 2019 год:</t>
  </si>
  <si>
    <t>Раздел 9. Перечень плановых мероприятий по ремонту объектов централизованной</t>
  </si>
  <si>
    <t xml:space="preserve">  системы  водоотведения, мероприятий, направленных на улучшение качества</t>
  </si>
  <si>
    <t xml:space="preserve"> очистки сточных вод.</t>
  </si>
  <si>
    <t xml:space="preserve">Сети водоотведения D 100-700 мм L 3,3 км  </t>
  </si>
  <si>
    <t xml:space="preserve">Сети водоотведения D 100-700 мм L 1,42 км  </t>
  </si>
  <si>
    <t>производственной программы:</t>
  </si>
  <si>
    <t>ВОДОСНАБЖЕНИЕ</t>
  </si>
  <si>
    <t xml:space="preserve">                        Баланс водоснабжения.</t>
  </si>
  <si>
    <t>4.1</t>
  </si>
  <si>
    <t>Объем питьевой воды, поданной в сеть</t>
  </si>
  <si>
    <t>4.2</t>
  </si>
  <si>
    <t>Объем технической воды, поданной в сеть</t>
  </si>
  <si>
    <t>8.1</t>
  </si>
  <si>
    <t>8.2.1</t>
  </si>
  <si>
    <t>8.2.2</t>
  </si>
  <si>
    <t>9.1</t>
  </si>
  <si>
    <t>9.2</t>
  </si>
  <si>
    <t>Объем воды, отпускаемой новым абонентам</t>
  </si>
  <si>
    <t>Снижение отпуска питьевой воды в связи с прекращением водоснабжения</t>
  </si>
  <si>
    <t>Изменение объема отпуска питьевой воды в связи с изменением нормативов потребления и установкой приборов учета</t>
  </si>
  <si>
    <t>Темп изменения потребления воды</t>
  </si>
  <si>
    <t>эффективности объектов централизованных систем холодного водоснабжения.</t>
  </si>
  <si>
    <t>Плановые значения показателей на каждый год срока действия программы</t>
  </si>
  <si>
    <t xml:space="preserve"> 3.1. Количество перерывов в подаче воды, произошедших в результате аварий, повреждений и иных технологических нарушений на объектах централизованной системы холодного водоснабжения, ед.</t>
  </si>
  <si>
    <r>
      <t xml:space="preserve">6. Удельный расход электрической энергии, потребляемой в технологическом процессе транспортировки питьевой воды, на единицу объема транспортируемой питьевой воды, кВт*ч/куб.м </t>
    </r>
    <r>
      <rPr>
        <vertAlign val="superscript"/>
        <sz val="11"/>
        <color indexed="8"/>
        <rFont val="Times New Roman"/>
        <family val="1"/>
        <charset val="204"/>
      </rPr>
      <t>2</t>
    </r>
  </si>
  <si>
    <t xml:space="preserve">             Примечание: п.5.1, п.6.1 - В тариф данные показатели не заявлены в связи с тем, что в настоящий момент технический учет расхода электроэнергии на водозаборах охватывает в целом: добычу, очистку, обеззараживание воды и II подъем, а на ВНС в целом: добычу (в случае ее наличия) и III подъем. Определение электроэнергии, потребляемой в технологическом процессе подготовки питьевой воды (добыча, очистка, обеззараживание воды) и электроэнергии, потребляемой в технологическом процессе транспортировки питьевой воды (II подъем и выше) не представляется возможным, т.к. раздельного технического учета электроэнергии по составляющим вышеуказанных процессов нет.</t>
  </si>
  <si>
    <t xml:space="preserve">                         Баланс водоотведения.</t>
  </si>
  <si>
    <t>Единица измерения</t>
  </si>
  <si>
    <t>Объем сточных вод, принятых у абонентов</t>
  </si>
  <si>
    <t>Объем обезвоженного осадка сточных вод</t>
  </si>
  <si>
    <t>Темп изменения объема отводимых сточных вод</t>
  </si>
  <si>
    <t>энергетической эффективности объектов централизованных систем водоотведения.</t>
  </si>
  <si>
    <t xml:space="preserve">1. Доля сточных вод, не подвергающихся очистке, в общем объеме сточных вод, сбрасываемых в централизованные общесплавные или бытовые системы водоотведения, % </t>
  </si>
  <si>
    <t>2.1 Объем поверхностных сточных вод, не подвергшихся очистке, тыс. м3</t>
  </si>
  <si>
    <t>аварий-0 засоров-8,62</t>
  </si>
  <si>
    <t>аварий-0            засоров-8,03</t>
  </si>
  <si>
    <r>
      <t>6. Удельный расход электрической энергии, потребляемой в технологическом процессе очистки сточных вод на единицу объема очищаемых сточных вод, кВт*ч/</t>
    </r>
    <r>
      <rPr>
        <sz val="11"/>
        <color indexed="8"/>
        <rFont val="Times New Roman"/>
        <family val="1"/>
        <charset val="204"/>
      </rPr>
      <t>м</t>
    </r>
    <r>
      <rPr>
        <vertAlign val="superscript"/>
        <sz val="11"/>
        <color indexed="8"/>
        <rFont val="Times New Roman"/>
        <family val="1"/>
        <charset val="204"/>
      </rPr>
      <t>3</t>
    </r>
  </si>
  <si>
    <r>
      <t>7. Удельный расход электрической энергии, потребляемой в технологическом процессе транспортировки сточных вод на единицу объема транспортируемых сточных вод, кВт*ч/</t>
    </r>
    <r>
      <rPr>
        <sz val="11"/>
        <color indexed="8"/>
        <rFont val="Times New Roman"/>
        <family val="1"/>
        <charset val="204"/>
      </rPr>
      <t>м</t>
    </r>
    <r>
      <rPr>
        <vertAlign val="superscript"/>
        <sz val="11"/>
        <color indexed="8"/>
        <rFont val="Times New Roman"/>
        <family val="1"/>
        <charset val="204"/>
      </rPr>
      <t>3</t>
    </r>
  </si>
  <si>
    <t>ОСК-2 ремонт сети освещения (РМЦ, станция сырого осадка, хлораторная, цех механического обезвоживания, иловая насосная станция, песколовка, воздуходувная станция)</t>
  </si>
  <si>
    <t xml:space="preserve">ул. Рождественская Набережная, 23 </t>
  </si>
  <si>
    <t>1.7.</t>
  </si>
  <si>
    <t xml:space="preserve">ВНС ул.Ставропольская 213 </t>
  </si>
  <si>
    <t>водоотведения за 2014 год, истекший период регулирования.</t>
  </si>
  <si>
    <t xml:space="preserve">централизованной системы водоотведения, мероприятий, направленных на улучшение </t>
  </si>
  <si>
    <t>качества очистки сточных вод.</t>
  </si>
  <si>
    <t>Фактические финансовые потребности на реализацию мероприятий в 2014 г., тыс. руб. с НДС</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</si>
  <si>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</si>
  <si>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</si>
  <si>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</si>
  <si>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</si>
  <si>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</si>
  <si>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</si>
  <si>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</si>
  <si>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</si>
  <si>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</si>
  <si>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</si>
  <si>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</si>
  <si>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</si>
  <si>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</si>
  <si>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</si>
  <si>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План, тыс. руб.</t>
  </si>
  <si>
    <t>Факт, тыс. руб.</t>
  </si>
  <si>
    <t>II. ВОДООТВЕДЕНИЕ</t>
  </si>
  <si>
    <t>2.1   Сети водоотведения</t>
  </si>
  <si>
    <t>Капитальный ремонт внутриквартальной сети канализации Д=200мм, L-380 м.п.  ул. Захарова,21;15</t>
  </si>
  <si>
    <t>01.2014</t>
  </si>
  <si>
    <t>12.2014</t>
  </si>
  <si>
    <t>Капитальный ремонт дворовой сети канализации Д=200мм, L-80 м.п. ул. Горького,137 через двор ул.Седина,115</t>
  </si>
  <si>
    <t>31.2014</t>
  </si>
  <si>
    <t>2.1.3</t>
  </si>
  <si>
    <t>Капремонт дворовой канализации ул.Советская</t>
  </si>
  <si>
    <t>2.1.4</t>
  </si>
  <si>
    <t>Капремонт самотечной канализации 300мм по ул.Красных партизан в районе дома №157</t>
  </si>
  <si>
    <t>2.1.5</t>
  </si>
  <si>
    <t>Капитальный ремон главного коллектора ХБК ФК</t>
  </si>
  <si>
    <t>2.1.6</t>
  </si>
  <si>
    <t>Капитальный ремонт Буденновского коллектора по ул.Кожевенной</t>
  </si>
  <si>
    <t>2.11.7</t>
  </si>
  <si>
    <t xml:space="preserve">Капитальный ремонт участка ГФК, Ду-2500 мм </t>
  </si>
  <si>
    <t>2.1.8</t>
  </si>
  <si>
    <t xml:space="preserve">Капитальный ремонт по ул. Воронежская и ул. Маяковского </t>
  </si>
  <si>
    <t>2.1.9</t>
  </si>
  <si>
    <t>Капремонт камеры гашения скорости на фекальном коллекторе от КНС "Артельная",ул. Селезнева- ул. Васнецова</t>
  </si>
  <si>
    <t>2.1.10</t>
  </si>
  <si>
    <t>Капитальный ремонт сетей водоотведения ул.Кореновская, 9, 11</t>
  </si>
  <si>
    <t>2.1.11</t>
  </si>
  <si>
    <t>Капитальный ремонт сетей водоотведения ул.Кореновская, 13,15</t>
  </si>
  <si>
    <t>2.1.12</t>
  </si>
  <si>
    <t>Капремонт участка самотечной канализации перед КНС Московская</t>
  </si>
  <si>
    <t>2.2 Капитальный ремонт вентиляционных систем</t>
  </si>
  <si>
    <t>КНС - Сормовская,1</t>
  </si>
  <si>
    <t>КНС - ХБК</t>
  </si>
  <si>
    <t>КНС - Жукова</t>
  </si>
  <si>
    <t>2.2.4</t>
  </si>
  <si>
    <t>ОСК-1</t>
  </si>
  <si>
    <t>2.3 Капитальный ремонт кровли на КНС</t>
  </si>
  <si>
    <t>2.3.4</t>
  </si>
  <si>
    <t>Ремонт здания КНС ул.Уральская, 17</t>
  </si>
  <si>
    <t>2.4 Капремонт ограждения санитарной зоны КНС</t>
  </si>
  <si>
    <t>2.4.1</t>
  </si>
  <si>
    <t>Ремонт ограждения на территории КНС ХБК</t>
  </si>
  <si>
    <t>2.4.2</t>
  </si>
  <si>
    <t>Ремонт ограждения на территории КНС "Гидрострой"</t>
  </si>
  <si>
    <t>2.4.3</t>
  </si>
  <si>
    <t>Ремонт ограждения КНС-10</t>
  </si>
  <si>
    <t>2.7 Благоустройство территории с восстановлением твёрдого покрытия</t>
  </si>
  <si>
    <t>2.7.1</t>
  </si>
  <si>
    <t>КНС- 3 (ул.Тюляева)</t>
  </si>
  <si>
    <t>2.7.2</t>
  </si>
  <si>
    <t>КНС - РИП (ул.Колхозная)</t>
  </si>
  <si>
    <t>2.9 ОСК-1</t>
  </si>
  <si>
    <t>2.9.1</t>
  </si>
  <si>
    <t>Ремонт ограждения ОСК-1 ул.Калинина,102</t>
  </si>
  <si>
    <t>2.9.2</t>
  </si>
  <si>
    <t>Капремонт здания РМЦ ОСК-1</t>
  </si>
  <si>
    <t>2.10 ОСК-2</t>
  </si>
  <si>
    <t>2.10.1</t>
  </si>
  <si>
    <t>Замена автоматизированной системы дозирования "Галоген"</t>
  </si>
  <si>
    <t>2.10.2</t>
  </si>
  <si>
    <t>Капремонт Аэротенка №3 на ОСК-2</t>
  </si>
  <si>
    <t>2.10.3</t>
  </si>
  <si>
    <t>Капитальный ремонт вторичного отстойника ОСК-2</t>
  </si>
  <si>
    <t>Капремонт контрольно-пропускного пункта на ОСК-2</t>
  </si>
  <si>
    <t>3 Инжининиринговые мероприятия</t>
  </si>
  <si>
    <t>Формирование отчетов 2 ТП-воздух, 2 ТП-отходы.</t>
  </si>
  <si>
    <t>Проект рекультивации нарушенных земель в санитарно-защитной зоне на ОСК-2  ООО "Краснодар Водоканал".</t>
  </si>
  <si>
    <t>Проведение работ по наблюдению за состоянием водных объектов, количественными и качественными показателями состяния водных ресурсов (расчёт индекса загрязнённости воды (ИЗВ) - 1. Сброс сточных вод в р. Кубань с ОСК-1 на 206 км от устья, 2. Сброс сточных вод в р. Кубань с ОСК-2 на 184 км от устья для ООО "Краснодар Водоканал").</t>
  </si>
  <si>
    <t>Разработка и согласование ПНООЛР (Проекта нормати-вов образования отходов и лимитов на их размещение).</t>
  </si>
  <si>
    <t>Разработка и согласование паспортов опасных отходов и порядка осуществления производственного контроля в области обращения с отходами.</t>
  </si>
  <si>
    <t>Разработка и согласование паспорта опасных отходов и корректировка порядка производственно-экологического контроля в области обращения с отходами.</t>
  </si>
  <si>
    <t>Главный инженер</t>
  </si>
  <si>
    <t>Главный технолог</t>
  </si>
  <si>
    <t>С.В. Слепченко</t>
  </si>
  <si>
    <t>А.С. Вершинский</t>
  </si>
  <si>
    <t>водоснабжения за 2014 год, истекший период регулирования.</t>
  </si>
  <si>
    <t xml:space="preserve">системы водоснабжения, мероприятий, направленных на улучшение качества питьевой воды. </t>
  </si>
  <si>
    <t>I.    ВОДОСНАБЖЕНИЕ</t>
  </si>
  <si>
    <t>1.1 Сети водоснабжения</t>
  </si>
  <si>
    <t>ул.Рашпилевская.84  Д-40мм, L-25 м.п.</t>
  </si>
  <si>
    <t>Пр.Чекистов, 7 D-110, L-120 м.п.</t>
  </si>
  <si>
    <t>Ул. 40 лет Победы , 146/4,5 D-150, L-100 м.п.</t>
  </si>
  <si>
    <t>2 пр.Стасова,6  Д-50, Д-32мм мм, L-65 м.п. L-120м.п.</t>
  </si>
  <si>
    <t>ул.Севастопольская,1-5 Д-100мм, Д-200мм, L-100 м.п., L-100 м.п.</t>
  </si>
  <si>
    <t>ул.Пашковская,105</t>
  </si>
  <si>
    <t>ул. Длинная (между ул.Рашпилевской и ул.Красной) Д-300мм,  L- 120м.п.</t>
  </si>
  <si>
    <t>ул. Коммунаров от ул. Горького до Пашковской, Д-25мм, Д-50мм, L-120 м.п., L-180 м.п.</t>
  </si>
  <si>
    <t>1-й пр. Айвазовского, 21,21/1,23,23/1,25,25/1,26/1,26/2 D-25, D-63, L-150 м.п., L-500 м.п.</t>
  </si>
  <si>
    <t>Ул. Буденного, 2 D-100, L-60 м.п.</t>
  </si>
  <si>
    <t>Ул.Красных Партизан - Ведомственной D-300, L-40 м.п.</t>
  </si>
  <si>
    <t>Ул.Доватора,73  D-100, L-70 м.п.</t>
  </si>
  <si>
    <t>ул. Буденного, между ул. Кирова и ул.Фрунзе Д-100мм, L-120 м.п.</t>
  </si>
  <si>
    <t>2-й пр. Айвазовского, 13, 15, 15/1 D-25, D-63, L-60 м.п., L-120 м.п.</t>
  </si>
  <si>
    <t>ул.Бургасская, 80, 82 D-63, L-50 м.п.</t>
  </si>
  <si>
    <t>ул.Серова, 48 D-25, D-63, L-15 м.п., L-40 м.п.</t>
  </si>
  <si>
    <t>ул.Садовая, 15/1 D-63, L-40 м.п.</t>
  </si>
  <si>
    <t>ул.Кузнечная, 87  D-25, D-63, L-35 м.п., L-80 м.п.</t>
  </si>
  <si>
    <t>ул.Захарова, 41 D-63, L-70 м.п.</t>
  </si>
  <si>
    <t>ул. Кубанская-Набережная, между ул.Советская и Мира Д-300мм, L-150м.п.</t>
  </si>
  <si>
    <t>Ул.Рашпилевская,42 D-63, L-70 м.п.</t>
  </si>
  <si>
    <t>ул.Ставропольская, 123/5  D-63, L-80 м.п.</t>
  </si>
  <si>
    <t>4 пр. Пригородный, 38-56  D-110, L-150 м.п.</t>
  </si>
  <si>
    <t>ул. Красных Партизан,135 Д-200мм, L-700 м.п.</t>
  </si>
  <si>
    <t>п. Северный  ул. 3я Трудовая от 1й Дорожной до Дорожной  D-110, L-630 м.п.</t>
  </si>
  <si>
    <t>ул.Рашпилевская, 134  D-100, L-150 м.п.</t>
  </si>
  <si>
    <t>ул.Бургасская, 63  D-110, L-50 м.п.</t>
  </si>
  <si>
    <t>ул.Янковского, 51  D-25, D-35, L-63 м.п., L-60 м.п.</t>
  </si>
  <si>
    <t>ул.Чапаева, 104  D-63 D-110, L-65 м.п.,  L-70 м.п.</t>
  </si>
  <si>
    <t>ул.Кубанская Набережная,4-6  D-250, L-150 м.п.</t>
  </si>
  <si>
    <t>ул.Гимназическая, 101  D-63, D-25, L-30 м.п.,  L-700 м.п.</t>
  </si>
  <si>
    <t>ул.Коммунаров, 87  D-63, D-25, L-30 м.п.,  L-80 м.п.</t>
  </si>
  <si>
    <t>ул.Орджоникидзе, 93  D-25, D-63, L-40 м.п.,  L-70 м.п.</t>
  </si>
  <si>
    <t>ул.Ново-Кузнечная, 200 D-110, L-50 м.п.</t>
  </si>
  <si>
    <t>ул.Пашковская, 64 D-63, L-30 м.п.</t>
  </si>
  <si>
    <t>х.Ленина, ул.Обрезная  Д-63мм  L-50м</t>
  </si>
  <si>
    <t>Пр.3-й Достоевского,17  Д-63мм  L-30м</t>
  </si>
  <si>
    <t>ул.Седина,175  Д-63мм   L-60м</t>
  </si>
  <si>
    <t>ул. Гоголя,30  Д-100мм  L- 90м</t>
  </si>
  <si>
    <t>ул. Базовская 45 Д-50мм L-14 , Д-15 мм L-36</t>
  </si>
  <si>
    <t>1.1.41</t>
  </si>
  <si>
    <t>ул. Гудимы,63 Д-63мм, L-40 м.п.</t>
  </si>
  <si>
    <t>1.1.42</t>
  </si>
  <si>
    <t>3-й пр.Онежский,7  Д-50мм,  L-40 м.п.</t>
  </si>
  <si>
    <t>1.1.43</t>
  </si>
  <si>
    <t>2-й пр. Онежский, 2-6 Д-50 мм L-40 м.п.</t>
  </si>
  <si>
    <t>1.1.44</t>
  </si>
  <si>
    <t>ул.Янковского,42 Д-63мм, L-35 м.п.</t>
  </si>
  <si>
    <t>1.1.45</t>
  </si>
  <si>
    <t>ул.Янковского,42 Д-20мм, L-25 м.п.</t>
  </si>
  <si>
    <t>1.1.46</t>
  </si>
  <si>
    <t>ул. Дзержинского,100 "Красная Площадь"</t>
  </si>
  <si>
    <t>1.1.47</t>
  </si>
  <si>
    <t>Кап ремонт водопровода  по ул. Лазарева</t>
  </si>
  <si>
    <t>1.1.48</t>
  </si>
  <si>
    <t>Переключение сетей водопровода ВНС Котовского 100 на ВНС Котовского 102</t>
  </si>
  <si>
    <t>1.1.49</t>
  </si>
  <si>
    <t>Переключение сетей водопровода ВНС Рашпилевская,178 на ВНС Дзержинского,11</t>
  </si>
  <si>
    <t>1.1.50</t>
  </si>
  <si>
    <t>Замена участка водопровода Д-600мм  L-75 м.п. на в/з Востнчый 1</t>
  </si>
  <si>
    <t>1.1.51</t>
  </si>
  <si>
    <t>ул. Гудимы,33  Д-25мм L-25 м.п.</t>
  </si>
  <si>
    <t>1.1.52</t>
  </si>
  <si>
    <t>ул. Гудимы,33 Д-63мм,  L-50 м.п.</t>
  </si>
  <si>
    <t>1.1.53</t>
  </si>
  <si>
    <t>ул. Длинная,225 Д-25 мм, L-25 м.п.</t>
  </si>
  <si>
    <t>1.1.54</t>
  </si>
  <si>
    <t>ул. Длинная,225 Д-63 мм, L-70 м.п.</t>
  </si>
  <si>
    <t>1.1.55</t>
  </si>
  <si>
    <t>ул.Рашпилевская 66</t>
  </si>
  <si>
    <t>1.1.56</t>
  </si>
  <si>
    <t>ул. Комсомольская, 55 Д-110 мм, L-24 м.п.</t>
  </si>
  <si>
    <t>1.1.57</t>
  </si>
  <si>
    <t>ул. Сормовская, 183 Д-110 мм, L-20 м.п.</t>
  </si>
  <si>
    <t>1.1.58</t>
  </si>
  <si>
    <t>Ботаническая, 7-9 п. Водники Д-63 мм, L-50 м.п.</t>
  </si>
  <si>
    <t>1.1.59</t>
  </si>
  <si>
    <t>2 пр. Онежский, 2 Д-50 мм, L-17 м.п.</t>
  </si>
  <si>
    <t>1.1.60</t>
  </si>
  <si>
    <t>ул. Энгельса, 158/2 Д-25 мм, L-30 м.п.</t>
  </si>
  <si>
    <t>1.1.61</t>
  </si>
  <si>
    <t>ул. Красных Партизан, 130 Д-25 мм, L-20 м.п.</t>
  </si>
  <si>
    <t>1.1.62</t>
  </si>
  <si>
    <t>ул. Калинина, 1/9 Д-63 мм, L-60 м.п.</t>
  </si>
  <si>
    <t>1.1.63</t>
  </si>
  <si>
    <t>ул. Ставропольская, 28 Д-63 мм, L-10 м.п.</t>
  </si>
  <si>
    <t>1.1.64</t>
  </si>
  <si>
    <t>ул. Седина, 163 Д-32 мм, L-60 м.п.</t>
  </si>
  <si>
    <t>1.1.65</t>
  </si>
  <si>
    <t>ул Демченко, 108 Д-25 мм, L-17 м.п.</t>
  </si>
  <si>
    <t>1.1.66</t>
  </si>
  <si>
    <t>ул. Коммунаров, 71 Д-32 мм, L-20 м.п.</t>
  </si>
  <si>
    <t>1.1.67</t>
  </si>
  <si>
    <t>ул Бершанская, 271 Д-32 мм, L-40 м.п.</t>
  </si>
  <si>
    <t>1.1.68</t>
  </si>
  <si>
    <t>ул. Садовая, 15/1 Д-63 мм, L-120 м.п.</t>
  </si>
  <si>
    <t>1.1.69</t>
  </si>
  <si>
    <t>в/з Витаминкомбинат куст 12 Д-160 мм, L-40 м.п.</t>
  </si>
  <si>
    <t>1.1.70</t>
  </si>
  <si>
    <t>ул Гоголя, 95 Д-25 мм, L-9 м.п.</t>
  </si>
  <si>
    <t>1.1.71</t>
  </si>
  <si>
    <t xml:space="preserve">ОСК-2 Д-225 мм, L-70 м.п. </t>
  </si>
  <si>
    <t>1.1.72</t>
  </si>
  <si>
    <t>ул Гагарина, 132 Д-110 мм, L-20 м.п.</t>
  </si>
  <si>
    <t>1.1.73</t>
  </si>
  <si>
    <t>ул Коммунаров, 50 (Храм) Д-110 мм, L-40 м.п.</t>
  </si>
  <si>
    <t>1.1.74</t>
  </si>
  <si>
    <t>ул. Гоголя, 93 Д-20 мм, L-6 м.п.</t>
  </si>
  <si>
    <t>1.1.75</t>
  </si>
  <si>
    <t>ул. Кирова, 204 (п.Пашковский) Д-110 мм, L-15 м.п.</t>
  </si>
  <si>
    <t>1.1.76</t>
  </si>
  <si>
    <t>ул. Садовая, 3 (п. ТЭЦ) Д-32 мм, L-5 м.п.</t>
  </si>
  <si>
    <t>1.1.77</t>
  </si>
  <si>
    <t>ул. Онежская, 18 Д-50 мм, L-2 м.п.</t>
  </si>
  <si>
    <t>1.1.78</t>
  </si>
  <si>
    <t>ул. Гаражный 3, 5, 7 Д-160 мм, L-2 м.п.</t>
  </si>
  <si>
    <t>1.1.79</t>
  </si>
  <si>
    <t>ул. Обрывная, 129/1 Д-63 мм, L-50 м.п.</t>
  </si>
  <si>
    <t>1.1.80</t>
  </si>
  <si>
    <t>ул. Комсомольская, 54 Д-25 мм, L-15 м.п.</t>
  </si>
  <si>
    <t>1.1.81</t>
  </si>
  <si>
    <t>ул. Глиняный, 4,6 Д-50 мм, L-15 м.п.</t>
  </si>
  <si>
    <t>1.1.82</t>
  </si>
  <si>
    <t>ул. Базовская, 5-а, ул. Гимназическая, 115 Д-63 мм, L-60 м.п.</t>
  </si>
  <si>
    <t>1.1.83</t>
  </si>
  <si>
    <t>в/з Дренажный, скв. 128 Д-160 мм, L-20 м.п.</t>
  </si>
  <si>
    <t>1.1.84</t>
  </si>
  <si>
    <t>ул. Красноармейская, 4/1 Д-110 мм, L-30 м.п.</t>
  </si>
  <si>
    <t>1.1.85</t>
  </si>
  <si>
    <t>ул. Красина, 2 Д-63 мм, L-25 м.п.</t>
  </si>
  <si>
    <t>1.1.86</t>
  </si>
  <si>
    <t>ул. Тургенева угол ул. Калинина (пост ГАИ)      Д-15 мм, L-10 м.п.</t>
  </si>
  <si>
    <t>1.1.87</t>
  </si>
  <si>
    <t>ул. Сормовская, 15 Д-63 мм, L-40 м.п.</t>
  </si>
  <si>
    <t>1.1.88</t>
  </si>
  <si>
    <t>ул. Симферопольская, 24</t>
  </si>
  <si>
    <t>1.1.89</t>
  </si>
  <si>
    <t>ул. Циалковского, 20 Д-110 мм, L-130 м.п.</t>
  </si>
  <si>
    <t>1.1.90</t>
  </si>
  <si>
    <t>ул. Бургасская, 4 Д-63мм, L-15 м.п.</t>
  </si>
  <si>
    <t>1.191</t>
  </si>
  <si>
    <t>ул. Пашковская, 79 Д-32 мм, L-8 м.п.</t>
  </si>
  <si>
    <t>1.1.92</t>
  </si>
  <si>
    <t>ул. Уральская, 196 Д-110 мм, L-60 м.п.</t>
  </si>
  <si>
    <t>1.1.93</t>
  </si>
  <si>
    <t>ул. Новокузнечная, 52 Д-63 мм, L-60 м.п.</t>
  </si>
  <si>
    <t>1.1.94</t>
  </si>
  <si>
    <t>ул. Крупская, 113 Д-110 мм, L-140 м.п.</t>
  </si>
  <si>
    <t>1.1.95</t>
  </si>
  <si>
    <t>Чистка резервуаров питьевой воды на водазоборах</t>
  </si>
  <si>
    <t>1.1.96</t>
  </si>
  <si>
    <t>Чистка резервуаров питьевой воды на ВНС</t>
  </si>
  <si>
    <t>1.2 Ремонт кровли ВНС:</t>
  </si>
  <si>
    <t>ВНС Котовского, 102</t>
  </si>
  <si>
    <t>ВНС Минская, 120</t>
  </si>
  <si>
    <t>ВНС Фрунзе, 117</t>
  </si>
  <si>
    <t>ВНС Димитрова, 115/3</t>
  </si>
  <si>
    <t>ВНС Волжская, 77</t>
  </si>
  <si>
    <t>ВНС Болгария</t>
  </si>
  <si>
    <t>ВНС Кавказская, 154</t>
  </si>
  <si>
    <t>ВНС 5-й пр. Артельный, 20</t>
  </si>
  <si>
    <t>ВНС ЛДК ЗИП</t>
  </si>
  <si>
    <t>1.2.10</t>
  </si>
  <si>
    <t>Ремонт здания Карасунского округа</t>
  </si>
  <si>
    <t>1.2.11</t>
  </si>
  <si>
    <t>ВНС Уссурийская, 2</t>
  </si>
  <si>
    <t>1.2.13</t>
  </si>
  <si>
    <t>ВНС Жлобы, 1а</t>
  </si>
  <si>
    <t>1.2.14</t>
  </si>
  <si>
    <t>1.3 Ремонт зданий ВНС</t>
  </si>
  <si>
    <t>ВНС Селезнева, 132</t>
  </si>
  <si>
    <t>ВНС Школьная, 17</t>
  </si>
  <si>
    <t>ВНС КЭЧ</t>
  </si>
  <si>
    <t>ВНС Селезнёва, 164</t>
  </si>
  <si>
    <t>1.4 Ремонт ограждений санитарной зоны</t>
  </si>
  <si>
    <t>Ремонт ограждения на базе участка ППР ул.Красина,2</t>
  </si>
  <si>
    <t>1.6 Водозаборные сооружения</t>
  </si>
  <si>
    <t>1.6.1 Капитальный ремонт зданий и сооружений общестроительные работы</t>
  </si>
  <si>
    <t>1.6.1.2</t>
  </si>
  <si>
    <t>в/з"Роща". Павильон скв.№328 ,3,422,199,37,15,49,253,44,208,50</t>
  </si>
  <si>
    <t>1.6.1.3</t>
  </si>
  <si>
    <t>в/з"Кировский". Павильон скв.№2,7,11,23</t>
  </si>
  <si>
    <t>1.6.1.4</t>
  </si>
  <si>
    <t>в/з "Ново-Северный" хлораторная (административное здание)</t>
  </si>
  <si>
    <t>1.6.1.5</t>
  </si>
  <si>
    <t>в/з Ново-Западный, кровля здания машзала</t>
  </si>
  <si>
    <t>1.6.1.6</t>
  </si>
  <si>
    <t>в/з"Центральный" Здание насосной станции</t>
  </si>
  <si>
    <t>1.6.1.7</t>
  </si>
  <si>
    <t>Капремонт контрольно-пропускного пунка на в/з "Восточный-1"</t>
  </si>
  <si>
    <t>1.6.1.8</t>
  </si>
  <si>
    <t>Капитальный ремонт биореактора на в/з "Первомайский</t>
  </si>
  <si>
    <t>Ремонт ограждения  на в/з"Ново-Северный"</t>
  </si>
  <si>
    <t>1.6.1.9</t>
  </si>
  <si>
    <t>в/з  «Ново-Западный» ремонт кровли диспетчерского пункта</t>
  </si>
  <si>
    <t>1.6.1.10</t>
  </si>
  <si>
    <t>в/з Восточный-2 Вентиляция хлораторной</t>
  </si>
  <si>
    <t>1.6.1.11</t>
  </si>
  <si>
    <t>в/з Роща павильон скв.3</t>
  </si>
  <si>
    <t>1.6.1.12</t>
  </si>
  <si>
    <t>в/з Роща павильон скв.35</t>
  </si>
  <si>
    <t>1.6.1.13</t>
  </si>
  <si>
    <t>в/з Витаминкомбинат, павильон скв. 12</t>
  </si>
  <si>
    <t>1.6.2 Капитальный ремонт  арт. скважин</t>
  </si>
  <si>
    <t>1.6.2.1</t>
  </si>
  <si>
    <t>в/з "Восточный-2" арт. скв. №  148/115а</t>
  </si>
  <si>
    <t>1.6.2.2</t>
  </si>
  <si>
    <t>Новознаменский ул.Богатырская, 9</t>
  </si>
  <si>
    <t>1.7 Ремонт коммунальной инфраструктуры оборудования системы водоснабжения</t>
  </si>
  <si>
    <t>Капремонт актового зала управления</t>
  </si>
  <si>
    <t>1.8 Вспомогательные цеха</t>
  </si>
  <si>
    <t>Капремонт электропомещений подстанций на водозаборах (ул.Зиповская,4; ул.Таллалихина,66; ул.Каляева,194)</t>
  </si>
  <si>
    <t>Капремонт электродвигателей</t>
  </si>
  <si>
    <t>ВНС Алтайская 4, Электрооборудование</t>
  </si>
  <si>
    <t>ВНС Бургасская 56, Электрооборудование</t>
  </si>
  <si>
    <t>ВНС Димитрова 146, Электрооборудование</t>
  </si>
  <si>
    <t>ВНС Железнодорожная 23, Электрооборудование</t>
  </si>
  <si>
    <t>ВНС Кирова 60, Электрооборудование</t>
  </si>
  <si>
    <t>ВНС Красная 145, Электрооборудование</t>
  </si>
  <si>
    <t>ВНС Красная 174, Электрооборудование</t>
  </si>
  <si>
    <t>ВНС Ленина 71, Электрооборудование</t>
  </si>
  <si>
    <t>ВНС Молодежная 23, Электрооборудование</t>
  </si>
  <si>
    <t>ВНС Московская 2, Электрооборудование</t>
  </si>
  <si>
    <t>ВНС Московская 74, Электрооборудование</t>
  </si>
  <si>
    <t>1.8.14</t>
  </si>
  <si>
    <t>ВНС Полины Осипенко 141, Электрооборудование</t>
  </si>
  <si>
    <t>1.8.15</t>
  </si>
  <si>
    <t>ВНС Ростовское шоссе 12, Электрооборудование</t>
  </si>
  <si>
    <t>1.8.16</t>
  </si>
  <si>
    <t>ВНС Хакурате 12, Электрооборудование</t>
  </si>
  <si>
    <t>1.8.17</t>
  </si>
  <si>
    <t>ВНС Шоссе Нефтянников 9/1, Электрооборудование</t>
  </si>
  <si>
    <t>1.8.18</t>
  </si>
  <si>
    <t>ВНС 1 Мая, 230, электрооборудование</t>
  </si>
  <si>
    <t>1.8.19</t>
  </si>
  <si>
    <t>ВНС Азовская, 13 электрооборудование</t>
  </si>
  <si>
    <t>1.8.20</t>
  </si>
  <si>
    <t>ВНС Калинина (РОК 1) электрооборудование</t>
  </si>
  <si>
    <t>1.8.21</t>
  </si>
  <si>
    <t xml:space="preserve"> ВНС Ставропольская, 155 электрооборудование</t>
  </si>
  <si>
    <t>1.8.22</t>
  </si>
  <si>
    <t xml:space="preserve">ВНС Ставропольская, 213 электрооборудование </t>
  </si>
  <si>
    <t>1.9 Инжиниринговые мероприятия</t>
  </si>
  <si>
    <t>Мониторинг подземных вод Краснодарского месторождения.  (Выполнение технологических и других работ в области гидрогеологии и мониторинга подземных вод на объектах ООО «Краснодар Водоканал» за 2014 год)</t>
  </si>
  <si>
    <t>Обеспечение и поддержание разработанной и введенной в действие постоянно действующей модели Краснодарского месторождения подземных вод. Перспективная оценка влияния эксплуатации водозаборов на окружающую среду. (Поддержание действующей гидрогеодинамической модели Краснодарского месторождения подземных вод по участкам, эксплуатируемым ООО «Краснодар Водоканал» на основании данных за 2014 год)</t>
  </si>
  <si>
    <t>Работы по согласованию и утверждению ЗСО для скважин в количестве 20 шт.</t>
  </si>
  <si>
    <t>Консультационные услуги по согласованию проекта организации ЗСО  для скважин в количестве 20 шт.</t>
  </si>
  <si>
    <t>Изготовление проектов ЗСО для вновь принятых и перебуренных артезианских скважин ООО "Краснодар Водоканал" в количестве - 15шт. (Изготовление и согласование ЗСО (зон санитарной охраны) для 25 арт. скважин)</t>
  </si>
  <si>
    <t>Разработка и согласование проектов ЗСО для вновь принятых и перебуренных артезианских скважин (перспектива 2014г.) в количестве 5 шт. (Разработка, согласование и утверждение проектов организации ЗСО для перебуренных арт скважин)</t>
  </si>
  <si>
    <t>ИТОГО:</t>
  </si>
  <si>
    <t>Заместитель главного инженера</t>
  </si>
  <si>
    <t>ВНС 1 Мая 165 (ККБ) электрооборудование</t>
  </si>
  <si>
    <t>Корректировка  проекта (технологической схемы в части бурения и ликвидации водозаборных скважин №№ 144, 124, 319)</t>
  </si>
  <si>
    <t>ул. 40 лет Победы, 146/7-9</t>
  </si>
  <si>
    <t>п. Дивный ул. Кочетинская между ул. Ивовой и ул. Багряной</t>
  </si>
  <si>
    <t>п. Дивный ул. Малиновая</t>
  </si>
  <si>
    <t xml:space="preserve"> п. Индустриальный ул. Юбилейная</t>
  </si>
  <si>
    <t xml:space="preserve"> ул. 40 лет Победы. 146/5-6</t>
  </si>
  <si>
    <t>ул. Седина, 175</t>
  </si>
  <si>
    <t>Работы по востановлению (увеличению) дебета артезианских скважин № 123, 3, 9, 14, 11</t>
  </si>
  <si>
    <t>КНС Артельная  инв.№ 121</t>
  </si>
  <si>
    <t>ул. Воровского, 195-197</t>
  </si>
  <si>
    <t>ул. Дзержинского, 11</t>
  </si>
  <si>
    <t>ул. Октябрьская, 109</t>
  </si>
  <si>
    <t>Промышленная, 94</t>
  </si>
  <si>
    <t>ул. Промышленная от ж/д №21 до ж/д №21/6, 21/4, 21/8</t>
  </si>
  <si>
    <t>п. Северный ул. 4-я Дорожная м-у ул.2-й Трудовой и ул.1й Трудовой</t>
  </si>
  <si>
    <t>ул. Игнатова, 4</t>
  </si>
  <si>
    <t>ул. Мачуги от ул.Шевченко до жд №86</t>
  </si>
  <si>
    <r>
      <t>Востановление асфальтобетонного покрытия (после аварийных разрытий) 9810 м</t>
    </r>
    <r>
      <rPr>
        <sz val="10"/>
        <rFont val="Times New Roman"/>
        <family val="1"/>
        <charset val="204"/>
      </rPr>
      <t>²</t>
    </r>
  </si>
  <si>
    <t>31.12.2019</t>
  </si>
  <si>
    <t>192</t>
  </si>
  <si>
    <t xml:space="preserve">Песчаная, 5 </t>
  </si>
  <si>
    <t xml:space="preserve">Карла Маркса, 14 </t>
  </si>
  <si>
    <t>75</t>
  </si>
  <si>
    <t>Пр. Чекистов, 35</t>
  </si>
  <si>
    <t>190</t>
  </si>
  <si>
    <t>95</t>
  </si>
  <si>
    <t>57</t>
  </si>
  <si>
    <t>45</t>
  </si>
  <si>
    <t>170</t>
  </si>
  <si>
    <t>Пашковская, 64</t>
  </si>
  <si>
    <t>230</t>
  </si>
  <si>
    <t>Кубанская Набережная, 4-6</t>
  </si>
  <si>
    <t>109,5</t>
  </si>
  <si>
    <t>3-й пр. Онежский, 17</t>
  </si>
  <si>
    <t>32</t>
  </si>
  <si>
    <t>Седина, 127</t>
  </si>
  <si>
    <t>Октябрьская, 41</t>
  </si>
  <si>
    <t>Ставропольская, 123/5</t>
  </si>
  <si>
    <t xml:space="preserve">п. Северный ул. 3 я Трудовая от 1-й Дорожной до Дорожной </t>
  </si>
  <si>
    <t>Виноградная, 54-56</t>
  </si>
  <si>
    <t xml:space="preserve">п. Северный 8-я Урожайная м/д ул. 3-й Трудовой и ул. 1-й Большевистской </t>
  </si>
  <si>
    <t>630</t>
  </si>
  <si>
    <t xml:space="preserve">в/з Восточный 1 </t>
  </si>
  <si>
    <t>Азовская, 3</t>
  </si>
  <si>
    <t>в/з Ново-Северный</t>
  </si>
  <si>
    <t>2-я Площадка</t>
  </si>
  <si>
    <t>Рашпилевская, 134</t>
  </si>
  <si>
    <t>Дзержинского, 100</t>
  </si>
  <si>
    <t xml:space="preserve">1.2 Ремонт кровель </t>
  </si>
  <si>
    <t>в/з Северо-Западный, здание насосной</t>
  </si>
  <si>
    <r>
      <t>ВНС</t>
    </r>
    <r>
      <rPr>
        <sz val="10"/>
        <color indexed="8"/>
        <rFont val="Times New Roman"/>
        <family val="1"/>
        <charset val="204"/>
      </rPr>
      <t xml:space="preserve"> 40 лет Победы, 35/2 (с ремонтом кровли)</t>
    </r>
  </si>
  <si>
    <r>
      <t>ВНС</t>
    </r>
    <r>
      <rPr>
        <sz val="10"/>
        <color indexed="8"/>
        <rFont val="Times New Roman"/>
        <family val="1"/>
        <charset val="204"/>
      </rPr>
      <t xml:space="preserve"> Стасова, 158 (с ремонтом кровли)</t>
    </r>
  </si>
  <si>
    <t>ВНС Селезнева, 88</t>
  </si>
  <si>
    <t>ВНС Вишняковой, 1</t>
  </si>
  <si>
    <t>ВНС Седина 11</t>
  </si>
  <si>
    <t>ВНС Седина, 138</t>
  </si>
  <si>
    <t>ВНС Седина 177</t>
  </si>
  <si>
    <t>ВНС Ставропольская, 80</t>
  </si>
  <si>
    <t>ВНС Кузнечная 47</t>
  </si>
  <si>
    <t>ВНС Ставропольская, 155/2</t>
  </si>
  <si>
    <t>ВНС Стасова 175/1 (Алтайская 4/1)</t>
  </si>
  <si>
    <t>ВНС Уральская, 91/ Дежнева, 46</t>
  </si>
  <si>
    <t>ВНС Колхозная, 20/1</t>
  </si>
  <si>
    <t>ВНС Гудимы 28</t>
  </si>
  <si>
    <t>ВНС Черкасская 43</t>
  </si>
  <si>
    <t>ВНС Коммунаров 229</t>
  </si>
  <si>
    <t>ВНС Коммунаров 298</t>
  </si>
  <si>
    <t>ВНС Бургасская, 56</t>
  </si>
  <si>
    <t xml:space="preserve">в/з "Роща". Павильон скважины № 119 </t>
  </si>
  <si>
    <t>в/з Роща Станция водоподготовки "Кристал-Б"</t>
  </si>
  <si>
    <t>ВНС Володарского, 5 № 469</t>
  </si>
  <si>
    <t>ВНС Красная, 153</t>
  </si>
  <si>
    <t>Капитальный ремонт ограждения на водозаборе  в/з Витаминкомбинат куст 2, куст 3</t>
  </si>
  <si>
    <t>Капитальный ремонт ограждения на водозаборе Восточный 2 куст 10</t>
  </si>
  <si>
    <t>в/з Елизаветинский,  электрооборудование  (ВЛ 6 кВ замена РЛНД-10 – 20 шт.)</t>
  </si>
  <si>
    <t xml:space="preserve">в/з Восточный 1 здание КТП-672п </t>
  </si>
  <si>
    <t>Ремонт коммунальной инфраструктуры оборудования системы водоснабжения, ремонт здания дирекции по сбыту, ул. Каляева, 259</t>
  </si>
  <si>
    <t>в/з Ново-Западный замена МВ на ВВ - 6шт. В РУ 6кВ ТП-563п</t>
  </si>
  <si>
    <t>в/з Восточный 2 ремонт закрытых кабельных переходов в трех футлярах под ж/д полотном на станции "Сортировочная"</t>
  </si>
  <si>
    <t>Ремонт кровли РМЦ</t>
  </si>
  <si>
    <t>Поддержание действующей гидродинамической модели Краснодарского месторождения подземных вод по участкам. Решение прогнозных задач по оценке запасов подземных вод на участках недр.</t>
  </si>
  <si>
    <t>Изготовление  проекта ЗСО (зон санитарной охраны) для 25 артскважин.</t>
  </si>
  <si>
    <t>Разработка проекта зон санитарной охраны (ЗСО) для пяти артезианских скважин: № 275 расположенной на водозаборе «Витаминкомбинат», №№ 178,179, 180 расположенных на водозаборе «Восточный-1», № 413 расположенной на водозаборе «Центральный».</t>
  </si>
  <si>
    <t>Техническое обследование водопроводных сетей и сооружений находящихся на сетях  г. Краснодара (Карасунский округ).</t>
  </si>
  <si>
    <t>Оказание услуг по формированию и сопровождению пакета документации для постановки на кадастровый учет сведений о зонах санитарной охраны водных объектов, используемых длчя питьевого назначения в соответствии с ФЗ 221 от 24.07.2007г.</t>
  </si>
  <si>
    <t>640</t>
  </si>
  <si>
    <t>600</t>
  </si>
  <si>
    <t>156</t>
  </si>
  <si>
    <t>Итого 2015 год</t>
  </si>
  <si>
    <t>3.12</t>
  </si>
  <si>
    <t>3.13</t>
  </si>
  <si>
    <t>1.3.14</t>
  </si>
  <si>
    <t>1.3.15</t>
  </si>
  <si>
    <t>1.3.16</t>
  </si>
  <si>
    <t>1.3.17</t>
  </si>
  <si>
    <t>1.3.18</t>
  </si>
  <si>
    <t>1.3.19</t>
  </si>
  <si>
    <t>1.3.20</t>
  </si>
  <si>
    <t>1.3.21</t>
  </si>
  <si>
    <t>1.3.22</t>
  </si>
  <si>
    <t>1.3.23</t>
  </si>
  <si>
    <t>1.3.24</t>
  </si>
  <si>
    <t>1.3.25</t>
  </si>
  <si>
    <t>1.3.26</t>
  </si>
  <si>
    <t>1.3.27</t>
  </si>
  <si>
    <t>1.3.28</t>
  </si>
  <si>
    <t>1.3.29</t>
  </si>
  <si>
    <t>1.139</t>
  </si>
  <si>
    <t>1.140</t>
  </si>
  <si>
    <t>1.141</t>
  </si>
  <si>
    <t>1.142</t>
  </si>
  <si>
    <t>1.143</t>
  </si>
  <si>
    <t>1.144</t>
  </si>
  <si>
    <t>1.145</t>
  </si>
  <si>
    <t>1.146</t>
  </si>
  <si>
    <t>1.147</t>
  </si>
  <si>
    <t>1.148</t>
  </si>
  <si>
    <t>1.149</t>
  </si>
  <si>
    <t>01.2015</t>
  </si>
  <si>
    <t>12.2015</t>
  </si>
  <si>
    <t>Московская,84</t>
  </si>
  <si>
    <t>Капитальный ремонт коллектора ул.С.Разина</t>
  </si>
  <si>
    <t>62</t>
  </si>
  <si>
    <t>Гагарина, 73Б</t>
  </si>
  <si>
    <t>Лорис, 4</t>
  </si>
  <si>
    <t>Лорис у КНС</t>
  </si>
  <si>
    <t>Лорис, 49</t>
  </si>
  <si>
    <t>Гидростроителей, 47</t>
  </si>
  <si>
    <t>Волжская, 73</t>
  </si>
  <si>
    <t>Капитальный ремонт коллектора по ул. Рашпилевской от ул.Советской до ул.Комсомольской</t>
  </si>
  <si>
    <t>ул.Ягодина-Российская</t>
  </si>
  <si>
    <t>Капитальный ремонт коллектора по ул. Красноармейской от ул.Горького до ул.Карасунской</t>
  </si>
  <si>
    <t>Самотечный участок ГФК</t>
  </si>
  <si>
    <t>2000</t>
  </si>
  <si>
    <t>Покрышкино, Западный обход</t>
  </si>
  <si>
    <t>Ремонт напорного трубопровода по ул. Трамвайной до ул. Селезнева</t>
  </si>
  <si>
    <t>КНС 2-я Пятилетка</t>
  </si>
  <si>
    <t>КНС х.Ленина</t>
  </si>
  <si>
    <t>КНС пер.Гаражный</t>
  </si>
  <si>
    <t>КНС 3</t>
  </si>
  <si>
    <t>КНСх. Ленина</t>
  </si>
  <si>
    <t>КНС 7, электродвигатель 110 кВт</t>
  </si>
  <si>
    <t>КНС РИП, электродвигатель 160 кВт</t>
  </si>
  <si>
    <t>КНС ХБК, насосный агрегат СД 450/22,5</t>
  </si>
  <si>
    <t>Аэротенок № 2</t>
  </si>
  <si>
    <t>Аэротенок № 1</t>
  </si>
  <si>
    <t>Асфальтные дороги</t>
  </si>
  <si>
    <t>Здание ГКНС-1</t>
  </si>
  <si>
    <t>ГКНС 1</t>
  </si>
  <si>
    <t>Электродвигатель турбонагнетателя 1000 кВт, 6кВ</t>
  </si>
  <si>
    <t>Насосный агрегат СДВ7200/29  № 1 и № 3 2 шт.</t>
  </si>
  <si>
    <t>Сети освещения АБК и ГКНС-2</t>
  </si>
  <si>
    <t>ОСК-1 ремонт проводки и освещения</t>
  </si>
  <si>
    <t>Комплексное техническое освидетельствование электрооборудования на объектах</t>
  </si>
  <si>
    <t>Разработка проекта мониторинга подземных вод в зоне влияния иловых карт на ОСК-1; ОСК-2.</t>
  </si>
  <si>
    <t>Измерение и анализ промышленных выбросов (включая отбор проб)</t>
  </si>
  <si>
    <t xml:space="preserve">Производственный контроль за качеством сточных  вод на ОСК-1 и ОСК-2. </t>
  </si>
  <si>
    <t xml:space="preserve">Организация лабораторных наблюдений за состоянием загрязнения атмосферного воздуха и других физических факторов на границе расчетной санитарно защитной зоны (СЗЗ) и  жилой застройки по ОСК-1; ОСК-2. Написание отчета по результатам наблюдений (50 дней). </t>
  </si>
  <si>
    <t>Гидрологическая характеристика р.Кубань в створах сбросов сточных вод с ОСК-1, ОСК-2</t>
  </si>
  <si>
    <t>Формирование отчета о неизменности технологического процесса, формирование отчетов 2 ТП-воздух, 2 ТП-отходы.</t>
  </si>
  <si>
    <t xml:space="preserve">Гидравлическое моделирование режимов работы сетей водоотведения г. Краснодара в программно - расчетном комплексе "ZULU".   </t>
  </si>
  <si>
    <t>Подготовка документов обосновывающих класс опасности отходов</t>
  </si>
  <si>
    <t>Разрабока нормативов допустимых сбросов веществ. Получение решения о предоставлении водного объекта</t>
  </si>
  <si>
    <t>Выполнение расчетов платежей за выбросы, сбросы вредных веществ в окружающую среду, размещение отходов потребления и производства</t>
  </si>
  <si>
    <t>Сбор данных о месячных и годовых суммах осадков</t>
  </si>
  <si>
    <t>1.Водоотведение</t>
  </si>
  <si>
    <t>1.7.2.3</t>
  </si>
  <si>
    <t>3.14</t>
  </si>
  <si>
    <t>3.15</t>
  </si>
  <si>
    <t>А.В. Синицин</t>
  </si>
  <si>
    <t>01.01.2015</t>
  </si>
  <si>
    <t>Директор по капитальному строительству</t>
  </si>
  <si>
    <t>И.В. Периков</t>
  </si>
  <si>
    <t>Начальник отдела тарифообразования</t>
  </si>
  <si>
    <t xml:space="preserve">ул. Красная, 122, город Краснодар, 350000              </t>
  </si>
  <si>
    <t xml:space="preserve">с 01.01.2015 г. по 31.12.2019 г.                        </t>
  </si>
  <si>
    <t xml:space="preserve">ООО «Краснодар Водоканал»           </t>
  </si>
  <si>
    <t>Изготовление проектов зон санитарной охраны для вновь принятых и перебуренных артезианских скважин ООО "Краснодар Водоканал" в количестве - 15 шт. (- № 275 в/з «Витаминкомбинат», №№ 178,179, 180 в/з «Восточный-1», № 413 в/з «Центральный», №№ 311, 428, 510 в/з «Станции Подкачки», 3 артезианские скважины, которые планируются к передаче на баланс ООО «Краснодар Водоканал» сторонними организациями в 2015 г, - 4 артезианские скважины, которые планируется пробурить/ перебурить в 2015 г.</t>
  </si>
  <si>
    <t>Замена приборов учета э. э. кл. точности 2 на кл. точности 1  (16 шт)</t>
  </si>
  <si>
    <r>
      <t xml:space="preserve">        </t>
    </r>
    <r>
      <rPr>
        <b/>
        <sz val="12"/>
        <rFont val="Times New Roman"/>
        <family val="1"/>
        <charset val="204"/>
      </rPr>
      <t>Раздел 6.</t>
    </r>
    <r>
      <rPr>
        <sz val="12"/>
        <rFont val="Times New Roman"/>
        <family val="1"/>
        <charset val="204"/>
      </rPr>
      <t xml:space="preserve"> </t>
    </r>
    <r>
      <rPr>
        <b/>
        <sz val="12"/>
        <rFont val="Times New Roman"/>
        <family val="1"/>
        <charset val="204"/>
      </rPr>
      <t xml:space="preserve">Объем финансовых потребностей, необходимых для реализации </t>
    </r>
  </si>
  <si>
    <r>
      <t xml:space="preserve">2015 год </t>
    </r>
    <r>
      <rPr>
        <u/>
        <sz val="12"/>
        <color indexed="8"/>
        <rFont val="Times New Roman"/>
        <family val="1"/>
        <charset val="204"/>
      </rPr>
      <t xml:space="preserve">1 305 858,62 </t>
    </r>
    <r>
      <rPr>
        <sz val="12"/>
        <color indexed="8"/>
        <rFont val="Times New Roman"/>
        <family val="1"/>
        <charset val="204"/>
      </rPr>
      <t>тыс. руб. без НДС;</t>
    </r>
  </si>
  <si>
    <t>5.3</t>
  </si>
  <si>
    <t>5.2</t>
  </si>
  <si>
    <t>5.1</t>
  </si>
  <si>
    <r>
      <t xml:space="preserve">Раздел 7.1 </t>
    </r>
    <r>
      <rPr>
        <sz val="12"/>
        <color indexed="8"/>
        <rFont val="Times New Roman"/>
        <family val="1"/>
        <charset val="204"/>
      </rPr>
      <t xml:space="preserve">Перечень выполненных мероприятий по ремонту объектов централизованной </t>
    </r>
  </si>
  <si>
    <t>Раздел 11 Плановые значения показателей надежности, качества и</t>
  </si>
  <si>
    <t xml:space="preserve">Раздел 12 Объем финансовых потребностей, необходимых для реализации </t>
  </si>
  <si>
    <t xml:space="preserve">Раздел 13 Отчет об исполнении производственной программы в сфере </t>
  </si>
  <si>
    <r>
      <t xml:space="preserve">Раздел 13.1 </t>
    </r>
    <r>
      <rPr>
        <sz val="12"/>
        <color indexed="8"/>
        <rFont val="Times New Roman"/>
        <family val="1"/>
        <charset val="204"/>
      </rPr>
      <t xml:space="preserve">Перечень выполненных мероприятий по ремонту объектов </t>
    </r>
  </si>
  <si>
    <t>Раздел 10 Мероприятия направленные на повышение качества обслуживания абонентов.</t>
  </si>
  <si>
    <t>Раздел 8 Планируемый объем водоотведения и очистки сточных вод,  расчет эффективности производственной программы.</t>
  </si>
  <si>
    <t xml:space="preserve">Раздел 7 Отчет об исполнении производственной программы в сфере холодного </t>
  </si>
  <si>
    <t xml:space="preserve">Раздел 5 Плановые значения показателей надежности, качества и энергетической </t>
  </si>
  <si>
    <t>Раздел 4 Мероприятия направленные на повышение качества обслуживания абонентов.</t>
  </si>
  <si>
    <t>Раздел 3 Перечень плановых мероприятий по энергосбережению и повышению</t>
  </si>
  <si>
    <t xml:space="preserve">Раздел 1 Планируемый объем подачи воды, расчет эффективности производственной программы. </t>
  </si>
  <si>
    <r>
      <t xml:space="preserve">2016 год </t>
    </r>
    <r>
      <rPr>
        <u/>
        <sz val="12"/>
        <color indexed="8"/>
        <rFont val="Times New Roman"/>
        <family val="1"/>
        <charset val="204"/>
      </rPr>
      <t>1 011 595,04</t>
    </r>
    <r>
      <rPr>
        <sz val="12"/>
        <color indexed="8"/>
        <rFont val="Times New Roman"/>
        <family val="1"/>
        <charset val="204"/>
      </rPr>
      <t xml:space="preserve"> тыс. руб. без НДС;</t>
    </r>
  </si>
  <si>
    <r>
      <t xml:space="preserve">2017 год </t>
    </r>
    <r>
      <rPr>
        <u/>
        <sz val="12"/>
        <color indexed="8"/>
        <rFont val="Times New Roman"/>
        <family val="1"/>
        <charset val="204"/>
      </rPr>
      <t>1 113 031,89</t>
    </r>
    <r>
      <rPr>
        <sz val="12"/>
        <color indexed="8"/>
        <rFont val="Times New Roman"/>
        <family val="1"/>
        <charset val="204"/>
      </rPr>
      <t xml:space="preserve"> тыс. руб. без НДС;</t>
    </r>
  </si>
  <si>
    <r>
      <t xml:space="preserve">2015 год </t>
    </r>
    <r>
      <rPr>
        <u/>
        <sz val="12"/>
        <color indexed="8"/>
        <rFont val="Times New Roman"/>
        <family val="1"/>
        <charset val="204"/>
      </rPr>
      <t xml:space="preserve">824 701,85   </t>
    </r>
    <r>
      <rPr>
        <sz val="12"/>
        <color indexed="8"/>
        <rFont val="Times New Roman"/>
        <family val="1"/>
        <charset val="204"/>
      </rPr>
      <t>тыс. руб. без НДС;</t>
    </r>
  </si>
  <si>
    <r>
      <t xml:space="preserve">2018 год </t>
    </r>
    <r>
      <rPr>
        <u/>
        <sz val="12"/>
        <color indexed="8"/>
        <rFont val="Times New Roman"/>
        <family val="1"/>
        <charset val="204"/>
      </rPr>
      <t>1 150 878,43</t>
    </r>
    <r>
      <rPr>
        <sz val="12"/>
        <color indexed="8"/>
        <rFont val="Times New Roman"/>
        <family val="1"/>
        <charset val="204"/>
      </rPr>
      <t xml:space="preserve"> тыс. руб. без НДС;</t>
    </r>
  </si>
  <si>
    <r>
      <t xml:space="preserve">2019 год </t>
    </r>
    <r>
      <rPr>
        <u/>
        <sz val="12"/>
        <color indexed="8"/>
        <rFont val="Times New Roman"/>
        <family val="1"/>
        <charset val="204"/>
      </rPr>
      <t>1 206 058,91</t>
    </r>
    <r>
      <rPr>
        <sz val="12"/>
        <color indexed="8"/>
        <rFont val="Times New Roman"/>
        <family val="1"/>
        <charset val="204"/>
      </rPr>
      <t xml:space="preserve"> тыс. руб. без НДС.</t>
    </r>
  </si>
  <si>
    <t>Исполнительный директор</t>
  </si>
  <si>
    <t>С.В. Прокофьев</t>
  </si>
  <si>
    <t>*  Расчет эффективности производственной программы, осуществляется путем сопоставления раздела 5 и раздела 6 производственной программы.</t>
  </si>
  <si>
    <t>Фактическое значение показателя за 2014 год</t>
  </si>
  <si>
    <t>Ремонт  резервуаров на водозаборных сооружениях</t>
  </si>
  <si>
    <t>Ремонт артезианских скважин на водозаборных сооружениях</t>
  </si>
  <si>
    <t>Ремонт  кровли насосных станций</t>
  </si>
  <si>
    <t>Ремонт зданий насосных станций</t>
  </si>
  <si>
    <t>Ремонт зданий павильонов арт. скважин на водозаборных сооружениях</t>
  </si>
  <si>
    <r>
      <t xml:space="preserve">Вспомогательные цеха. </t>
    </r>
    <r>
      <rPr>
        <sz val="10"/>
        <rFont val="Times New Roman"/>
        <family val="1"/>
        <charset val="204"/>
      </rPr>
      <t>Ремонт электрооборудования.</t>
    </r>
  </si>
  <si>
    <t xml:space="preserve">Ремонт сети водоснабжения D 100-500 мм L 7,1 км  </t>
  </si>
  <si>
    <t xml:space="preserve">Ремонт сети водоснабжения D 100-500 мм L 5,7 км  </t>
  </si>
  <si>
    <t>1.1   Ремонт сетей водоотведения</t>
  </si>
  <si>
    <t>Технические мероприятия по установке энергоэффективного оборудования</t>
  </si>
  <si>
    <t>Организационные мероприятия по выявлению незаконных подключений</t>
  </si>
  <si>
    <t xml:space="preserve">Ремонт сетей водоотведения D 100-700 мм L 4,3 км  </t>
  </si>
  <si>
    <t>Ремонт вентиляционных систем КНС</t>
  </si>
  <si>
    <t>Ремонт технологического оборудования КНС</t>
  </si>
  <si>
    <r>
      <t xml:space="preserve">Вспомогательные цеха. </t>
    </r>
    <r>
      <rPr>
        <sz val="10"/>
        <rFont val="Times New Roman"/>
        <family val="1"/>
        <charset val="204"/>
      </rPr>
      <t>Ремонт электрооборудования</t>
    </r>
  </si>
  <si>
    <t xml:space="preserve">Ремонт сетей водоотведения D 100-700 мм L 3,5 км  </t>
  </si>
  <si>
    <t>Ремонт кровли КНС</t>
  </si>
  <si>
    <t>Развитие форм заочного обслуживания:
1.1 Внедрение личного кабинета по юридическим лицам с возможностью передачи показаний и оплаты, не выходя из офиса (интернет эквайринг).
1.2 Модернизация существующего личного кабинета по физическим лицам. Передача показаний приборов учета водоотведения и возможность оплаты через интернет.
1.3 Развитие услуг выставлениях счётов юр. лицам с электронной цифровой подписью. 
1.4 Снижение времени ожидания оператора при обращении абонента (потребителя) по вопросам водоснабжения и водоотведения по телефону "горячей линии".</t>
  </si>
  <si>
    <t xml:space="preserve">Совершенствование очного обслуживания:
2.1 Электронная очередь ожидания в едином окне водоканала. 
2.2 Увеличение кассовых окон в едином окне.
2.3 Организация приёма платежей в кассе водоканала посредством банковских карт (внедрение эквайринга). 
</t>
  </si>
  <si>
    <t>Автоматизация процесса контрольных съёмов посредством фото фиксации и через планшет передача данных напрямую в биллинг (правильность расчётов с абонентами и исключение спорных ситуаций в расчётах).</t>
  </si>
  <si>
    <t xml:space="preserve">Организация современного фронт офиса  компании в центре города с функционалом консультаций по всем вопросам водоснабжения и возможностью передачи показаний и оплаты за услуги. </t>
  </si>
  <si>
    <t>Развитие направлений внетарифной деятельности, улучшающих обслуживание абонента: установка счётчиков и организация выездной поверки, развитие услуг по промывке сетей и устранения протечек на сетях абонентов, развитие услуг приема ЖБО.</t>
  </si>
  <si>
    <t>Соблюдение требований законодательства о раскрытии информации о деятельности регулируемой организации.</t>
  </si>
  <si>
    <t>Размещение на официальном сайте и информационных стендах ООО "Краснодар Водоканал" информации о законодательных актах, на основании которых производятся начисления.</t>
  </si>
  <si>
    <t>Проведение акции, направленной на выявление несанкционированных подключений.</t>
  </si>
  <si>
    <t>5.2. Общий объем питьевой воды, в отношении которой осуществляется водоподготовка, тыс. м³</t>
  </si>
  <si>
    <t>6.2. Общий объем транспортируемой питьевой воды, тыс. м³</t>
  </si>
  <si>
    <t>4.2. Общий объем воды, поданной в водопроводную сеть, тыс. м³</t>
  </si>
  <si>
    <t>4.1. Объем потерь воды в централизованных системах водоснабжения при ее транспортировке, тыс. м³</t>
  </si>
  <si>
    <t>2.2. Общий объем поверхностных сточных вод, принимаемых в централизованную ливневую систему водоотведения, тыс. м³</t>
  </si>
  <si>
    <t>1.2. Общий объем сточных вод, сбрасываемых в централизованные общесплавные или бытовые системы водоотведения, тыс. м³</t>
  </si>
  <si>
    <t>1.1. Объем сточных вод, не подвергшихся очистке, тыс. м³</t>
  </si>
  <si>
    <t>6.2. Общий объем сточных вод, подвергающихся очистке, тыс. м³</t>
  </si>
  <si>
    <t>7.2. Общий объем транспортируемых сточных вод, тыс. м³</t>
  </si>
  <si>
    <t xml:space="preserve">Ремонт сетей водоотведения </t>
  </si>
  <si>
    <t>КНС Фитопотология</t>
  </si>
  <si>
    <t>КНС Пластмаш</t>
  </si>
  <si>
    <t>КНС Песчаная</t>
  </si>
  <si>
    <t>Самотечная канализация ул. Седина угол ул. Головатого</t>
  </si>
  <si>
    <t>Самотечная канализация ул. Рашпилевская,77</t>
  </si>
  <si>
    <t>Самотечная канализация 1-й Заречный пр.,6-8</t>
  </si>
  <si>
    <t>Самотечная канализация, Сормовская,106-108</t>
  </si>
  <si>
    <t>Самотечная канализация,Симферопольская,16</t>
  </si>
  <si>
    <t>Самотечная канализация, Офицерская,43-45</t>
  </si>
  <si>
    <t>Напорная канализация,КНС-3 до камеры гашения</t>
  </si>
  <si>
    <t>Самотечная канализация, ул. Садовая,10-12. п.ТЭЦ</t>
  </si>
  <si>
    <t>Напорная канализация от КНС-ТЭЦ до ул.Трамвайной</t>
  </si>
  <si>
    <t>Самотечная канализация, ул.Трудовой Славы,21-ул.Благоева,24</t>
  </si>
  <si>
    <t>Самотечная канализация, ул.Димитрова,131</t>
  </si>
  <si>
    <t>Самотечная канализация, КНС-Артельная и ул. 2-я Пятилетка</t>
  </si>
  <si>
    <t>Ремонт насосного агрегата СДВ-7200/29 на ГКНС-2</t>
  </si>
  <si>
    <t>Ремонт турбоагрегата Н-750-23 №4 на ОСК-2</t>
  </si>
  <si>
    <t>Ремонт турбокомпрессора ТВ 300-1,6 ОСК-2</t>
  </si>
  <si>
    <t>Ремонт вторичного отстойника №5 ОСК-2</t>
  </si>
  <si>
    <t>Ремонт иловой площадки №290 на ОСК-2</t>
  </si>
  <si>
    <t>Замена щитовых затворов песколовок ОСК-2</t>
  </si>
  <si>
    <t>Ремонт щитовых затворов эрлифтной камеры на ОСК-2</t>
  </si>
  <si>
    <t>Ремонт кровли здания воздуходувной станции ОСК-2</t>
  </si>
  <si>
    <t>Капитальный ремонт насосного агрегата СДВ 720029 №3 на ОСК-1</t>
  </si>
  <si>
    <t>Капитальный ремонт здания материального склада ОСК-1</t>
  </si>
  <si>
    <t>Капитальный ремонт вторичного отстойника №1 ОСК-1</t>
  </si>
  <si>
    <t>Капитальный ремонт шибера КНС Фитопотология №146686</t>
  </si>
  <si>
    <t>Капитальный ремонт Насоса СДВ 2700/26,5</t>
  </si>
  <si>
    <t>Капитальный ремонт Насоса SV 80.80.210.2.54HS244 gnd 511 №21578</t>
  </si>
  <si>
    <t>Ремонт электрооборудования освещения КНС Песчаная инв.№185</t>
  </si>
  <si>
    <t>Ремонт электрооборудования освещения КНС Фитопотология инв.№74</t>
  </si>
  <si>
    <t>Ремонт электрооборудования освещения КНС Пластмаш инв.№188</t>
  </si>
  <si>
    <t>Кап.ремонт мягкой кровли КНС КСК</t>
  </si>
  <si>
    <t>Кап.ремонт мягкой кровли КНС ДИБ</t>
  </si>
  <si>
    <t>Кап.ремонт мягкой кровли КНС Артельная</t>
  </si>
  <si>
    <t>Кап.ремонт мягкой кровли КНС Учхоз Кубань</t>
  </si>
  <si>
    <t>Ремонт высоковольтного распредустройства с заменой выключателей нагрузки ВНП-16 на КНС ХБК ТП-521п.</t>
  </si>
  <si>
    <t>Капитальный ремонт высоковольтного ввода ВВ-4 с заменой выключателей нагрузки ВНП-16 на КНС-16 на КНС Шнековая,2 ТП-1224п..</t>
  </si>
  <si>
    <t>Ремонт высоковольтного распредустройства с заменой выключателей нагрузки ВНП-16 на КНС 2-я Пятилетка ТП-325п.</t>
  </si>
  <si>
    <t>Капитальный ремонт комплексного распредустройства с заменой выключателей нагрузки ВНП-16 на КНС РИП ТП-325п.</t>
  </si>
  <si>
    <t>Ремонт высоковольтного распредустройства с заменой выключателей нагрузки ВНП-16 на КНС Песчаная ТП-637п.</t>
  </si>
  <si>
    <t>Ремонт высоковольтного распредустройства с заменой выключателей нагрузки ВНП-16 на КНС Фитопотология ТП-6691п.</t>
  </si>
  <si>
    <t>Кап.ремонт ремонт ячеек КСО-366 с заменой выключателей нагрузки ВНП-16 на КНС-3 ТП-1033п</t>
  </si>
  <si>
    <t>ул. Российская, 128</t>
  </si>
  <si>
    <t>ул. Гагарина, 61 - ул. Герцена, 190</t>
  </si>
  <si>
    <t>ул. Рашпилевская, 77</t>
  </si>
  <si>
    <t>ул. Рашпилевская, 66</t>
  </si>
  <si>
    <t>ул. Симферопольская, 30</t>
  </si>
  <si>
    <t>ул. Фрунзе, 138</t>
  </si>
  <si>
    <t>ул. Красная, 162</t>
  </si>
  <si>
    <t>ул. Кавказская от ул. Павлова до ул. Ставропольской, 96</t>
  </si>
  <si>
    <t>ул. Рашпилевская, 62</t>
  </si>
  <si>
    <t>ул. Рашпилевская, 127</t>
  </si>
  <si>
    <t>ул. Шевченко - ул. Ставропольская</t>
  </si>
  <si>
    <t>ул. Гимназическая, 22</t>
  </si>
  <si>
    <t>ул. Янковского, 68</t>
  </si>
  <si>
    <t>ул. Благоева, 13-21</t>
  </si>
  <si>
    <t>ул. Уральская, 146-158/2</t>
  </si>
  <si>
    <t>ВНС ул. Темрюкская, 62</t>
  </si>
  <si>
    <t>ВНС ул. Сормовская, 102</t>
  </si>
  <si>
    <t>ВНС ул. Гоголя, 30</t>
  </si>
  <si>
    <t>ВНС ул. Гоголя, 41</t>
  </si>
  <si>
    <t>ВНС ул. Рашпилевская, 34</t>
  </si>
  <si>
    <t>ВНС ул. Дзержинского, 98а</t>
  </si>
  <si>
    <t>ВНС ул. Северная, 288</t>
  </si>
  <si>
    <t>ВНС ул. пр. Чекистов, 1</t>
  </si>
  <si>
    <t>ВНС ул. Тургенева, 106</t>
  </si>
  <si>
    <t>ВНС ул. Ленина, 50</t>
  </si>
  <si>
    <t>ВНС ул. Леваневского, 191</t>
  </si>
  <si>
    <t>ВНС ул. Промышленная, 94</t>
  </si>
  <si>
    <t>ВНС ул. Радио, 12</t>
  </si>
  <si>
    <t>ВНС ул. Коммунаров, 56</t>
  </si>
  <si>
    <t>ВНС ул. Воронежская, 31</t>
  </si>
  <si>
    <t>ВНС ул. Молодежная, 23</t>
  </si>
  <si>
    <t>ВНС ул. Ставропольская, 238</t>
  </si>
  <si>
    <t>в/з "им. Кирова" скв. 5</t>
  </si>
  <si>
    <t>в/з "Елизаветинский" ТП 878п</t>
  </si>
  <si>
    <t>в/з "Восточный-1" ТП-663п</t>
  </si>
  <si>
    <t>в/з "Восточный-2" ТП-1420п</t>
  </si>
  <si>
    <t>в/з "Витаминкомбинат" здание НС 2 подъема</t>
  </si>
  <si>
    <t>в/з "Северо-Западный" здание насосной</t>
  </si>
  <si>
    <t>Раздел 13 Отчет об исполнении производственной программы в сфере водоотведения за</t>
  </si>
  <si>
    <t xml:space="preserve"> 2015 год, истекший период регулирования.</t>
  </si>
  <si>
    <t xml:space="preserve"> системы водоотведения, мероприятий, направленных на улучшение качества очистки</t>
  </si>
  <si>
    <t xml:space="preserve"> сточных вод.</t>
  </si>
  <si>
    <t>План на  2015 г, тыс. руб. с НДС</t>
  </si>
  <si>
    <t>Фактические финансовые потребности на реализацию мероприятий в 2015 г., тыс.руб. без НДС</t>
  </si>
  <si>
    <t>Наименование показателей (выполненных по факту работ)</t>
  </si>
  <si>
    <t>Способ выполнения работ (хозяйственный, подрядный-наименование подрядной организации)</t>
  </si>
  <si>
    <t>Перечень подтверждающих документов</t>
  </si>
  <si>
    <t>1    ВОДООТВЕДЕНИЕ</t>
  </si>
  <si>
    <t xml:space="preserve">Московская, 84 </t>
  </si>
  <si>
    <t xml:space="preserve">Коллектор ул.С.Разина </t>
  </si>
  <si>
    <t xml:space="preserve">Лорис, 4 </t>
  </si>
  <si>
    <t xml:space="preserve">Лорис у КНС </t>
  </si>
  <si>
    <t xml:space="preserve">Лорис, 49 </t>
  </si>
  <si>
    <t xml:space="preserve">Гидростроителей, 47 </t>
  </si>
  <si>
    <t xml:space="preserve">Волжская, 73 </t>
  </si>
  <si>
    <t xml:space="preserve">ул.Ягодина – Российская </t>
  </si>
  <si>
    <t>ГФК Аварийно-восстановительные работы</t>
  </si>
  <si>
    <t>мм L- 32</t>
  </si>
  <si>
    <t>пог.м</t>
  </si>
  <si>
    <t>Западный обход. Ремонт трубопровода</t>
  </si>
  <si>
    <t>Д_500мм</t>
  </si>
  <si>
    <t>L-80 пог.м</t>
  </si>
  <si>
    <t>ул.Трамвайная-Селезнева</t>
  </si>
  <si>
    <t>115 м в две нитки</t>
  </si>
  <si>
    <t>КНС 2я Пятилетка</t>
  </si>
  <si>
    <t>Капремонт КНС пер.Гаражный</t>
  </si>
  <si>
    <t>КНС Уссурийская, 2</t>
  </si>
  <si>
    <t>КНС п. Жукова</t>
  </si>
  <si>
    <t>КНС пер. Гаражный</t>
  </si>
  <si>
    <t xml:space="preserve">КНС 3 </t>
  </si>
  <si>
    <t>КНС 2-я Пятилетка, 17</t>
  </si>
  <si>
    <t>КНС 7,  электродвигатель 110 кВт</t>
  </si>
  <si>
    <t>КНС РИП,  электродвигатель 160 кВт</t>
  </si>
  <si>
    <t>КНС Олимпийская,  электродвигатель 160 кВт,   электродвигатель 132 кВт, насос СД 800/32</t>
  </si>
  <si>
    <t>КНС 6, насосный агрегат СД450\22,5</t>
  </si>
  <si>
    <r>
      <t>КНС  2</t>
    </r>
    <r>
      <rPr>
        <vertAlign val="superscript"/>
        <sz val="11"/>
        <color indexed="8"/>
        <rFont val="Times New Roman"/>
        <family val="1"/>
        <charset val="204"/>
      </rPr>
      <t>ая</t>
    </r>
    <r>
      <rPr>
        <sz val="11"/>
        <color indexed="8"/>
        <rFont val="Times New Roman"/>
        <family val="1"/>
        <charset val="204"/>
      </rPr>
      <t xml:space="preserve"> Пятилетка, насосный агрегат ФГ  450/22,5</t>
    </r>
  </si>
  <si>
    <t>КНС Песчаная, насосный агрегат ФГ450\22,5</t>
  </si>
  <si>
    <t>КНС Школа 17, насосный агрегат ФГ 144/10,5</t>
  </si>
  <si>
    <t>КНС ККБ, насосный агрегат СД160/45</t>
  </si>
  <si>
    <t>КНС Индустриальная, насосный агрегат СД 100/40</t>
  </si>
  <si>
    <t>КНС Шнековая 1, насосный агрегат S 3806М5511</t>
  </si>
  <si>
    <t>КНС Сормовская 1, насосный агрегат СД 450/22,5</t>
  </si>
  <si>
    <t>КНС МЖК, насосный агрегат 30 ПФ 23 – 2шт.</t>
  </si>
  <si>
    <t>КНС Жукова, насосный агрегат СМ 150-125-315/4</t>
  </si>
  <si>
    <t>1.6.16</t>
  </si>
  <si>
    <t xml:space="preserve">КНС Есенина, насосный агрегат SE 150,80,40,2,5 D </t>
  </si>
  <si>
    <t>1.6.17</t>
  </si>
  <si>
    <t>КНС Хутор Ленина, насосный агрегат СМ150-125-315/с</t>
  </si>
  <si>
    <t>1.6.18</t>
  </si>
  <si>
    <t>1.6.19</t>
  </si>
  <si>
    <t>КНС №10 Насосный агрегат ФК№2</t>
  </si>
  <si>
    <t>1.6.20</t>
  </si>
  <si>
    <t>КНС РИП, запорная арматура Ду-300, 400мм</t>
  </si>
  <si>
    <t>1.6.21</t>
  </si>
  <si>
    <t>КНС ТЭЦ, запорная арматура Ду-600мм</t>
  </si>
  <si>
    <t>1.6.22</t>
  </si>
  <si>
    <t>КНС ТЭЦ, насосный агрегат СМ 150-125-315, SEV 80.80.40.4</t>
  </si>
  <si>
    <t>1.6.23</t>
  </si>
  <si>
    <t>КНС х.Ленина, насосный агрегат СМ 150-125-315</t>
  </si>
  <si>
    <t>1.6.24</t>
  </si>
  <si>
    <t>КНС Московская, запорная арматура Ду-100мм</t>
  </si>
  <si>
    <t>1.6.25</t>
  </si>
  <si>
    <t>КНС 10, запорная арматура Ду-500мм</t>
  </si>
  <si>
    <t>1.6.26</t>
  </si>
  <si>
    <t>КНС ХБК, запорная арматура Ду-200мм</t>
  </si>
  <si>
    <t>1.6.27</t>
  </si>
  <si>
    <t>КНС ГАИ, насосный агрегат ФГ 450/22.5</t>
  </si>
  <si>
    <t>1.6.28</t>
  </si>
  <si>
    <t>КНС-6, запорная арматура Ду-300мм</t>
  </si>
  <si>
    <t>1.6.29</t>
  </si>
  <si>
    <t>КНС - 5, запорная арматура Ду-300мм, Ду-200мм, насосный агрегат СД 450/22.5</t>
  </si>
  <si>
    <t>1.6.30</t>
  </si>
  <si>
    <t>КНС-3, насосный агрегат ФГ800/33, ФГ 450/22.5 - 2шт</t>
  </si>
  <si>
    <t>1.6.31</t>
  </si>
  <si>
    <t>КНС-7, насосный агрегат СД 800/32</t>
  </si>
  <si>
    <t>1.6.32</t>
  </si>
  <si>
    <t>КНС Олимпийский, насосный агрегат ФГ 800/33</t>
  </si>
  <si>
    <t>1.6.33</t>
  </si>
  <si>
    <t>КНС Солнечная, насос WILO EMU 201</t>
  </si>
  <si>
    <t>1.6.34</t>
  </si>
  <si>
    <t>КНС Баршанская, ремонт насоса SEV65.80.40.2</t>
  </si>
  <si>
    <t>1.6.35</t>
  </si>
  <si>
    <t>КНС Тепличная, ремонт насоса SEV 80.80.92.2</t>
  </si>
  <si>
    <t>1.6.36</t>
  </si>
  <si>
    <t>КНС РИП, насосный агрегат ФГ450/22.5, ФГ216/24, ФГ 800/33</t>
  </si>
  <si>
    <t>1.6.37</t>
  </si>
  <si>
    <t>КНС РИП, запорная арматура Ду-300мм - 3шт</t>
  </si>
  <si>
    <t>1.6.38</t>
  </si>
  <si>
    <t>КНС - 3, запорная арматура Ду-300мм, Ду-200мм, обратный клапан Ду-400мм</t>
  </si>
  <si>
    <t>1.6.39</t>
  </si>
  <si>
    <t>КНС Фитопатология, насосный агрегат ФГ 800/33, ФГ 450/22.5</t>
  </si>
  <si>
    <t>1.6.40</t>
  </si>
  <si>
    <t>КНС Фитопатология, запорная арматура Ду-200мм, Ду-300мм, 400мм - 2шт, обратный клапан Ду-300мм</t>
  </si>
  <si>
    <t>1.6.41</t>
  </si>
  <si>
    <t>КНС-10, насосный агрегат СДВ 2700</t>
  </si>
  <si>
    <t>1.6.42</t>
  </si>
  <si>
    <t>КНС Колосистый, насосный агрегат СМ 100-65-200</t>
  </si>
  <si>
    <t>1.6.43</t>
  </si>
  <si>
    <t>КНС Колосистый, насосный агрегат СМ 150-125-315</t>
  </si>
  <si>
    <t>1.6.44</t>
  </si>
  <si>
    <t>КНС Фитапотология, обратный клппан Ду-300мм, насосный агрегат ФГ216/24</t>
  </si>
  <si>
    <t>1.6.45</t>
  </si>
  <si>
    <t>КНС Пластмаш, насосный агрегат ФГ450/22.5 -2шт</t>
  </si>
  <si>
    <t>1.6.46</t>
  </si>
  <si>
    <t>КНС 23, ремонт насоса GRUNDFOS</t>
  </si>
  <si>
    <t>1.6.47</t>
  </si>
  <si>
    <t>КНС РИП, ремонт задвижки Ду-400мм</t>
  </si>
  <si>
    <t>1.6.48</t>
  </si>
  <si>
    <t>КНС Пластмаш, ремонт задвижки Ду-300мм</t>
  </si>
  <si>
    <t>1.6.49</t>
  </si>
  <si>
    <t>КНС Пластмаш, ремонт задвижки Ду-200мм</t>
  </si>
  <si>
    <t>Аэротенок №2</t>
  </si>
  <si>
    <t xml:space="preserve">Асфальтные дороги </t>
  </si>
  <si>
    <t>Ремонт здания ГКНС-1 ОСК-1</t>
  </si>
  <si>
    <t>1.7.1.12</t>
  </si>
  <si>
    <t>Здание хлораторной</t>
  </si>
  <si>
    <t>ГКНС-1</t>
  </si>
  <si>
    <t xml:space="preserve">Электродвигатель турбонагнетателя 1000 кВт, 6 кВ </t>
  </si>
  <si>
    <t>1.7.3.3</t>
  </si>
  <si>
    <t>Запорная арматура Ду-600мм в хлораторной</t>
  </si>
  <si>
    <t>1.7.3.4</t>
  </si>
  <si>
    <t>Насосный агрегат НП-50Б № 3</t>
  </si>
  <si>
    <t>Насос СДВ 7200-29 № 1 ГКНС-1</t>
  </si>
  <si>
    <t>1.7.3.5</t>
  </si>
  <si>
    <t>Насос СДВ 7200-29 № 3 ГКНС-1</t>
  </si>
  <si>
    <t>1.7.3.6</t>
  </si>
  <si>
    <t>Ремонт технологического оборудования (илосос № 2, илоскреб № 2, всасывающий трубопровод Ду-1400мм)</t>
  </si>
  <si>
    <t>1.7.3.7</t>
  </si>
  <si>
    <t>Ремонт насосного, технологического оборудования (первичный отстойник № 1, насос ФВ 7200/29, НП-50Б)</t>
  </si>
  <si>
    <t>1.7.3.8</t>
  </si>
  <si>
    <t>Ремонт технологического оборудования, запорной арматуры (песколовка, щитовой затвор № 2 ГКНС-1, задвижка Ду-1200мм, аэротенок)</t>
  </si>
  <si>
    <t>1.7.3.10</t>
  </si>
  <si>
    <t>Ремонт технологического оборудования (песколовка № 2, илоскреб № 3)</t>
  </si>
  <si>
    <t>Здания управления задвижек песколовки (кровля, оконные блоки)</t>
  </si>
  <si>
    <t>1.8.2.3</t>
  </si>
  <si>
    <t>Насосный агрегат Д-320/50</t>
  </si>
  <si>
    <t>1.8.5.2</t>
  </si>
  <si>
    <t>Насосный агрегат ФГ 144/46</t>
  </si>
  <si>
    <t>1.8.5.3</t>
  </si>
  <si>
    <t>1.8.5.4</t>
  </si>
  <si>
    <t>Насосный агрегат СДВ 7200-29 № 3 ГКНС-2</t>
  </si>
  <si>
    <t>1.8.5.5</t>
  </si>
  <si>
    <t>Насосный агрегат ФВ 7200-29 № 2 ГКНС-2</t>
  </si>
  <si>
    <t>1.8.5.6</t>
  </si>
  <si>
    <t>Запорная арматура Ду-250мм - 8шт</t>
  </si>
  <si>
    <t>1.8.5.7</t>
  </si>
  <si>
    <t>Насосный агрегат Д 320-50 № 9</t>
  </si>
  <si>
    <t>1.8.5.8</t>
  </si>
  <si>
    <t>Насосный агрегат ФГ 144/46 № 3</t>
  </si>
  <si>
    <t>1.8.5.9</t>
  </si>
  <si>
    <t>Щитовой затвор Д 2200</t>
  </si>
  <si>
    <t>1.8.5.10</t>
  </si>
  <si>
    <t>Насосный агрегат НЖН 200</t>
  </si>
  <si>
    <t>Насосный агрегат СДВ7200/29  1 шт.</t>
  </si>
  <si>
    <t>ОСК-2 административно бытовой комплекс, сеть освещения</t>
  </si>
  <si>
    <t>Капитальный ремонт проводки и освещения НАИ ОСК-1, склада ОСК-1, гаража ОСК-1, РММ ОСК-1, метентенки ОСК-1, ВДС ОСК-1, насосной хлораторной ОСК-1, песколовки ОСК-1, НПО ОСК-1, хлораторной ОСК-1</t>
  </si>
  <si>
    <t>2.2.5</t>
  </si>
  <si>
    <t>КНС Лорис, ремонт силовой электропроводки</t>
  </si>
  <si>
    <t>2.2.6</t>
  </si>
  <si>
    <t>КНС РИП, ремонт сети освещения</t>
  </si>
  <si>
    <t>2.2.7</t>
  </si>
  <si>
    <t>КНС Кухаренко-Российская, ремонт силовой электропроводки к н/а № 1; 2</t>
  </si>
  <si>
    <t>2.2.8</t>
  </si>
  <si>
    <t>ОСК-1 ГКНС-1, ремонт силовой электропроводки ГФН</t>
  </si>
  <si>
    <t>2.2.9</t>
  </si>
  <si>
    <t>КНС РИП, ремонт силовой электропроводки н/а № 1-4</t>
  </si>
  <si>
    <t>2.2.10</t>
  </si>
  <si>
    <t>КНС Шнековая, ремонт силовой электропроводки н/а № 1-3</t>
  </si>
  <si>
    <t>2.2.11</t>
  </si>
  <si>
    <t>КНС Пластмас, ремонт силовой электропроводки н/а 4; 5</t>
  </si>
  <si>
    <t>2.2.12</t>
  </si>
  <si>
    <t>КНС Учхоз-Кубань, ремонт силовой электропроводки н/а 1; 2</t>
  </si>
  <si>
    <t>2.2.13</t>
  </si>
  <si>
    <t>КНС Гидрострой, ремонт кабельной линии 6кВ, ТП-460</t>
  </si>
  <si>
    <t>2.2.14</t>
  </si>
  <si>
    <t>КНС Шнековая 2, ремонт силовой электропроводки н/а 1; 2</t>
  </si>
  <si>
    <t>2.2.15</t>
  </si>
  <si>
    <t>КНС пер. Гаражный, ремонт силовой электропроводки н/а 1-3</t>
  </si>
  <si>
    <t>2.2.16</t>
  </si>
  <si>
    <t>КНС Московская, ремонт силовой электропроводки</t>
  </si>
  <si>
    <t>2.2.17</t>
  </si>
  <si>
    <t>КНС Шнековая, 2 ремонт кабельной линии 10кВ ТП-1224п</t>
  </si>
  <si>
    <t>2.2.18</t>
  </si>
  <si>
    <t>КНС Школа 17, ремонт силовой электропроводки н/а 1-3</t>
  </si>
  <si>
    <t>2.2.19</t>
  </si>
  <si>
    <t>КНС 20, ремонт кабельной линии 0,4кВ</t>
  </si>
  <si>
    <t>2.2.20</t>
  </si>
  <si>
    <t>КНС ХБК, кабельная линия 6кВ</t>
  </si>
  <si>
    <t>2.2.21</t>
  </si>
  <si>
    <t>КНС Московская 2, ремонт кабельной линии 0,4кВ</t>
  </si>
  <si>
    <t>2.2.22</t>
  </si>
  <si>
    <t xml:space="preserve">КНС Шнековая, 2 ремонт кабельной линии </t>
  </si>
  <si>
    <t>2.2.23</t>
  </si>
  <si>
    <t>КНС Московская 2, ремонт силовой электропроводки</t>
  </si>
  <si>
    <t>2.2.24</t>
  </si>
  <si>
    <t>КНС х.Ленина, ремонт станции управления эл.двигателя №1; 2</t>
  </si>
  <si>
    <t>2.2.25</t>
  </si>
  <si>
    <t>КНС Уральская 17, ремонт станции управления эл.двигателя №1; 2</t>
  </si>
  <si>
    <t>2.2.26</t>
  </si>
  <si>
    <t>КНС РИП, ремонт станции управления эл.двигателя № 5</t>
  </si>
  <si>
    <t>2.2.27</t>
  </si>
  <si>
    <t>КНС ХБК, ремонт станции управления эл.двигателя № 2</t>
  </si>
  <si>
    <t>2.2.28</t>
  </si>
  <si>
    <t>Сеть освещения ГКНС-2 ст.Елизаветинская</t>
  </si>
  <si>
    <t>Комплексное техническое обследование электрооборудования на объектах</t>
  </si>
  <si>
    <t>Разработка проекта мониторинга подземных вод в зоне влияния иловых карт на ОСК-1; ОСК-2</t>
  </si>
  <si>
    <t>Производственный контроль за качеством сточных вод на ОСК-1 и ОСК-2</t>
  </si>
  <si>
    <t xml:space="preserve">Организация лабораторных наблюдений за состоянием загрязнения воздушной среды и уровнем шума на границе расчетной санитарно защитной зоны (СЗЗ) и  жилой застройки по ОСК-1; ОСК-2. Написание отчета по результатам наблюдений (50 дней).           </t>
  </si>
  <si>
    <t>Получение разрешения на сбросы загрязняющих веществ (ЗВ)  в водный объект в пределах согласованных нормативов допустимых сбросов (НДС), а также в пределах лимитов в соответствии с согласованным планом снижения сбросов загрязняющих веществ (ЗВ)  в реку Кубань.</t>
  </si>
  <si>
    <t>Гидрологическая характеристика р.Кубань в створках сбросов сточных вод с ОСК-1, ОСК-2</t>
  </si>
  <si>
    <t>Формирование отчета о неизменности технологического процесса, формирования отчетов 2 ТП-воздух, 2-ТП-отходы</t>
  </si>
  <si>
    <t xml:space="preserve">Гидравлическое моделирование режимов работы водопроводных сетей  г. Краснодара в программно - расчетном комплексе "ZULU".          </t>
  </si>
  <si>
    <t>Разработка нормативов допустимых сбросов веществ. Получение решения о предоставлении водного объекта</t>
  </si>
  <si>
    <t>Исследование промышленных выбросов на источнике</t>
  </si>
  <si>
    <t>3.16</t>
  </si>
  <si>
    <t>Предоставление информации о состоянии окружающей среды (специализированная) ОСК-1</t>
  </si>
  <si>
    <t>3.17</t>
  </si>
  <si>
    <t>Предоставление информации о состоянии окружающей среды (специализированная) ОСК-2</t>
  </si>
  <si>
    <t>3,19</t>
  </si>
  <si>
    <t>Услуги по подготовке документов, обосновывающих класс опасности отхода: ил стабилизированный биологических очистных сооружений хозяйственно-бытовых и смешанных сточных вод</t>
  </si>
  <si>
    <t>3,2</t>
  </si>
  <si>
    <t>Санитарно-эпидемиологическая экспертиза зданий, сооружений используемых для обращения с отходами 1-4 классов опасности.</t>
  </si>
  <si>
    <t>ИТОГО ВОДООТВЕДЕНИЕ:</t>
  </si>
  <si>
    <t>Финансовый директор</t>
  </si>
  <si>
    <t>водоснабжения за 2015 год, истекший период регулирования.</t>
  </si>
  <si>
    <r>
      <t xml:space="preserve">Раздел 7.1 </t>
    </r>
    <r>
      <rPr>
        <sz val="12"/>
        <color indexed="8"/>
        <rFont val="Times New Roman"/>
        <family val="1"/>
        <charset val="204"/>
      </rPr>
      <t>Перечень выполненных мероприятий по ремонту объектов системы водоснабжения,</t>
    </r>
  </si>
  <si>
    <t xml:space="preserve">  мероприятий, направленных на улучшение качества питьевой воды. </t>
  </si>
  <si>
    <t>План на 2015 год тыс.руб. с НДС</t>
  </si>
  <si>
    <t>240</t>
  </si>
  <si>
    <t xml:space="preserve">Песчаная,5 </t>
  </si>
  <si>
    <t xml:space="preserve">Карла Маркса,14 </t>
  </si>
  <si>
    <t>85</t>
  </si>
  <si>
    <t>33</t>
  </si>
  <si>
    <t>Пр. Чекистов, 35, 12</t>
  </si>
  <si>
    <t>30</t>
  </si>
  <si>
    <t>Д-25мм L-50</t>
  </si>
  <si>
    <t>180</t>
  </si>
  <si>
    <t>210</t>
  </si>
  <si>
    <t>3-й пр. Онежский,17</t>
  </si>
  <si>
    <t>Д50мм L-73 п/м  Д-32мм L-10 п/м</t>
  </si>
  <si>
    <t>Седина,127</t>
  </si>
  <si>
    <t>Д-25мм L-75 п/м, Д-63мм L-75  п/м</t>
  </si>
  <si>
    <t>Ставропольская,123/5</t>
  </si>
  <si>
    <t>Октябрьская,41</t>
  </si>
  <si>
    <t>Д-50мм L-80 п/м</t>
  </si>
  <si>
    <t>п.Северный ул.3-я Трудовая от 1-й Дорожной до Дорожной</t>
  </si>
  <si>
    <t>Виноградная,54-56</t>
  </si>
  <si>
    <t>ул. 8-я Урожайная м/у ул. 3й трудовой и ул. 1й Большевистской п. Северный</t>
  </si>
  <si>
    <t>Д-630мм</t>
  </si>
  <si>
    <t>L-330,6 пог.м</t>
  </si>
  <si>
    <t>Водопровод на в/з Восточный-1</t>
  </si>
  <si>
    <t>Д-600мм L-640 п/м</t>
  </si>
  <si>
    <t>ул.Азовская,3</t>
  </si>
  <si>
    <t>Д-200мм L-400 п/м</t>
  </si>
  <si>
    <t>ё</t>
  </si>
  <si>
    <t>Водопровод на Ново-Северном в/з</t>
  </si>
  <si>
    <t>Д-500мм L-156 п/м</t>
  </si>
  <si>
    <t>2-я Площадка - ул.Невского, ул.Лазарева (врезки)</t>
  </si>
  <si>
    <t>ул. Рашпилевская, 134 (ПСД)</t>
  </si>
  <si>
    <t>Водопровод ул.Дзержинского,100  (район Красной Площади)  Д-600мм (колодцы)</t>
  </si>
  <si>
    <t>ул.Карасунская, 95</t>
  </si>
  <si>
    <t>ул.Индустриальная, 48</t>
  </si>
  <si>
    <t>ул.Заречная-3-й Трудовой</t>
  </si>
  <si>
    <t>ул.Дзержинского, 11</t>
  </si>
  <si>
    <t>ул.Дзержинского, 1</t>
  </si>
  <si>
    <t>ул.Буденного, 213</t>
  </si>
  <si>
    <t>ул.Советская, 39</t>
  </si>
  <si>
    <t>ул.Захарова, 17</t>
  </si>
  <si>
    <t>ул. 1-й пр.Ведомственный, 11</t>
  </si>
  <si>
    <t>35</t>
  </si>
  <si>
    <t>ул. 3-й пр.Онежский, 15</t>
  </si>
  <si>
    <t>ул. Воровского, 9</t>
  </si>
  <si>
    <t>ул.Захарова, 13</t>
  </si>
  <si>
    <t>ул.Красная, 87</t>
  </si>
  <si>
    <t>ул.Пашковской, 105</t>
  </si>
  <si>
    <t>ул.Рашпилевская, 9</t>
  </si>
  <si>
    <t>ул.Рашпилевская, 178</t>
  </si>
  <si>
    <t>ул.Станкостроительной, 19</t>
  </si>
  <si>
    <t>ул.Труда, 141</t>
  </si>
  <si>
    <t>ул.Тургенева, 107</t>
  </si>
  <si>
    <t>ул.Фадеева, 257</t>
  </si>
  <si>
    <t>ул.Чкалова, 167 - ул.Северная, 308</t>
  </si>
  <si>
    <t>ул.Сормовская, 30-32</t>
  </si>
  <si>
    <t>ул.Красноармейская, 20</t>
  </si>
  <si>
    <t>п.Северный ул.Люберская, 13</t>
  </si>
  <si>
    <t>в/з Дренажный</t>
  </si>
  <si>
    <t>1.2 Ремонт кровель ВНС</t>
  </si>
  <si>
    <r>
      <t>ВНС</t>
    </r>
    <r>
      <rPr>
        <sz val="11"/>
        <color indexed="8"/>
        <rFont val="Times New Roman"/>
        <family val="1"/>
        <charset val="204"/>
      </rPr>
      <t xml:space="preserve"> Кр. Партизан, 6/1 павильон</t>
    </r>
  </si>
  <si>
    <r>
      <t>ВНС</t>
    </r>
    <r>
      <rPr>
        <sz val="11"/>
        <color indexed="8"/>
        <rFont val="Times New Roman"/>
        <family val="1"/>
        <charset val="204"/>
      </rPr>
      <t xml:space="preserve"> Северная, 253</t>
    </r>
  </si>
  <si>
    <r>
      <t>ВНС</t>
    </r>
    <r>
      <rPr>
        <sz val="11"/>
        <color indexed="8"/>
        <rFont val="Times New Roman"/>
        <family val="1"/>
        <charset val="204"/>
      </rPr>
      <t xml:space="preserve"> Станкостроительная, 19</t>
    </r>
  </si>
  <si>
    <r>
      <t>ВНС</t>
    </r>
    <r>
      <rPr>
        <sz val="11"/>
        <color indexed="8"/>
        <rFont val="Times New Roman"/>
        <family val="1"/>
        <charset val="204"/>
      </rPr>
      <t xml:space="preserve"> Таманская, 174</t>
    </r>
  </si>
  <si>
    <r>
      <t>ВНС</t>
    </r>
    <r>
      <rPr>
        <sz val="11"/>
        <color indexed="8"/>
        <rFont val="Times New Roman"/>
        <family val="1"/>
        <charset val="204"/>
      </rPr>
      <t xml:space="preserve"> Ставропольская, 201</t>
    </r>
  </si>
  <si>
    <r>
      <t>ВНС</t>
    </r>
    <r>
      <rPr>
        <sz val="11"/>
        <color indexed="8"/>
        <rFont val="Times New Roman"/>
        <family val="1"/>
        <charset val="204"/>
      </rPr>
      <t xml:space="preserve"> Селезнева, 164</t>
    </r>
  </si>
  <si>
    <r>
      <t>ВНС</t>
    </r>
    <r>
      <rPr>
        <sz val="11"/>
        <color indexed="8"/>
        <rFont val="Times New Roman"/>
        <family val="1"/>
        <charset val="204"/>
      </rPr>
      <t xml:space="preserve"> Полины Осипенко, 141</t>
    </r>
  </si>
  <si>
    <t>в/з Северо-Западный здание насосной станции</t>
  </si>
  <si>
    <t>Ставропольская, 125</t>
  </si>
  <si>
    <r>
      <t>ВНС</t>
    </r>
    <r>
      <rPr>
        <sz val="11"/>
        <color indexed="8"/>
        <rFont val="Times New Roman"/>
        <family val="1"/>
        <charset val="204"/>
      </rPr>
      <t xml:space="preserve"> 40 лет Победы, 35/2 (с ремонтом кровли)</t>
    </r>
  </si>
  <si>
    <r>
      <t>ВНС</t>
    </r>
    <r>
      <rPr>
        <sz val="11"/>
        <color indexed="8"/>
        <rFont val="Times New Roman"/>
        <family val="1"/>
        <charset val="204"/>
      </rPr>
      <t xml:space="preserve"> 40 лет Победы, 37/1</t>
    </r>
  </si>
  <si>
    <r>
      <t>ВНС</t>
    </r>
    <r>
      <rPr>
        <sz val="11"/>
        <color indexed="8"/>
        <rFont val="Times New Roman"/>
        <family val="1"/>
        <charset val="204"/>
      </rPr>
      <t xml:space="preserve"> Тургенева, 225</t>
    </r>
  </si>
  <si>
    <r>
      <t>ВНС</t>
    </r>
    <r>
      <rPr>
        <sz val="11"/>
        <color indexed="8"/>
        <rFont val="Times New Roman"/>
        <family val="1"/>
        <charset val="204"/>
      </rPr>
      <t xml:space="preserve"> 40 лет Победы, 67</t>
    </r>
  </si>
  <si>
    <r>
      <t>ВНС</t>
    </r>
    <r>
      <rPr>
        <sz val="11"/>
        <color indexed="8"/>
        <rFont val="Times New Roman"/>
        <family val="1"/>
        <charset val="204"/>
      </rPr>
      <t xml:space="preserve"> Госпиталь ИОВ Кирова,9</t>
    </r>
  </si>
  <si>
    <r>
      <t>ВНС</t>
    </r>
    <r>
      <rPr>
        <sz val="11"/>
        <color indexed="8"/>
        <rFont val="Times New Roman"/>
        <family val="1"/>
        <charset val="204"/>
      </rPr>
      <t xml:space="preserve"> Котовского, 102</t>
    </r>
  </si>
  <si>
    <r>
      <t>ВНС</t>
    </r>
    <r>
      <rPr>
        <sz val="11"/>
        <color indexed="8"/>
        <rFont val="Times New Roman"/>
        <family val="1"/>
        <charset val="204"/>
      </rPr>
      <t xml:space="preserve"> Стасова, 158  (с ремонтом кровли)</t>
    </r>
  </si>
  <si>
    <t>ВНС ул. Селезнева, 88</t>
  </si>
  <si>
    <t>ВНС ул. Вишняковой, 1</t>
  </si>
  <si>
    <t>ВНС Седина,11</t>
  </si>
  <si>
    <t>ВНС Седина,138</t>
  </si>
  <si>
    <t>ВНС Седина,177</t>
  </si>
  <si>
    <t>ВНС Ставропольская,80</t>
  </si>
  <si>
    <t>ВНС Кузнечная, 47</t>
  </si>
  <si>
    <t>ВНС Стасова, 175/1 (Алтайская,4/1)</t>
  </si>
  <si>
    <t>ВНС Уральская, 91/ Дежнева,46</t>
  </si>
  <si>
    <t>ВНС Гудимы, 28</t>
  </si>
  <si>
    <t>ВНС Черкасская, 43</t>
  </si>
  <si>
    <t>1.3.30</t>
  </si>
  <si>
    <t>ВНС Гудимы,25</t>
  </si>
  <si>
    <t>1.3.31</t>
  </si>
  <si>
    <t xml:space="preserve">ВНС Гудимы,9 </t>
  </si>
  <si>
    <t>1.3.32</t>
  </si>
  <si>
    <t>ВНС Чапаева,81</t>
  </si>
  <si>
    <t>1.3.33</t>
  </si>
  <si>
    <t>ВНС Индустриальная,7</t>
  </si>
  <si>
    <t>1.3.34</t>
  </si>
  <si>
    <t>ВНС Суворова,80</t>
  </si>
  <si>
    <t>1.3.35</t>
  </si>
  <si>
    <t>ВНС Октябрьская,67</t>
  </si>
  <si>
    <t>1.3.36</t>
  </si>
  <si>
    <t>ВНС Уссурийская,2</t>
  </si>
  <si>
    <t>1.3.37</t>
  </si>
  <si>
    <t>ВНС Гудимы, 26</t>
  </si>
  <si>
    <t xml:space="preserve">в/з "Роща". Павильон скважины № 199 </t>
  </si>
  <si>
    <r>
      <t>ВНС</t>
    </r>
    <r>
      <rPr>
        <sz val="11"/>
        <color indexed="8"/>
        <rFont val="Times New Roman"/>
        <family val="1"/>
        <charset val="204"/>
      </rPr>
      <t xml:space="preserve"> Зиповская, 17</t>
    </r>
  </si>
  <si>
    <r>
      <t>ВНС</t>
    </r>
    <r>
      <rPr>
        <sz val="11"/>
        <color indexed="8"/>
        <rFont val="Times New Roman"/>
        <family val="1"/>
        <charset val="204"/>
      </rPr>
      <t xml:space="preserve">  Литер,101</t>
    </r>
  </si>
  <si>
    <t>проверка смет на кап. ремонт и благоустройство в/з Первомайский</t>
  </si>
  <si>
    <t>Станция водоподготовки "Кристал-Б" на в/з Роща</t>
  </si>
  <si>
    <t>ВНС Володарского,5 №469</t>
  </si>
  <si>
    <r>
      <t>ВНС</t>
    </r>
    <r>
      <rPr>
        <sz val="11"/>
        <color indexed="8"/>
        <rFont val="Times New Roman"/>
        <family val="1"/>
        <charset val="204"/>
      </rPr>
      <t xml:space="preserve"> п. Дружелюбный ж/б</t>
    </r>
  </si>
  <si>
    <t xml:space="preserve">1.8.2 </t>
  </si>
  <si>
    <t xml:space="preserve">1.8.3 </t>
  </si>
  <si>
    <t xml:space="preserve">1.8.4 </t>
  </si>
  <si>
    <t>Капитальный ремонт ограждения на в/з Витаминкомбинат куст 2, куст 3</t>
  </si>
  <si>
    <t>Капитальный ремонт ограждения на в/з Восточный №2 куст 10</t>
  </si>
  <si>
    <t>в/з Елизаветинский,  электрооборудование  (ВЛ 6 кВ замена РЛНД-10 – 5 шт.)</t>
  </si>
  <si>
    <t>в/з «Восточный 1» Здание КТП-672п</t>
  </si>
  <si>
    <t>Ремонт пожарной сигнализации здания дирекции по сбыту, ул. Каляева, 259</t>
  </si>
  <si>
    <t>в/з  «Ново-Западный»замена МВ на ВВ -69шт., ВПУ 6кВ ТП-563П</t>
  </si>
  <si>
    <t>в/з Восточный 2 ремонт закрытых кабельных переходов в трех футлярах под ж/д полотном на станции "Сортировочная".</t>
  </si>
  <si>
    <t>2.12</t>
  </si>
  <si>
    <t>2.13</t>
  </si>
  <si>
    <t>Поддержание действующей гидродинамической модели Краснодарского месторождения подземных вод по участкам. Решение прогнозных задач по оценке запасов подземных вод на участках недр</t>
  </si>
  <si>
    <t>Изготовление проекта водозаборов "Водозаборы (корр-ектировка проекта технологической схемы) для артези-анских скважин № 3,4 расположенные на водозаборе «ст. Подкачек» по адресу: х.Ленина, ул. Морская, 1.)</t>
  </si>
  <si>
    <t xml:space="preserve">Изготовление проектов зон санитарной охраны для вновь принятых и перебуренных артезианских скважин ООО "Краснодар Водоканал" в количестве 15 шт. </t>
  </si>
  <si>
    <t>Изготовление и согласование проекта ЗСО (зон санитарной охраны) для 25 артскважин.</t>
  </si>
  <si>
    <t>Разработка проекта зон санитарной охраны (ЗСО) для пяти артезианских скважин №275 расположенной на водозаборе "Витаминкомбинат", №№178,179,180, расположенных на водозаборе "Восточный-1", №413 расположенной на водозаборе "Центральный"</t>
  </si>
  <si>
    <t>Техническое обследование водопроводных сетей и сооружений находящихся на сетях  г. Краснодара (Карасунский округ)</t>
  </si>
  <si>
    <t xml:space="preserve">Оптимизация работы ВНС и режима работы системы подачи  и  распределения воды (СПРВ) с выводом ВНС из работы.   </t>
  </si>
  <si>
    <t>Гидравлическое моделирование режимов работы сетей водоотведения г. Краснодара в программно - расчетном комплексе "ZULU".</t>
  </si>
  <si>
    <t>Разработка проекта предельно допустимых выбросов (ПДВ) с учетом инвентаризации источников выбросов загрязняющих веществ</t>
  </si>
  <si>
    <t>Корректировка технического проекта на добычу пресных подземных вод, в части внесения водозаборных скважин, не вошедших в существующий проект</t>
  </si>
  <si>
    <t>Оказание услуг по формированию и сопровождению пакета документов для постановки на кадастровый учет сведений о зонах санитарной охраны водных объектов, используемых для питьевого назначения в соответствии с ФЗ221 от 24.07.2007г.</t>
  </si>
  <si>
    <t>Техническое освидетельствование зданий и сооружений специализированными организациями. (Услуги по комплексному техническому освидетельство-ванию электрооборудования)</t>
  </si>
  <si>
    <t>Информационно-консультационные услуги по курсу ПРК "ZuluDrain"</t>
  </si>
  <si>
    <t>ИТОГО ВОДОСНАБЖЕНИЕ:</t>
  </si>
  <si>
    <t>1.1 Ремонт сетей водоснабжения</t>
  </si>
  <si>
    <t>1.2 Ремонт  резервуаров на водозаборных сооружениях</t>
  </si>
  <si>
    <t>1.3 Ремонт артезианских скважин на водозаборных сооружениях</t>
  </si>
  <si>
    <t>1.4 Ремонт  кровли насосных станций</t>
  </si>
  <si>
    <t>1.5 Ремонт зданий насосных станций</t>
  </si>
  <si>
    <t>1.4 Ремонт кровли КНС</t>
  </si>
  <si>
    <t>2. Вспомогательные цеха</t>
  </si>
  <si>
    <t xml:space="preserve">          2016 г.         </t>
  </si>
  <si>
    <t>ВНС 40 Лет Победы,67</t>
  </si>
  <si>
    <t>Установка энергоэффективного насосного оборудования DELIUM (2 н/а дневных маркиД125-480а,1н/а маркиД125-480б, ПЧР для ночного н/а)</t>
  </si>
  <si>
    <t>ВНС Речная,5</t>
  </si>
  <si>
    <t>Установка энергоэффективного насосного оборудования DELIUM (2 н/а дневных маркиД125-480а,1н/а маркиД125-480б,ПЧР для ночного н/а)</t>
  </si>
  <si>
    <t>ВНС Турист (Кубанская Набережная,5)</t>
  </si>
  <si>
    <t>ВНС Темрюкская,62</t>
  </si>
  <si>
    <t>Установка энергоэффективного насосного оборудования DELIUM (2 н/а дневных маркиД125-480а,1н/а маркиД125-480б)</t>
  </si>
  <si>
    <t>ВНС Московская,2</t>
  </si>
  <si>
    <t>ВНС Азовская,13</t>
  </si>
  <si>
    <t>Установка энергоэффективного насосного оборудования DELIUM (2 н/а дневных маркиД125-480б,ПЧР для ночного н/а ПЧР )</t>
  </si>
  <si>
    <t>ВНС Бородина,21</t>
  </si>
  <si>
    <t>Установка энергоэффективного насосного оборудования DELIUM (2 н/а дневных маркиД125-480б ,+ ПЧР  )</t>
  </si>
  <si>
    <t>ВНС Коммунаров,57</t>
  </si>
  <si>
    <t>Установка частотного регулируемого привода на насосный агрегат мощностью 30 кВт, с установкой прибора учета воды</t>
  </si>
  <si>
    <t>ВНС Димитрова,115</t>
  </si>
  <si>
    <t>Установка частотного регулируемого привода на насосный агрегат мощностью 15 кВт, с установкой прибора учета воды</t>
  </si>
  <si>
    <t>ВНС Брянская,2/а</t>
  </si>
  <si>
    <t>Установка частотного регулируемого привода на насосный агрегат мощностью 7,5 кВт, с установкой прибора учета воды</t>
  </si>
  <si>
    <t>ВНС Гагарина,135</t>
  </si>
  <si>
    <t>ВНС Гагарина,250/а</t>
  </si>
  <si>
    <t>ВНС Красная,158</t>
  </si>
  <si>
    <t>ВНС Янковского,151</t>
  </si>
  <si>
    <t>ВНС Колхозная,20</t>
  </si>
  <si>
    <t>ВНС Северная,493</t>
  </si>
  <si>
    <t>Установка частотного регулируемого привода на насосный агрегат мощностью 5,5 кВт, с установкой прибора учета воды</t>
  </si>
  <si>
    <t>ВНС Красная,202</t>
  </si>
  <si>
    <t>ВНС Ставропольская,185</t>
  </si>
  <si>
    <t>ВНС Сормовская,10</t>
  </si>
  <si>
    <t>ВНС п.Лорис</t>
  </si>
  <si>
    <t>Установка энергоэффективного насосного оборудования с ПЧР</t>
  </si>
  <si>
    <t>ВНС Литер,112</t>
  </si>
  <si>
    <t>ВНС Литер,68</t>
  </si>
  <si>
    <t>Установка диодных светильников уличного освещения мощностью не более 50 Вт в замен существующим мощностью 250-400 Вт в количестве 10 шт.</t>
  </si>
  <si>
    <t>ВНС Литер,101</t>
  </si>
  <si>
    <t>01.01.2017</t>
  </si>
  <si>
    <t>31.12.2017</t>
  </si>
  <si>
    <r>
      <t xml:space="preserve">2016 год </t>
    </r>
    <r>
      <rPr>
        <u/>
        <sz val="12"/>
        <color indexed="8"/>
        <rFont val="Times New Roman"/>
        <family val="1"/>
        <charset val="204"/>
      </rPr>
      <t xml:space="preserve">1 490 628,02 </t>
    </r>
    <r>
      <rPr>
        <sz val="12"/>
        <color indexed="8"/>
        <rFont val="Times New Roman"/>
        <family val="1"/>
        <charset val="204"/>
      </rPr>
      <t>тыс. руб. без НДС;</t>
    </r>
  </si>
  <si>
    <r>
      <t xml:space="preserve">2017 год </t>
    </r>
    <r>
      <rPr>
        <u/>
        <sz val="12"/>
        <color indexed="8"/>
        <rFont val="Times New Roman"/>
        <family val="1"/>
        <charset val="204"/>
      </rPr>
      <t xml:space="preserve">1 495 183,15 </t>
    </r>
    <r>
      <rPr>
        <sz val="12"/>
        <color indexed="8"/>
        <rFont val="Times New Roman"/>
        <family val="1"/>
        <charset val="204"/>
      </rPr>
      <t>тыс. руб. без НДС;</t>
    </r>
  </si>
  <si>
    <r>
      <t xml:space="preserve">2018 год </t>
    </r>
    <r>
      <rPr>
        <u/>
        <sz val="12"/>
        <color indexed="8"/>
        <rFont val="Times New Roman"/>
        <family val="1"/>
        <charset val="204"/>
      </rPr>
      <t xml:space="preserve">1 722 132,87 </t>
    </r>
    <r>
      <rPr>
        <sz val="12"/>
        <color indexed="8"/>
        <rFont val="Times New Roman"/>
        <family val="1"/>
        <charset val="204"/>
      </rPr>
      <t>тыс. руб. без НДС;</t>
    </r>
  </si>
  <si>
    <r>
      <t xml:space="preserve">2019 год </t>
    </r>
    <r>
      <rPr>
        <u/>
        <sz val="12"/>
        <color indexed="8"/>
        <rFont val="Times New Roman"/>
        <family val="1"/>
        <charset val="204"/>
      </rPr>
      <t xml:space="preserve">1 836 797,46 </t>
    </r>
    <r>
      <rPr>
        <sz val="12"/>
        <color indexed="8"/>
        <rFont val="Times New Roman"/>
        <family val="1"/>
        <charset val="204"/>
      </rPr>
      <t>тыс. руб. без НДС.</t>
    </r>
  </si>
  <si>
    <t>В/З Восточный-1 - скважина №183</t>
  </si>
  <si>
    <t>В/З Восточный-1 - скважина №187</t>
  </si>
  <si>
    <t>В/З Восточный - 2 - скважина №99а</t>
  </si>
  <si>
    <t>В/З Восточный - 2 - скважина №110</t>
  </si>
  <si>
    <t>ВНС Думенко 2</t>
  </si>
  <si>
    <t>Благоустройство</t>
  </si>
  <si>
    <t>Раздел 9 Перечень плановых мероприятий по ремонту объектов централизованной   системы  водоотведения, мероприятий, направленных на улучшение качества  очистки сточных вод.</t>
  </si>
  <si>
    <t>1.5 Ремонт технологического оборудования</t>
  </si>
  <si>
    <t>1.6 ОСК-1. Ремонт зданий и сооружений. Общестроительные работы. Ремонт технологического оборудования.</t>
  </si>
  <si>
    <t>Ремонт первичного отстойника №3</t>
  </si>
  <si>
    <t>Ремонт бака разрыва струи</t>
  </si>
  <si>
    <t>Ремонт грабельного отделения ГКНС-1</t>
  </si>
  <si>
    <t>1.7 ОСК-2. Ремонт зданий и сооружений. Общестроительные работы. Ремонт технологического оборудования.</t>
  </si>
  <si>
    <t>1.7.8</t>
  </si>
  <si>
    <t>1.7.9</t>
  </si>
  <si>
    <t>Ремонт контактных резервуаров ОСК-2</t>
  </si>
  <si>
    <t>1.7.10</t>
  </si>
  <si>
    <t>Ремонт вторичного отстойника №3 ОСК-2</t>
  </si>
  <si>
    <t>Раздел 2 Перечень плановых мероприятий по ремонту объектов  централизованной  системы водоснабжения, мероприятий, направленных на  улучшение качества питьевой воды.</t>
  </si>
  <si>
    <t>Финансовые потребности на реализацию мероприятий, тыс. руб. без НДС</t>
  </si>
  <si>
    <t>1.6 Ремонт зданий павильонов арт. скважин на водозаборных сооружениях</t>
  </si>
  <si>
    <t>Наименование</t>
  </si>
  <si>
    <t>План 2017</t>
  </si>
  <si>
    <t>План 2018</t>
  </si>
  <si>
    <t>План 2019</t>
  </si>
  <si>
    <t>план</t>
  </si>
  <si>
    <t>факт</t>
  </si>
  <si>
    <t>ожид</t>
  </si>
  <si>
    <t>Водоподготовка</t>
  </si>
  <si>
    <t>Объем воды из источников водоснабжения</t>
  </si>
  <si>
    <t>тыс. куб. м</t>
  </si>
  <si>
    <t>из поверхностных источников</t>
  </si>
  <si>
    <t>из подземных источников</t>
  </si>
  <si>
    <t>1.1.3.</t>
  </si>
  <si>
    <t>доочищенная сточная вода для нужд технического водоснабжения</t>
  </si>
  <si>
    <t>Объем воды,  прошедшей водоподготовку</t>
  </si>
  <si>
    <t>Приготовление горячей воды</t>
  </si>
  <si>
    <t>Объем воды из собственных источников</t>
  </si>
  <si>
    <t>Объем приобретенной питьевой воды</t>
  </si>
  <si>
    <t>Объем горячей воды, поданной в сеть</t>
  </si>
  <si>
    <t>Транспортировка питьевой воды</t>
  </si>
  <si>
    <t>Объем воды, поступившей в сеть</t>
  </si>
  <si>
    <t>3.1.1</t>
  </si>
  <si>
    <t>из собственных источников</t>
  </si>
  <si>
    <t>3.1.2</t>
  </si>
  <si>
    <t>от других операторов</t>
  </si>
  <si>
    <t>3.1.3.</t>
  </si>
  <si>
    <t>получено от других территорий дифференцированных по тарифу</t>
  </si>
  <si>
    <t>Потери воды</t>
  </si>
  <si>
    <t>Потребление на собственные нужды</t>
  </si>
  <si>
    <t>Объем воды, отпущенной из сети</t>
  </si>
  <si>
    <t>3.5.</t>
  </si>
  <si>
    <t>Передано на другие территории, дифференцированные по тарифу</t>
  </si>
  <si>
    <t>Транспортировка технической воды</t>
  </si>
  <si>
    <t>4.3</t>
  </si>
  <si>
    <t>4.4</t>
  </si>
  <si>
    <t>Транспортировка горячей воды</t>
  </si>
  <si>
    <t>5.4</t>
  </si>
  <si>
    <t xml:space="preserve"> Отпуск питьевой воды</t>
  </si>
  <si>
    <t>6.1</t>
  </si>
  <si>
    <t>Объем воды, отпущенной абонентам</t>
  </si>
  <si>
    <t>6.1.1</t>
  </si>
  <si>
    <t>по приборам учета</t>
  </si>
  <si>
    <t>6.1.2</t>
  </si>
  <si>
    <t>по нормативам</t>
  </si>
  <si>
    <t>6.2</t>
  </si>
  <si>
    <t>для приготовления горячей воды</t>
  </si>
  <si>
    <t>6.3.</t>
  </si>
  <si>
    <t>при дифференциации тарифов по объему</t>
  </si>
  <si>
    <t>6.3.1.</t>
  </si>
  <si>
    <t>в пределах i-го объема</t>
  </si>
  <si>
    <t>6.4.</t>
  </si>
  <si>
    <t>По абонентам</t>
  </si>
  <si>
    <t>6.4.1</t>
  </si>
  <si>
    <t>другим организациям, осуществляющим водоснабжение</t>
  </si>
  <si>
    <t>6.4.1.1</t>
  </si>
  <si>
    <t>организация 1</t>
  </si>
  <si>
    <t>6.4.1.2.</t>
  </si>
  <si>
    <t>организация 2</t>
  </si>
  <si>
    <t>6.4.1.n</t>
  </si>
  <si>
    <t>организация n</t>
  </si>
  <si>
    <t>6.4.2.</t>
  </si>
  <si>
    <t>собственным абонентам</t>
  </si>
  <si>
    <t>6.4.2.1.</t>
  </si>
  <si>
    <t>коммерческие</t>
  </si>
  <si>
    <t>6.4.2.2.</t>
  </si>
  <si>
    <t>бюджет</t>
  </si>
  <si>
    <t>6.4.2.3.</t>
  </si>
  <si>
    <t>население</t>
  </si>
  <si>
    <t>Отпуск технической воды</t>
  </si>
  <si>
    <t>7.1.</t>
  </si>
  <si>
    <t>7.2.</t>
  </si>
  <si>
    <t>7.2.1.</t>
  </si>
  <si>
    <t>7.3.</t>
  </si>
  <si>
    <t>7.3.1.</t>
  </si>
  <si>
    <t>7.3.1.1</t>
  </si>
  <si>
    <t>7.3.1.2.</t>
  </si>
  <si>
    <t>7.3.1.n.</t>
  </si>
  <si>
    <t>7.3.2.</t>
  </si>
  <si>
    <t>Отпуск горячей воды</t>
  </si>
  <si>
    <t>8.3.1</t>
  </si>
  <si>
    <t>в соответствии с санитарными нормами</t>
  </si>
  <si>
    <t>8.3.2</t>
  </si>
  <si>
    <t>с нарушениями санитарных норм</t>
  </si>
  <si>
    <t>8.3.2.1</t>
  </si>
  <si>
    <t>по температуре</t>
  </si>
  <si>
    <t>8.3.2.2</t>
  </si>
  <si>
    <t>по качеству воды</t>
  </si>
  <si>
    <t>8.4</t>
  </si>
  <si>
    <t>8.4.1</t>
  </si>
  <si>
    <t>8.5.</t>
  </si>
  <si>
    <t>8.5.1</t>
  </si>
  <si>
    <t>8.5.1.1</t>
  </si>
  <si>
    <t>8.5.1.2</t>
  </si>
  <si>
    <t>8.5.1.n</t>
  </si>
  <si>
    <t>8.5.2</t>
  </si>
  <si>
    <t>Увеличение отпуска питьевой воды в связи с подключением абонентов</t>
  </si>
  <si>
    <t>Прием сточных вод</t>
  </si>
  <si>
    <t>тыс.куб.м.</t>
  </si>
  <si>
    <t>в пределах норматива по объему</t>
  </si>
  <si>
    <t>сверх норматива по объему</t>
  </si>
  <si>
    <t>По категориям сточных вод:</t>
  </si>
  <si>
    <t>жидких бытовых отходов</t>
  </si>
  <si>
    <t>поверхностных сточных вод</t>
  </si>
  <si>
    <t>1.2.2.1</t>
  </si>
  <si>
    <t>от абонентов, которым установлены тарифы</t>
  </si>
  <si>
    <t>1.2.2.2</t>
  </si>
  <si>
    <t>от других абонентов</t>
  </si>
  <si>
    <t>у нормируемых абонентов</t>
  </si>
  <si>
    <t>у многоквартирных домов и приравненных к ним</t>
  </si>
  <si>
    <t>у прочих абонентов, в том числе:</t>
  </si>
  <si>
    <t>1.2.5.1</t>
  </si>
  <si>
    <t>категория абонентов 1</t>
  </si>
  <si>
    <t>1.2.5.2</t>
  </si>
  <si>
    <t>категория абонентов 2</t>
  </si>
  <si>
    <t>1.2.5.n</t>
  </si>
  <si>
    <t>категория абонентов n</t>
  </si>
  <si>
    <t>от других организаций, осуществляющих водоотведение</t>
  </si>
  <si>
    <t>1.3.1.1</t>
  </si>
  <si>
    <t>1.3.1.2</t>
  </si>
  <si>
    <t>1.3.1.n</t>
  </si>
  <si>
    <t>от собственных абонентов</t>
  </si>
  <si>
    <t>1.3.2.1.</t>
  </si>
  <si>
    <t>1.3.2.2.</t>
  </si>
  <si>
    <t>1.3.2.3.</t>
  </si>
  <si>
    <t>Неучтенный приток сточных вод</t>
  </si>
  <si>
    <t>Организованный приток</t>
  </si>
  <si>
    <t>Неорганизованный приток</t>
  </si>
  <si>
    <t>Поступило с территорий, дифференцированных по тарифу</t>
  </si>
  <si>
    <t>Объем транспортируемых сточных вод</t>
  </si>
  <si>
    <t>На собственные очистные сооружения</t>
  </si>
  <si>
    <t>Другим организациям</t>
  </si>
  <si>
    <t>Объем сточных вод, поступивших на очистные сооружения</t>
  </si>
  <si>
    <t>Объем сточных вод, прошедших очистку</t>
  </si>
  <si>
    <t>Сбросы сточных вод в пределах нормативов и лимитов</t>
  </si>
  <si>
    <t xml:space="preserve">4. Доля потерь воды в централизованных системах водоснабжения при ее транспортировке в общем объеме, поданной в водопроводную сеть, % </t>
  </si>
  <si>
    <r>
      <t xml:space="preserve">2015 год </t>
    </r>
    <r>
      <rPr>
        <u/>
        <sz val="12"/>
        <color indexed="8"/>
        <rFont val="Times New Roman"/>
        <family val="1"/>
        <charset val="204"/>
      </rPr>
      <t xml:space="preserve">824 701,84   </t>
    </r>
    <r>
      <rPr>
        <sz val="12"/>
        <color indexed="8"/>
        <rFont val="Times New Roman"/>
        <family val="1"/>
        <charset val="204"/>
      </rPr>
      <t>тыс. руб. без НДС;</t>
    </r>
  </si>
  <si>
    <r>
      <t xml:space="preserve">2016 год </t>
    </r>
    <r>
      <rPr>
        <u/>
        <sz val="12"/>
        <rFont val="Times New Roman"/>
        <family val="1"/>
        <charset val="204"/>
      </rPr>
      <t>1 008 556,78</t>
    </r>
    <r>
      <rPr>
        <sz val="12"/>
        <rFont val="Times New Roman"/>
        <family val="1"/>
        <charset val="204"/>
      </rPr>
      <t xml:space="preserve"> тыс. руб. без НДС;</t>
    </r>
  </si>
  <si>
    <t>Генеральный директор</t>
  </si>
  <si>
    <t>А.А. Закавов</t>
  </si>
  <si>
    <r>
      <t xml:space="preserve">Раздел 13.1 </t>
    </r>
    <r>
      <rPr>
        <sz val="12"/>
        <color indexed="8"/>
        <rFont val="Times New Roman"/>
        <family val="1"/>
        <charset val="204"/>
      </rPr>
      <t>Перечень выполненных мероприятий по ремонту объектов централизованной</t>
    </r>
  </si>
  <si>
    <t xml:space="preserve">Гагарина, 73Б </t>
  </si>
  <si>
    <t xml:space="preserve">Красноармейская от ул. Горького до ул. Карасунской </t>
  </si>
  <si>
    <t>КНС   Пластмасс, насосный агрегат ФГ 450/22,5</t>
  </si>
  <si>
    <t>Г.С. Степанова</t>
  </si>
  <si>
    <t>В.А. Белокуров</t>
  </si>
  <si>
    <r>
      <t xml:space="preserve">2018 год </t>
    </r>
    <r>
      <rPr>
        <u/>
        <sz val="12"/>
        <color indexed="8"/>
        <rFont val="Times New Roman"/>
        <family val="1"/>
        <charset val="204"/>
      </rPr>
      <t xml:space="preserve">1 715 441,8 </t>
    </r>
    <r>
      <rPr>
        <sz val="12"/>
        <color indexed="8"/>
        <rFont val="Times New Roman"/>
        <family val="1"/>
        <charset val="204"/>
      </rPr>
      <t>тыс. руб. без НДС;</t>
    </r>
  </si>
  <si>
    <r>
      <t xml:space="preserve">2019 год </t>
    </r>
    <r>
      <rPr>
        <u/>
        <sz val="12"/>
        <color indexed="8"/>
        <rFont val="Times New Roman"/>
        <family val="1"/>
        <charset val="204"/>
      </rPr>
      <t xml:space="preserve">1 782 017,41 </t>
    </r>
    <r>
      <rPr>
        <sz val="12"/>
        <color indexed="8"/>
        <rFont val="Times New Roman"/>
        <family val="1"/>
        <charset val="204"/>
      </rPr>
      <t>тыс. руб. без НДС.</t>
    </r>
  </si>
  <si>
    <r>
      <t>2016 год</t>
    </r>
    <r>
      <rPr>
        <u/>
        <sz val="12"/>
        <rFont val="Times New Roman"/>
        <family val="1"/>
        <charset val="204"/>
      </rPr>
      <t xml:space="preserve"> 1 485 734,12 </t>
    </r>
    <r>
      <rPr>
        <sz val="12"/>
        <rFont val="Times New Roman"/>
        <family val="1"/>
        <charset val="204"/>
      </rPr>
      <t>тыс. руб. без НДС;</t>
    </r>
  </si>
  <si>
    <r>
      <t xml:space="preserve">2017 год </t>
    </r>
    <r>
      <rPr>
        <u/>
        <sz val="12"/>
        <color indexed="8"/>
        <rFont val="Times New Roman"/>
        <family val="1"/>
        <charset val="204"/>
      </rPr>
      <t xml:space="preserve">1 635 765,45 </t>
    </r>
    <r>
      <rPr>
        <sz val="12"/>
        <color indexed="8"/>
        <rFont val="Times New Roman"/>
        <family val="1"/>
        <charset val="204"/>
      </rPr>
      <t>тыс. руб. без НДС;</t>
    </r>
  </si>
  <si>
    <t>05.10.2016</t>
  </si>
  <si>
    <t>пр.Чекистов, 35</t>
  </si>
  <si>
    <t>74</t>
  </si>
  <si>
    <t>07.08.2015</t>
  </si>
  <si>
    <t>17.07.2015</t>
  </si>
  <si>
    <t>29.11.2015</t>
  </si>
  <si>
    <t>28.12.2015</t>
  </si>
  <si>
    <t>Бородина, 21</t>
  </si>
  <si>
    <t>361</t>
  </si>
  <si>
    <t>ул. Виноградная №54-56</t>
  </si>
  <si>
    <t>21.04.2016</t>
  </si>
  <si>
    <t>Ремонт артезианской скважины ОСК-1 443</t>
  </si>
  <si>
    <t>19.05.2016</t>
  </si>
  <si>
    <t xml:space="preserve">в/з "Ново-Западный" здание НС 2-го подъёма </t>
  </si>
  <si>
    <t>31.08.2016</t>
  </si>
  <si>
    <t>14.06.2016</t>
  </si>
  <si>
    <t>1.5.19</t>
  </si>
  <si>
    <t>ВНС Госпиталь ИОВ</t>
  </si>
  <si>
    <t>ВНС Гудимы 26</t>
  </si>
  <si>
    <t>21.12.2015</t>
  </si>
  <si>
    <t>28.09.2015</t>
  </si>
  <si>
    <t>ВНС Суворова, 80</t>
  </si>
  <si>
    <t>ВНС Индустриальная, 7</t>
  </si>
  <si>
    <t>ВНС Октябрьская, 66</t>
  </si>
  <si>
    <t xml:space="preserve">ВНС Уральская, 162 </t>
  </si>
  <si>
    <t>ВНС Тюляева, 20</t>
  </si>
  <si>
    <t>ВНС Тюляева, 8</t>
  </si>
  <si>
    <t>ВНС Сормовская 10</t>
  </si>
  <si>
    <t>База Дзержинского 40</t>
  </si>
  <si>
    <t>ВНС Северная, 288</t>
  </si>
  <si>
    <t>ВНС Северная, 269</t>
  </si>
  <si>
    <t>ВНС Северная, 265</t>
  </si>
  <si>
    <t>ВНС Гагарина, 250А</t>
  </si>
  <si>
    <t>ВНС Рашпилевская, 178</t>
  </si>
  <si>
    <t>ВНС Лазурная, 68</t>
  </si>
  <si>
    <t>12.07.2016</t>
  </si>
  <si>
    <t>ВНС Красная, 165/1</t>
  </si>
  <si>
    <t>ВНС Красная, 5</t>
  </si>
  <si>
    <t>ВНС Красная, 1</t>
  </si>
  <si>
    <t>ВНС Красная, 29</t>
  </si>
  <si>
    <t>ВНС Захарова, 53</t>
  </si>
  <si>
    <t>ВНС Красная, 145/1</t>
  </si>
  <si>
    <t>ВНС Гимназичекая, 115</t>
  </si>
  <si>
    <t>05.07.2016</t>
  </si>
  <si>
    <t>ВНС Красная, 202</t>
  </si>
  <si>
    <t>ВНС Красная, 174/4</t>
  </si>
  <si>
    <t>ВНС Брюсова, 18</t>
  </si>
  <si>
    <t>ВНС Советская, 40</t>
  </si>
  <si>
    <t>ВНС Кирова 47</t>
  </si>
  <si>
    <t>ВНС Гоголя 41</t>
  </si>
  <si>
    <t>Котельная ул.Апрельская, 2/2</t>
  </si>
  <si>
    <t>ВНС ул.40-Летия Победы, 35/2</t>
  </si>
  <si>
    <t>03.08.2016</t>
  </si>
  <si>
    <t>Востановление асфальтобетонного покрытия (после аварийных разрытий) 8050 м²</t>
  </si>
  <si>
    <t>08.02.2016</t>
  </si>
  <si>
    <t>22.04.2016</t>
  </si>
  <si>
    <t>16.03.2015</t>
  </si>
  <si>
    <t>15.04.2016</t>
  </si>
  <si>
    <t>30.09.2016</t>
  </si>
  <si>
    <t xml:space="preserve">Центральный склад ул. Каляева 198, Ремонт кровли </t>
  </si>
  <si>
    <t>20.05.2016</t>
  </si>
  <si>
    <t>Административное здание, Пожарная сигнализация</t>
  </si>
  <si>
    <t>08.08.2016</t>
  </si>
  <si>
    <t xml:space="preserve">Итого </t>
  </si>
  <si>
    <t>1.3 Ремонт артезианских скважин</t>
  </si>
  <si>
    <t>1.4 Ремонт  кровли</t>
  </si>
  <si>
    <t>1.5 Ремонт зданий</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</si>
  <si>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</si>
  <si>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</si>
  <si>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</si>
  <si>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</si>
  <si>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</si>
  <si>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</si>
  <si>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</si>
  <si>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</si>
  <si>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</si>
  <si>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</si>
  <si>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</si>
  <si>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</si>
  <si>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</si>
  <si>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</si>
  <si>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</si>
  <si>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</si>
  <si>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</si>
  <si>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</si>
  <si>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</si>
  <si>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</si>
  <si>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</si>
  <si>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</si>
  <si>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</si>
  <si>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1.6 Восстановление асфальтобетонного покрытия</t>
  </si>
  <si>
    <t>1.7 Ремонт зданий павильонов арт. скважин</t>
  </si>
  <si>
    <t>1.7.11</t>
  </si>
  <si>
    <t>1.7.12</t>
  </si>
  <si>
    <t>1.7.13</t>
  </si>
  <si>
    <t>1.7.14</t>
  </si>
  <si>
    <t>1.7.15</t>
  </si>
  <si>
    <t>1.7.16</t>
  </si>
  <si>
    <t>1.7.17</t>
  </si>
  <si>
    <t>ул. Московская,84</t>
  </si>
  <si>
    <t>4-й Проезд Тихорецкий</t>
  </si>
  <si>
    <t>ул. Гастело</t>
  </si>
  <si>
    <t>ул. Уральская, 91</t>
  </si>
  <si>
    <t>ул. Меланжевая</t>
  </si>
  <si>
    <t>ул. Красных Партизан - ул. Азовская</t>
  </si>
  <si>
    <t>Дзержинского, 131</t>
  </si>
  <si>
    <t>КНС ТЭЦ Трамвайная, 17-23</t>
  </si>
  <si>
    <t>ул. Калинина, 13 корп.64</t>
  </si>
  <si>
    <t>ул. Симферопольская - ул. Новоросийсская</t>
  </si>
  <si>
    <t>Дзержинского, 12</t>
  </si>
  <si>
    <t>КНС пер. Гаражный, 7</t>
  </si>
  <si>
    <t>КНС Тепличная</t>
  </si>
  <si>
    <t>КНС Клариса</t>
  </si>
  <si>
    <t>КНС 5</t>
  </si>
  <si>
    <r>
      <t>КНС 2-я Пятилетка, сборный напорный трубопровод в машинном зале   d=500 мм  L=15 м</t>
    </r>
    <r>
      <rPr>
        <b/>
        <sz val="10"/>
        <rFont val="Times New Roman"/>
        <family val="1"/>
        <charset val="204"/>
      </rPr>
      <t xml:space="preserve"> Решение суда</t>
    </r>
  </si>
  <si>
    <t>Первичный отстойник №1</t>
  </si>
  <si>
    <t>Илопровод Д-315мм L-395 м/п</t>
  </si>
  <si>
    <t xml:space="preserve">Здание песколовки </t>
  </si>
  <si>
    <t>Лабораторный корпус (Кровля)</t>
  </si>
  <si>
    <t>Иловая площадка</t>
  </si>
  <si>
    <t>Иловая насосная станция (кровля)</t>
  </si>
  <si>
    <t>Технологические трубопроводы машинного зала и запорной арматуры насосной станции сырого осадка</t>
  </si>
  <si>
    <t>Первичный отстойник  № 1</t>
  </si>
  <si>
    <t xml:space="preserve">Система аэрации аэротенк №4 </t>
  </si>
  <si>
    <t>КНС Шнековая 2, кабельная линия</t>
  </si>
  <si>
    <t>Д</t>
  </si>
  <si>
    <t>08.09.2016</t>
  </si>
  <si>
    <t>27.07.2016</t>
  </si>
  <si>
    <t>21.09.2016</t>
  </si>
  <si>
    <r>
      <t xml:space="preserve">2017 год </t>
    </r>
    <r>
      <rPr>
        <u/>
        <sz val="12"/>
        <color indexed="8"/>
        <rFont val="Times New Roman"/>
        <family val="1"/>
        <charset val="204"/>
      </rPr>
      <t xml:space="preserve">1 085 210,95 </t>
    </r>
    <r>
      <rPr>
        <sz val="12"/>
        <color indexed="8"/>
        <rFont val="Times New Roman"/>
        <family val="1"/>
        <charset val="204"/>
      </rPr>
      <t>тыс. руб. без НДС;</t>
    </r>
  </si>
  <si>
    <r>
      <t xml:space="preserve">2018 год </t>
    </r>
    <r>
      <rPr>
        <u/>
        <sz val="12"/>
        <color indexed="8"/>
        <rFont val="Times New Roman"/>
        <family val="1"/>
        <charset val="204"/>
      </rPr>
      <t>1 139 535,53</t>
    </r>
    <r>
      <rPr>
        <sz val="12"/>
        <color indexed="8"/>
        <rFont val="Times New Roman"/>
        <family val="1"/>
        <charset val="204"/>
      </rPr>
      <t xml:space="preserve"> тыс. руб. без НДС;</t>
    </r>
  </si>
  <si>
    <r>
      <t xml:space="preserve">2019 год </t>
    </r>
    <r>
      <rPr>
        <u/>
        <sz val="12"/>
        <color indexed="8"/>
        <rFont val="Times New Roman"/>
        <family val="1"/>
        <charset val="204"/>
      </rPr>
      <t>1 179 613,42</t>
    </r>
    <r>
      <rPr>
        <sz val="12"/>
        <color indexed="8"/>
        <rFont val="Times New Roman"/>
        <family val="1"/>
        <charset val="204"/>
      </rPr>
      <t xml:space="preserve"> тыс. руб. без НДС.</t>
    </r>
  </si>
  <si>
    <r>
      <t xml:space="preserve">5. Удельный расход электрической энергии, потребляемой в технологическом процессе подготовки питьевой воды, на единицу объема воды, отпускаемой в сеть, кВт*ч/куб.м </t>
    </r>
    <r>
      <rPr>
        <vertAlign val="superscript"/>
        <sz val="11"/>
        <color indexed="8"/>
        <rFont val="Times New Roman"/>
        <family val="1"/>
        <charset val="204"/>
      </rPr>
      <t>1*</t>
    </r>
  </si>
  <si>
    <t>5.1. Общее количество электрической энергии, потребляемой в соответствующем технологическом процессе, тыс. кВт*ч*</t>
  </si>
  <si>
    <t>5.2. Общий объем питьевой воды, в отношении которой осуществляется водоподготовка, тыс. м³*</t>
  </si>
  <si>
    <t xml:space="preserve">7.Удельный расход электрической энергии, потребляемой в технологических процессах подготовки и транспортировки питьевой воды, на единицу объема воды из источников водоснабжения и от других операторов (покупной), кВт*ч/куб.м </t>
  </si>
  <si>
    <t>7.1 Общее количество электрической энергии, потребляемой в соответствующих технологических процессах, тыс. кВт*ч</t>
  </si>
  <si>
    <t>7.2 Общий объем питьевой воды из источников водоснабжения и от других операторов (покупной) тыс. м³</t>
  </si>
  <si>
    <t xml:space="preserve">          Примечание: п.5, п.6 - в тариф данные показатели отдельно не заявлены в связи с тем, что в настоящий момент технический учет расхода электроэнергии на водозаборах охватывает в целом: добычу, очистку, обеззараживание воды и II подъем, а на ВНС в целом: добычу (в случае ее наличия) и III подъем. Определение электроэнергии, потребляемой в технологическом процессе подготовки питьевой воды (добыча, очистка, обеззараживание воды) и электроэнергии, потребляемой в технологическом процессе транспортировки питьевой воды (II подъем и выше) не представляется возможным, т.к. раздельного технического учета электроэнергии по составляющим вышеуказанных процессов нет.</t>
  </si>
  <si>
    <t>аварий и засоров-8,62</t>
  </si>
  <si>
    <t>аварий и           засоров - 8,03</t>
  </si>
  <si>
    <t>аварий и           засоров-8,03</t>
  </si>
  <si>
    <t>аварий и          засоров-8,02</t>
  </si>
  <si>
    <t>аварий и          засоров-8,01</t>
  </si>
  <si>
    <t>аварий и            засоров-8,00</t>
  </si>
  <si>
    <t>количество проб из распределительной сети, не соответствующих установленным требованиям, соответствующее фактическому количеству нестандартных проб за предыдущие годы, ед.,</t>
  </si>
  <si>
    <t>количество проб с источников водоснабжения, не соответствующих установленным требованиям, соответствующее фактическому количеству нестандартных проб за предыдущие годы, ед.,</t>
  </si>
  <si>
    <t>общее количество отобранных проб, установленное в рабочей программе производственного контроля качества питьевой воды централизованной системы хозяйственно-питьевого водоснабжения г. Краснодар на 2014-2018 гг., ед</t>
  </si>
  <si>
    <t>общее количество отобранных проб, установленное в рабочей программе производственного контроля качества питьевой воды централизованной системы хозяйственно-питьевого водоснабжения г. Краснодар на 2014-2018 гг., утвержденной Управлением Федеральной службы по надзору в сфере защиты прав потребителей и благополучия человека по Краснодарскому краю, ед.</t>
  </si>
  <si>
    <t>количество перерывов в подаче воды, произошедших в результате аварий, равное среднему значению количества перерывов в подаче воды за последние 3 года, ед.,</t>
  </si>
  <si>
    <t>протяженность водопроводных сетей, находящихся на балансе предприятия, км. Планируемое увеличение протяженности водопроводной сети связано со строительством новых сетей, с целью возможности подключения новых абонентов, а также приемом на баланс предприятия бесхозных сетей.</t>
  </si>
  <si>
    <t>объем потерь воды в централизованных системах водоснабжения при ее транспортировке, соответствующий объему потерь воды, расчет выполнен в соответствии с приказом Минстроя России от 17 октября 2014 г №640/пр., тыс. м³,</t>
  </si>
  <si>
    <t>общий объем воды, поданной в водопроводную сеть, тыс. м³. Состоит из: добычи воды+покупной воды-расхода воды на водоподготовку</t>
  </si>
  <si>
    <r>
      <t>общее количество электрической энергии, потребляемая в технологических процессах подготовки и транспортировки питьевой воды, на единицу объема воды из источников водоснабжения и от других операторов (покупной), тыс. кВт*ч.</t>
    </r>
    <r>
      <rPr>
        <sz val="11"/>
        <color rgb="FFFF0000"/>
        <rFont val="Calibri"/>
        <family val="2"/>
        <charset val="204"/>
        <scheme val="minor"/>
      </rPr>
      <t xml:space="preserve"> </t>
    </r>
  </si>
  <si>
    <t>В плановых расчетах не учтена электроэнергия на вспомогательные подразделения АТЦ, ЭМЦ, Административные здания.</t>
  </si>
  <si>
    <t>количество проб сточных вод, не соответствующих установленным нормативам допустимых сбросов, соответствующее фактическому количеству нестандартных проб за предыдущие годы, ед.,</t>
  </si>
  <si>
    <t>общее количество проб сточных вод, установленное в программе (план-графике) отбора проб и аналитического контроля эффективности сооружений по очистке сточных вод на ОСК-1 и ОСК-2 цеха очистных сооружений канализации ООО «Краснодар Водоканал», ед.</t>
  </si>
  <si>
    <t>В результатах отражены плановые значения на не соответствее установленным требованиям проб</t>
  </si>
  <si>
    <t>среднее значение по количеству засоров на канализационных сетях за предыдущие периоды, ед.,</t>
  </si>
  <si>
    <t>общее количество электрической энергии, потребляемой в процессе очистки сточных вод, тыс. кВт*ч. За общее количество энергии принято суммарное потребление электроэнергии на ОСК-1; ОСК-2.</t>
  </si>
  <si>
    <t xml:space="preserve"> В плановый расчет не были включены затраты по работе электролизной установки на очистных сооружениях №1 в кол-ве 1шт. и очистных сооружениях №2 в кол-ве 3шт. мощностью 200 квт*365дн.*24час. =1 752 тыс.квт.час/год. В плановых расчетах не учтена электроэнергия на вспомогательные подразделения АТЦ, ЭМЦ, Административные здания.</t>
  </si>
  <si>
    <t>общее количество электрической энергии, потребляемой КНС в процессе транспортировки сточных вод, тыс. кВт*ч</t>
  </si>
  <si>
    <t>Планируемое увеличение протяженности  сети  канализации, связано со строительством новых сетей, с целью возможности подключения новых абонентов, а также приемом на баланс предприятия бесхозных сетей.</t>
  </si>
  <si>
    <t>Поэтапное снижение удельного показателя обусловлено выполнением плановых работ по промывке канализационных сетей</t>
  </si>
  <si>
    <t>общий объем сточных вод, подвергающихся очистке, тыс. м³, принят как сумма полезного отпуска и дополнительного притока, рассчитанного как среднее значение за три предыдущих года. При фактических значениях информация снимается с узла учета РСУ-003п 2 канальный. Дата следующей поверки прибора 11.2017г.</t>
  </si>
  <si>
    <t>общий объем транспортируемых сточных вод,  тыс. м³, принят как сумма полезного отпуска и дополнительного притока, рассчитанного как среднее значение за три предыдущих года. При фактических значениях информация принимается на основании прибора учета на ОСК.</t>
  </si>
  <si>
    <t>общий объем питьевой воды из источников водоснабжения и от других операторов (покупной), тыс. м³. Состоит из: добычи воды+покупной воды-расхода воды на водоподготовку. Все данные полученны в результате съема показаний с приборов учета, установленных на артезианских скважинах и коммерческих узлов на покупную воду.</t>
  </si>
  <si>
    <t>Раздел 12 Объем финансовых потребностей, необходимых для реализации производственной программы</t>
  </si>
  <si>
    <t>ул. Чекистов, 25</t>
  </si>
  <si>
    <t>ВНС Гражданская, 4</t>
  </si>
  <si>
    <t>Итого 2017 год</t>
  </si>
  <si>
    <t>от  20.12.2016   №    6323</t>
  </si>
</sst>
</file>

<file path=xl/styles.xml><?xml version="1.0" encoding="utf-8"?>
<styleSheet xmlns="http://schemas.openxmlformats.org/spreadsheetml/2006/main">
  <numFmts count="56">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dd/mm/yy;@"/>
    <numFmt numFmtId="169" formatCode="_-* #,##0_р_._-;\-* #,##0_р_._-;_-* \-_р_._-;_-@_-"/>
    <numFmt numFmtId="170" formatCode="0.0%"/>
    <numFmt numFmtId="171" formatCode="0.0%_);\(0.0%\)"/>
    <numFmt numFmtId="172" formatCode="#,##0_);[Red]\(#,##0\)"/>
    <numFmt numFmtId="173" formatCode="#,##0;\(#,##0\)"/>
    <numFmt numFmtId="174" formatCode="_-* #,##0.00\ _$_-;\-* #,##0.00\ _$_-;_-* &quot;-&quot;??\ _$_-;_-@_-"/>
    <numFmt numFmtId="175" formatCode="#\."/>
    <numFmt numFmtId="176" formatCode="#.##0\.00"/>
    <numFmt numFmtId="177" formatCode="#\.00"/>
    <numFmt numFmtId="178" formatCode="\$#\.00"/>
    <numFmt numFmtId="179" formatCode="dd\-mmm\-yy"/>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_-* #,##0.00[$€-1]_-;\-* #,##0.00[$€-1]_-;_-* &quot;-&quot;??[$€-1]_-"/>
    <numFmt numFmtId="188" formatCode="0.0"/>
    <numFmt numFmtId="189" formatCode="#,##0.0_);\(#,##0.0\)"/>
    <numFmt numFmtId="190" formatCode="#,##0_ ;[Red]\-#,##0\ "/>
    <numFmt numFmtId="191" formatCode="#,##0_);[Blue]\(#,##0\)"/>
    <numFmt numFmtId="192" formatCode="_-* #,##0_-;\-* #,##0_-;_-* &quot;-&quot;_-;_-@_-"/>
    <numFmt numFmtId="193" formatCode="_-* #,##0.00_-;\-* #,##0.00_-;_-* &quot;-&quot;??_-;_-@_-"/>
    <numFmt numFmtId="194" formatCode="#,##0__\ \ \ \ "/>
    <numFmt numFmtId="195" formatCode="_-&quot;£&quot;* #,##0_-;\-&quot;£&quot;* #,##0_-;_-&quot;£&quot;* &quot;-&quot;_-;_-@_-"/>
    <numFmt numFmtId="196" formatCode="_-&quot;£&quot;* #,##0.00_-;\-&quot;£&quot;* #,##0.00_-;_-&quot;£&quot;* &quot;-&quot;??_-;_-@_-"/>
    <numFmt numFmtId="197" formatCode="#,##0.00&quot;т.р.&quot;;\-#,##0.00&quot;т.р.&quot;"/>
    <numFmt numFmtId="198" formatCode="#,##0.0;[Red]#,##0.0"/>
    <numFmt numFmtId="199" formatCode="_-* #,##0_đ_._-;\-* #,##0_đ_._-;_-* &quot;-&quot;_đ_._-;_-@_-"/>
    <numFmt numFmtId="200" formatCode="_-* #,##0.00_đ_._-;\-* #,##0.00_đ_._-;_-* &quot;-&quot;??_đ_._-;_-@_-"/>
    <numFmt numFmtId="201" formatCode="\(#,##0.0\)"/>
    <numFmt numFmtId="202" formatCode="#,##0\ &quot;?.&quot;;\-#,##0\ &quot;?.&quot;"/>
    <numFmt numFmtId="203" formatCode="#,##0______;;&quot;------------      &quot;"/>
    <numFmt numFmtId="204" formatCode="#,##0.000_ ;\-#,##0.000\ "/>
    <numFmt numFmtId="205" formatCode="#,##0.00_ ;[Red]\-#,##0.00\ "/>
    <numFmt numFmtId="206" formatCode="_(&quot;р.&quot;* #,##0.00_);_(&quot;р.&quot;* \(#,##0.00\);_(&quot;р.&quot;* &quot;-&quot;??_);_(@_)"/>
    <numFmt numFmtId="207" formatCode="#,##0.000"/>
    <numFmt numFmtId="208" formatCode="0.000"/>
    <numFmt numFmtId="209" formatCode="_-* #,##0\ _р_._-;\-* #,##0\ _р_._-;_-* &quot;-&quot;\ _р_._-;_-@_-"/>
    <numFmt numFmtId="210" formatCode="_-* #,##0.00\ _р_._-;\-* #,##0.00\ _р_._-;_-* &quot;-&quot;??\ _р_._-;_-@_-"/>
    <numFmt numFmtId="211" formatCode="_(* #,##0.00_);_(* \(#,##0.00\);_(* &quot;-&quot;??_);_(@_)"/>
    <numFmt numFmtId="212" formatCode="_-* #,##0\ _$_-;\-* #,##0\ _$_-;_-* &quot;-&quot;\ _$_-;_-@_-"/>
    <numFmt numFmtId="213" formatCode="#,##0.00_ ;\-#,##0.00\ "/>
    <numFmt numFmtId="214" formatCode="#,##0.0"/>
    <numFmt numFmtId="215" formatCode="%#\.00"/>
    <numFmt numFmtId="216" formatCode="#,##0.00000"/>
    <numFmt numFmtId="217" formatCode="#,##0.0000"/>
    <numFmt numFmtId="218" formatCode="_-* #,##0_р_._-;\-* #,##0_р_._-;_-* &quot;-&quot;??_р_._-;_-@_-"/>
    <numFmt numFmtId="219" formatCode="_-* #,##0\ _₽_-;\-* #,##0\ _₽_-;_-* &quot;-&quot;??\ _₽_-;_-@_-"/>
  </numFmts>
  <fonts count="209">
    <font>
      <sz val="11"/>
      <color theme="1"/>
      <name val="Calibri"/>
      <family val="2"/>
      <charset val="204"/>
      <scheme val="minor"/>
    </font>
    <font>
      <sz val="11"/>
      <color indexed="8"/>
      <name val="Times New Roman"/>
      <family val="1"/>
      <charset val="204"/>
    </font>
    <font>
      <sz val="10"/>
      <color indexed="8"/>
      <name val="Times New Roman"/>
      <family val="1"/>
      <charset val="204"/>
    </font>
    <font>
      <sz val="9"/>
      <color indexed="8"/>
      <name val="Times New Roman"/>
      <family val="1"/>
      <charset val="204"/>
    </font>
    <font>
      <vertAlign val="superscript"/>
      <sz val="11"/>
      <color indexed="8"/>
      <name val="Times New Roman"/>
      <family val="1"/>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sz val="10"/>
      <color indexed="8"/>
      <name val="Times New Roman"/>
      <family val="1"/>
      <charset val="204"/>
    </font>
    <font>
      <sz val="12"/>
      <color indexed="8"/>
      <name val="Times New Roman"/>
      <family val="1"/>
      <charset val="204"/>
    </font>
    <font>
      <sz val="12"/>
      <color indexed="8"/>
      <name val="Calibri"/>
      <family val="2"/>
      <charset val="204"/>
    </font>
    <font>
      <sz val="11"/>
      <color indexed="8"/>
      <name val="Times New Roman"/>
      <family val="1"/>
      <charset val="204"/>
    </font>
    <font>
      <b/>
      <sz val="11"/>
      <color indexed="8"/>
      <name val="Times New Roman"/>
      <family val="1"/>
      <charset val="204"/>
    </font>
    <font>
      <sz val="10"/>
      <color indexed="8"/>
      <name val="Times New Roman"/>
      <family val="1"/>
      <charset val="204"/>
    </font>
    <font>
      <b/>
      <sz val="10"/>
      <color indexed="8"/>
      <name val="Times New Roman"/>
      <family val="1"/>
      <charset val="204"/>
    </font>
    <font>
      <sz val="11"/>
      <color indexed="8"/>
      <name val="Times New Roman"/>
      <family val="1"/>
      <charset val="204"/>
    </font>
    <font>
      <sz val="9.5"/>
      <color indexed="8"/>
      <name val="Times New Roman"/>
      <family val="1"/>
      <charset val="204"/>
    </font>
    <font>
      <sz val="9"/>
      <color indexed="8"/>
      <name val="Times New Roman"/>
      <family val="1"/>
      <charset val="204"/>
    </font>
    <font>
      <b/>
      <i/>
      <sz val="12"/>
      <color indexed="8"/>
      <name val="Times New Roman"/>
      <family val="1"/>
      <charset val="204"/>
    </font>
    <font>
      <b/>
      <sz val="12"/>
      <color indexed="8"/>
      <name val="Times New Roman"/>
      <family val="1"/>
      <charset val="204"/>
    </font>
    <font>
      <sz val="14"/>
      <color indexed="8"/>
      <name val="Wingdings"/>
      <charset val="2"/>
    </font>
    <font>
      <b/>
      <sz val="11"/>
      <color indexed="8"/>
      <name val="Times New Roman"/>
      <family val="1"/>
      <charset val="204"/>
    </font>
    <font>
      <sz val="12"/>
      <color indexed="8"/>
      <name val="Times New Roman"/>
      <family val="1"/>
      <charset val="204"/>
    </font>
    <font>
      <b/>
      <i/>
      <sz val="12"/>
      <color indexed="8"/>
      <name val="Times New Roman"/>
      <family val="1"/>
      <charset val="204"/>
    </font>
    <font>
      <u/>
      <sz val="14"/>
      <color indexed="8"/>
      <name val="Times New Roman"/>
      <family val="1"/>
      <charset val="204"/>
    </font>
    <font>
      <b/>
      <u/>
      <sz val="14"/>
      <color indexed="8"/>
      <name val="Times New Roman"/>
      <family val="1"/>
      <charset val="204"/>
    </font>
    <font>
      <sz val="14"/>
      <color indexed="8"/>
      <name val="Calibri"/>
      <family val="2"/>
      <charset val="204"/>
    </font>
    <font>
      <sz val="14"/>
      <color indexed="8"/>
      <name val="Arial Cyr"/>
      <family val="2"/>
      <charset val="204"/>
    </font>
    <font>
      <b/>
      <sz val="12"/>
      <name val="Times New Roman"/>
      <family val="1"/>
      <charset val="204"/>
    </font>
    <font>
      <sz val="10"/>
      <name val="Times New Roman"/>
      <family val="1"/>
      <charset val="204"/>
    </font>
    <font>
      <sz val="12"/>
      <name val="Times New Roman"/>
      <family val="1"/>
      <charset val="204"/>
    </font>
    <font>
      <sz val="10"/>
      <color indexed="8"/>
      <name val="Calibri"/>
      <family val="2"/>
      <charset val="204"/>
    </font>
    <font>
      <sz val="11"/>
      <name val="Times New Roman"/>
      <family val="1"/>
      <charset val="204"/>
    </font>
    <font>
      <sz val="10"/>
      <name val="Arial"/>
      <family val="2"/>
      <charset val="204"/>
    </font>
    <font>
      <b/>
      <i/>
      <sz val="12"/>
      <name val="Times New Roman"/>
      <family val="1"/>
      <charset val="1"/>
    </font>
    <font>
      <b/>
      <sz val="12"/>
      <name val="Times New Roman"/>
      <family val="1"/>
      <charset val="1"/>
    </font>
    <font>
      <sz val="10"/>
      <name val="Times New Roman"/>
      <family val="1"/>
      <charset val="1"/>
    </font>
    <font>
      <sz val="10"/>
      <color indexed="8"/>
      <name val="Times New Roman"/>
      <family val="1"/>
      <charset val="1"/>
    </font>
    <font>
      <sz val="10"/>
      <name val="Arial Cyr"/>
      <family val="2"/>
      <charset val="204"/>
    </font>
    <font>
      <sz val="10"/>
      <name val="Arial Cyr"/>
      <charset val="204"/>
    </font>
    <font>
      <b/>
      <sz val="14"/>
      <name val="Times New Roman"/>
      <family val="1"/>
      <charset val="1"/>
    </font>
    <font>
      <b/>
      <sz val="10"/>
      <name val="Times New Roman"/>
      <family val="1"/>
      <charset val="204"/>
    </font>
    <font>
      <b/>
      <sz val="14"/>
      <name val="Times New Roman"/>
      <family val="1"/>
      <charset val="204"/>
    </font>
    <font>
      <b/>
      <i/>
      <sz val="12"/>
      <name val="Times New Roman"/>
      <family val="1"/>
      <charset val="204"/>
    </font>
    <font>
      <sz val="12"/>
      <name val="Arial Cyr"/>
      <family val="2"/>
      <charset val="204"/>
    </font>
    <font>
      <sz val="9"/>
      <name val="Times New Roman"/>
      <family val="1"/>
      <charset val="204"/>
    </font>
    <font>
      <sz val="11"/>
      <color indexed="8"/>
      <name val="Calibri"/>
      <family val="2"/>
      <charset val="204"/>
    </font>
    <font>
      <i/>
      <sz val="14"/>
      <color indexed="8"/>
      <name val="Calibri"/>
      <family val="2"/>
      <charset val="204"/>
    </font>
    <font>
      <b/>
      <sz val="11"/>
      <name val="Times New Roman"/>
      <family val="1"/>
      <charset val="204"/>
    </font>
    <font>
      <b/>
      <sz val="12"/>
      <name val="Arial Cyr"/>
      <family val="2"/>
      <charset val="204"/>
    </font>
    <font>
      <b/>
      <i/>
      <sz val="14"/>
      <name val="Times New Roman"/>
      <family val="1"/>
      <charset val="204"/>
    </font>
    <font>
      <sz val="10"/>
      <name val="Helv"/>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sz val="9"/>
      <name val="Tahoma"/>
      <family val="2"/>
      <charset val="204"/>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u/>
      <sz val="9"/>
      <color indexed="12"/>
      <name val="Tahoma"/>
      <family val="2"/>
      <charset val="204"/>
    </font>
    <font>
      <b/>
      <sz val="12"/>
      <color indexed="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0"/>
      <name val="Times New Roman Cyr"/>
      <family val="1"/>
      <charset val="204"/>
    </font>
    <font>
      <b/>
      <sz val="12"/>
      <color indexed="8"/>
      <name val="Calibri"/>
      <family val="2"/>
      <charset val="204"/>
    </font>
    <font>
      <sz val="14"/>
      <color indexed="8"/>
      <name val="Times New Roman"/>
      <family val="1"/>
      <charset val="204"/>
    </font>
    <font>
      <b/>
      <sz val="10"/>
      <color indexed="8"/>
      <name val="Times New Roman"/>
      <family val="1"/>
      <charset val="204"/>
    </font>
    <font>
      <sz val="8"/>
      <color indexed="8"/>
      <name val="Times New Roman"/>
      <family val="1"/>
      <charset val="204"/>
    </font>
    <font>
      <b/>
      <i/>
      <sz val="16"/>
      <color indexed="8"/>
      <name val="Times New Roman"/>
      <family val="1"/>
      <charset val="204"/>
    </font>
    <font>
      <sz val="14"/>
      <name val="Times New Roman"/>
      <family val="1"/>
      <charset val="204"/>
    </font>
    <font>
      <b/>
      <sz val="16"/>
      <color indexed="8"/>
      <name val="Times New Roman"/>
      <family val="1"/>
      <charset val="204"/>
    </font>
    <font>
      <sz val="10"/>
      <color indexed="9"/>
      <name val="Times New Roman"/>
      <family val="1"/>
      <charset val="204"/>
    </font>
    <font>
      <sz val="11"/>
      <color indexed="9"/>
      <name val="Times New Roman"/>
      <family val="1"/>
      <charset val="204"/>
    </font>
    <font>
      <u/>
      <sz val="11"/>
      <color indexed="8"/>
      <name val="Times New Roman"/>
      <family val="1"/>
      <charset val="204"/>
    </font>
    <font>
      <b/>
      <sz val="11"/>
      <color indexed="8"/>
      <name val="Calibri"/>
      <family val="2"/>
      <charset val="204"/>
    </font>
    <font>
      <sz val="9.5"/>
      <name val="Times New Roman"/>
      <family val="1"/>
      <charset val="204"/>
    </font>
    <font>
      <sz val="11"/>
      <name val="Calibri"/>
      <family val="2"/>
      <charset val="204"/>
    </font>
    <font>
      <i/>
      <sz val="10"/>
      <color indexed="8"/>
      <name val="Times New Roman"/>
      <family val="1"/>
      <charset val="204"/>
    </font>
    <font>
      <sz val="12"/>
      <color indexed="8"/>
      <name val="Times New Roman"/>
      <family val="1"/>
      <charset val="1"/>
    </font>
    <font>
      <sz val="12"/>
      <name val="Times New Roman"/>
      <family val="1"/>
      <charset val="1"/>
    </font>
    <font>
      <u/>
      <sz val="12"/>
      <color indexed="8"/>
      <name val="Times New Roman"/>
      <family val="1"/>
      <charset val="204"/>
    </font>
    <font>
      <i/>
      <sz val="10"/>
      <name val="Times New Roman"/>
      <family val="1"/>
      <charset val="204"/>
    </font>
    <font>
      <b/>
      <i/>
      <sz val="11"/>
      <color indexed="8"/>
      <name val="Times New Roman"/>
      <family val="1"/>
      <charset val="204"/>
    </font>
    <font>
      <b/>
      <i/>
      <sz val="11"/>
      <color indexed="8"/>
      <name val="Times New Roman"/>
      <family val="1"/>
      <charset val="204"/>
    </font>
    <font>
      <b/>
      <sz val="8"/>
      <color indexed="81"/>
      <name val="Tahoma"/>
      <family val="2"/>
      <charset val="204"/>
    </font>
    <font>
      <sz val="8"/>
      <color indexed="81"/>
      <name val="Tahoma"/>
      <family val="2"/>
      <charset val="204"/>
    </font>
    <font>
      <b/>
      <sz val="9"/>
      <color indexed="81"/>
      <name val="Tahoma"/>
      <family val="2"/>
      <charset val="204"/>
    </font>
    <font>
      <sz val="9"/>
      <color indexed="81"/>
      <name val="Tahoma"/>
      <family val="2"/>
      <charset val="204"/>
    </font>
    <font>
      <sz val="12"/>
      <name val="Tahoma"/>
      <family val="2"/>
      <charset val="204"/>
    </font>
    <font>
      <u/>
      <sz val="12"/>
      <name val="Times New Roman"/>
      <family val="1"/>
      <charset val="204"/>
    </font>
    <font>
      <sz val="11"/>
      <color theme="1"/>
      <name val="Calibri"/>
      <family val="2"/>
      <charset val="204"/>
      <scheme val="minor"/>
    </font>
    <font>
      <sz val="12"/>
      <color theme="1"/>
      <name val="Tahoma"/>
      <family val="2"/>
      <charset val="204"/>
    </font>
    <font>
      <b/>
      <sz val="12"/>
      <color theme="1"/>
      <name val="Tahoma"/>
      <family val="2"/>
      <charset val="204"/>
    </font>
    <font>
      <sz val="12"/>
      <color theme="1"/>
      <name val="Times New Roman"/>
      <family val="1"/>
      <charset val="204"/>
    </font>
    <font>
      <b/>
      <sz val="12"/>
      <color theme="1"/>
      <name val="Times New Roman"/>
      <family val="1"/>
      <charset val="204"/>
    </font>
    <font>
      <sz val="10"/>
      <color theme="1"/>
      <name val="Times New Roman"/>
      <family val="1"/>
      <charset val="204"/>
    </font>
    <font>
      <sz val="11"/>
      <color rgb="FF000000"/>
      <name val="Times New Roman"/>
      <family val="1"/>
      <charset val="204"/>
    </font>
    <font>
      <sz val="14"/>
      <color rgb="FF000000"/>
      <name val="Times New Roman"/>
      <family val="1"/>
      <charset val="204"/>
    </font>
    <font>
      <sz val="14"/>
      <color theme="1"/>
      <name val="Calibri"/>
      <family val="2"/>
      <charset val="204"/>
      <scheme val="minor"/>
    </font>
    <font>
      <sz val="11"/>
      <color theme="1"/>
      <name val="Times New Roman"/>
      <family val="1"/>
      <charset val="204"/>
    </font>
    <font>
      <sz val="12"/>
      <color theme="1"/>
      <name val="Calibri"/>
      <family val="2"/>
      <charset val="204"/>
      <scheme val="minor"/>
    </font>
    <font>
      <b/>
      <sz val="14"/>
      <color theme="1"/>
      <name val="Times New Roman"/>
      <family val="1"/>
      <charset val="204"/>
    </font>
    <font>
      <b/>
      <sz val="11"/>
      <color rgb="FF000000"/>
      <name val="Times New Roman"/>
      <family val="1"/>
      <charset val="204"/>
    </font>
    <font>
      <sz val="10"/>
      <color rgb="FF000000"/>
      <name val="Times New Roman"/>
      <family val="1"/>
      <charset val="204"/>
    </font>
    <font>
      <b/>
      <sz val="10"/>
      <color rgb="FF000000"/>
      <name val="Times New Roman"/>
      <family val="1"/>
      <charset val="204"/>
    </font>
    <font>
      <sz val="11"/>
      <color rgb="FFFF0000"/>
      <name val="Calibri"/>
      <family val="2"/>
      <charset val="204"/>
      <scheme val="minor"/>
    </font>
    <font>
      <sz val="16"/>
      <color indexed="8"/>
      <name val="Times New Roman"/>
      <family val="1"/>
      <charset val="204"/>
    </font>
    <font>
      <sz val="16"/>
      <color theme="1"/>
      <name val="Calibri"/>
      <family val="2"/>
      <charset val="204"/>
      <scheme val="minor"/>
    </font>
  </fonts>
  <fills count="6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9"/>
        <bgColor indexed="64"/>
      </patternFill>
    </fill>
    <fill>
      <patternFill patternType="solid">
        <fgColor indexed="9"/>
        <bgColor indexed="26"/>
      </patternFill>
    </fill>
    <fill>
      <patternFill patternType="solid">
        <fgColor indexed="9"/>
        <bgColor indexed="47"/>
      </patternFill>
    </fill>
    <fill>
      <patternFill patternType="solid">
        <fgColor indexed="9"/>
        <bgColor indexed="55"/>
      </patternFill>
    </fill>
    <fill>
      <patternFill patternType="solid">
        <fgColor indexed="13"/>
        <bgColor indexed="64"/>
      </patternFill>
    </fill>
    <fill>
      <patternFill patternType="solid">
        <fgColor theme="0"/>
        <bgColor indexed="64"/>
      </patternFill>
    </fill>
    <fill>
      <patternFill patternType="solid">
        <fgColor theme="6" tint="0.59999389629810485"/>
        <bgColor indexed="64"/>
      </patternFill>
    </fill>
    <fill>
      <patternFill patternType="solid">
        <fgColor theme="0"/>
        <bgColor indexed="26"/>
      </patternFill>
    </fill>
    <fill>
      <patternFill patternType="solid">
        <fgColor rgb="FFFFFF00"/>
        <bgColor indexed="64"/>
      </patternFill>
    </fill>
  </fills>
  <borders count="109">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64"/>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64"/>
      </top>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22"/>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8"/>
      </left>
      <right style="thin">
        <color indexed="64"/>
      </right>
      <top/>
      <bottom/>
      <diagonal/>
    </border>
    <border>
      <left style="thin">
        <color indexed="8"/>
      </left>
      <right style="thin">
        <color indexed="8"/>
      </right>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diagonal/>
    </border>
    <border>
      <left style="thin">
        <color indexed="64"/>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025">
    <xf numFmtId="0" fontId="0" fillId="0" borderId="0"/>
    <xf numFmtId="0" fontId="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52" fillId="0" borderId="0">
      <alignment vertical="top"/>
    </xf>
    <xf numFmtId="170" fontId="53" fillId="0" borderId="0">
      <alignment vertical="top"/>
    </xf>
    <xf numFmtId="171" fontId="53" fillId="2" borderId="0">
      <alignment vertical="top"/>
    </xf>
    <xf numFmtId="170" fontId="53" fillId="3" borderId="0">
      <alignment vertical="top"/>
    </xf>
    <xf numFmtId="40" fontId="54" fillId="0" borderId="0" applyFont="0" applyFill="0" applyBorder="0" applyAlignment="0" applyProtection="0"/>
    <xf numFmtId="0" fontId="55" fillId="0" borderId="0"/>
    <xf numFmtId="0" fontId="56" fillId="0" borderId="0"/>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173" fontId="33" fillId="4" borderId="1">
      <alignment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1" fillId="0" borderId="0"/>
    <xf numFmtId="0" fontId="56" fillId="0" borderId="0"/>
    <xf numFmtId="0" fontId="56" fillId="0" borderId="0"/>
    <xf numFmtId="0" fontId="56" fillId="0" borderId="0"/>
    <xf numFmtId="0" fontId="56" fillId="0" borderId="0"/>
    <xf numFmtId="0" fontId="57" fillId="0" borderId="0"/>
    <xf numFmtId="0" fontId="51" fillId="0" borderId="0"/>
    <xf numFmtId="0" fontId="51" fillId="0" borderId="0"/>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0" fontId="51" fillId="0" borderId="0"/>
    <xf numFmtId="0" fontId="51" fillId="0" borderId="0"/>
    <xf numFmtId="0" fontId="56" fillId="0" borderId="0"/>
    <xf numFmtId="0" fontId="56" fillId="0" borderId="0"/>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0" fontId="56" fillId="0" borderId="0"/>
    <xf numFmtId="0" fontId="51" fillId="0" borderId="0"/>
    <xf numFmtId="0" fontId="56" fillId="0" borderId="0"/>
    <xf numFmtId="0" fontId="56" fillId="0" borderId="0"/>
    <xf numFmtId="0" fontId="56" fillId="0" borderId="0"/>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172"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38" fontId="52" fillId="0" borderId="0">
      <alignment vertical="top"/>
    </xf>
    <xf numFmtId="0" fontId="56" fillId="0" borderId="0"/>
    <xf numFmtId="0" fontId="56" fillId="0" borderId="0"/>
    <xf numFmtId="0" fontId="51" fillId="0" borderId="0"/>
    <xf numFmtId="0" fontId="51" fillId="0" borderId="0"/>
    <xf numFmtId="0" fontId="56" fillId="0" borderId="0"/>
    <xf numFmtId="0" fontId="51" fillId="0" borderId="0"/>
    <xf numFmtId="0" fontId="51" fillId="0" borderId="0"/>
    <xf numFmtId="0" fontId="39" fillId="0" borderId="0"/>
    <xf numFmtId="0" fontId="56" fillId="0" borderId="0"/>
    <xf numFmtId="174" fontId="39" fillId="0" borderId="0" applyFont="0" applyFill="0" applyBorder="0" applyAlignment="0" applyProtection="0"/>
    <xf numFmtId="176" fontId="58" fillId="0" borderId="0">
      <protection locked="0"/>
    </xf>
    <xf numFmtId="177" fontId="58" fillId="0" borderId="0">
      <protection locked="0"/>
    </xf>
    <xf numFmtId="176" fontId="58" fillId="0" borderId="0">
      <protection locked="0"/>
    </xf>
    <xf numFmtId="177" fontId="58" fillId="0" borderId="0">
      <protection locked="0"/>
    </xf>
    <xf numFmtId="178" fontId="58" fillId="0" borderId="0">
      <protection locked="0"/>
    </xf>
    <xf numFmtId="179" fontId="58" fillId="0" borderId="0">
      <protection locked="0"/>
    </xf>
    <xf numFmtId="175" fontId="58" fillId="0" borderId="2">
      <protection locked="0"/>
    </xf>
    <xf numFmtId="175" fontId="59" fillId="0" borderId="0">
      <protection locked="0"/>
    </xf>
    <xf numFmtId="175" fontId="59" fillId="0" borderId="0">
      <protection locked="0"/>
    </xf>
    <xf numFmtId="175" fontId="58" fillId="0" borderId="2">
      <protection locked="0"/>
    </xf>
    <xf numFmtId="0" fontId="39" fillId="0" borderId="0"/>
    <xf numFmtId="0" fontId="60" fillId="5" borderId="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alignment vertical="top"/>
      <protection locked="0"/>
    </xf>
    <xf numFmtId="0" fontId="57" fillId="0" borderId="0"/>
    <xf numFmtId="180" fontId="38" fillId="0" borderId="3">
      <protection locked="0"/>
    </xf>
    <xf numFmtId="181" fontId="39" fillId="0" borderId="0" applyFont="0" applyFill="0" applyBorder="0" applyAlignment="0" applyProtection="0"/>
    <xf numFmtId="182" fontId="39" fillId="0" borderId="0" applyFont="0" applyFill="0" applyBorder="0" applyAlignment="0" applyProtection="0"/>
    <xf numFmtId="0" fontId="64" fillId="7" borderId="0" applyNumberFormat="0" applyBorder="0" applyAlignment="0" applyProtection="0"/>
    <xf numFmtId="10" fontId="65" fillId="0" borderId="0" applyNumberFormat="0" applyFill="0" applyBorder="0" applyAlignment="0"/>
    <xf numFmtId="0" fontId="66" fillId="0" borderId="0"/>
    <xf numFmtId="0" fontId="67" fillId="24" borderId="4" applyNumberFormat="0" applyAlignment="0" applyProtection="0"/>
    <xf numFmtId="0" fontId="68" fillId="25" borderId="5" applyNumberFormat="0" applyAlignment="0" applyProtection="0"/>
    <xf numFmtId="0" fontId="69" fillId="0" borderId="6">
      <alignment horizontal="left" vertical="center"/>
    </xf>
    <xf numFmtId="165" fontId="33" fillId="0" borderId="0" applyFont="0" applyFill="0" applyBorder="0" applyAlignment="0" applyProtection="0"/>
    <xf numFmtId="0" fontId="70" fillId="0" borderId="0" applyFont="0" applyFill="0" applyBorder="0" applyAlignment="0" applyProtection="0">
      <alignment horizontal="right"/>
    </xf>
    <xf numFmtId="0" fontId="70" fillId="0" borderId="0" applyFont="0" applyFill="0" applyBorder="0" applyAlignment="0" applyProtection="0"/>
    <xf numFmtId="0" fontId="70" fillId="0" borderId="0" applyFont="0" applyFill="0" applyBorder="0" applyAlignment="0" applyProtection="0">
      <alignment horizontal="right"/>
    </xf>
    <xf numFmtId="0" fontId="70" fillId="0" borderId="0" applyFont="0" applyFill="0" applyBorder="0" applyAlignment="0" applyProtection="0"/>
    <xf numFmtId="167" fontId="33" fillId="0" borderId="0" applyFont="0" applyFill="0" applyBorder="0" applyAlignment="0" applyProtection="0"/>
    <xf numFmtId="3" fontId="71" fillId="0" borderId="0" applyFont="0" applyFill="0" applyBorder="0" applyAlignment="0" applyProtection="0"/>
    <xf numFmtId="180" fontId="72" fillId="26" borderId="3"/>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183" fontId="60" fillId="0" borderId="0" applyFont="0" applyFill="0" applyBorder="0" applyAlignment="0" applyProtection="0"/>
    <xf numFmtId="0" fontId="70" fillId="0" borderId="0" applyFont="0" applyFill="0" applyBorder="0" applyAlignment="0" applyProtection="0">
      <alignment horizontal="right"/>
    </xf>
    <xf numFmtId="0" fontId="70" fillId="0" borderId="0" applyFont="0" applyFill="0" applyBorder="0" applyAlignment="0" applyProtection="0">
      <alignment horizontal="right"/>
    </xf>
    <xf numFmtId="166" fontId="39" fillId="0" borderId="0" applyFont="0" applyFill="0" applyBorder="0" applyAlignment="0" applyProtection="0"/>
    <xf numFmtId="184" fontId="71" fillId="0" borderId="0" applyFont="0" applyFill="0" applyBorder="0" applyAlignment="0" applyProtection="0"/>
    <xf numFmtId="0" fontId="70" fillId="0" borderId="0" applyFill="0" applyBorder="0" applyProtection="0">
      <alignment vertical="center"/>
    </xf>
    <xf numFmtId="0" fontId="33" fillId="0" borderId="0"/>
    <xf numFmtId="0" fontId="71" fillId="0" borderId="0" applyFont="0" applyFill="0" applyBorder="0" applyAlignment="0" applyProtection="0"/>
    <xf numFmtId="0" fontId="70" fillId="0" borderId="0" applyFont="0" applyFill="0" applyBorder="0" applyAlignment="0" applyProtection="0"/>
    <xf numFmtId="14" fontId="73" fillId="0" borderId="0">
      <alignment vertical="top"/>
    </xf>
    <xf numFmtId="185" fontId="39" fillId="0" borderId="0" applyFont="0" applyFill="0" applyBorder="0" applyAlignment="0" applyProtection="0"/>
    <xf numFmtId="186" fontId="39" fillId="0" borderId="0" applyFont="0" applyFill="0" applyBorder="0" applyAlignment="0" applyProtection="0"/>
    <xf numFmtId="0" fontId="70" fillId="0" borderId="7" applyNumberFormat="0" applyFont="0" applyFill="0" applyAlignment="0" applyProtection="0"/>
    <xf numFmtId="0" fontId="74" fillId="0" borderId="0" applyNumberFormat="0" applyFill="0" applyBorder="0" applyAlignment="0" applyProtection="0"/>
    <xf numFmtId="38" fontId="75" fillId="0" borderId="0">
      <alignment vertical="top"/>
    </xf>
    <xf numFmtId="172" fontId="75" fillId="0" borderId="0">
      <alignment vertical="top"/>
    </xf>
    <xf numFmtId="38" fontId="75" fillId="0" borderId="0">
      <alignment vertical="top"/>
    </xf>
    <xf numFmtId="187" fontId="73" fillId="0" borderId="0" applyFont="0" applyFill="0" applyBorder="0" applyAlignment="0" applyProtection="0"/>
    <xf numFmtId="37" fontId="33" fillId="0" borderId="0"/>
    <xf numFmtId="0" fontId="33" fillId="0" borderId="0"/>
    <xf numFmtId="0" fontId="38" fillId="0" borderId="0"/>
    <xf numFmtId="0" fontId="33" fillId="0" borderId="0"/>
    <xf numFmtId="0" fontId="38" fillId="0" borderId="0"/>
    <xf numFmtId="0" fontId="33" fillId="0" borderId="0"/>
    <xf numFmtId="0" fontId="38" fillId="0" borderId="0"/>
    <xf numFmtId="0" fontId="76" fillId="0" borderId="0" applyNumberFormat="0" applyFill="0" applyBorder="0" applyAlignment="0" applyProtection="0"/>
    <xf numFmtId="188" fontId="77" fillId="0" borderId="0" applyFill="0" applyBorder="0" applyAlignment="0" applyProtection="0"/>
    <xf numFmtId="188" fontId="52" fillId="0" borderId="0" applyFill="0" applyBorder="0" applyAlignment="0" applyProtection="0"/>
    <xf numFmtId="188" fontId="78" fillId="0" borderId="0" applyFill="0" applyBorder="0" applyAlignment="0" applyProtection="0"/>
    <xf numFmtId="188" fontId="79" fillId="0" borderId="0" applyFill="0" applyBorder="0" applyAlignment="0" applyProtection="0"/>
    <xf numFmtId="188" fontId="80" fillId="0" borderId="0" applyFill="0" applyBorder="0" applyAlignment="0" applyProtection="0"/>
    <xf numFmtId="188" fontId="81" fillId="0" borderId="0" applyFill="0" applyBorder="0" applyAlignment="0" applyProtection="0"/>
    <xf numFmtId="188" fontId="82" fillId="0" borderId="0" applyFill="0" applyBorder="0" applyAlignment="0" applyProtection="0"/>
    <xf numFmtId="2" fontId="71" fillId="0" borderId="0" applyFont="0" applyFill="0" applyBorder="0" applyAlignment="0" applyProtection="0"/>
    <xf numFmtId="0" fontId="83" fillId="0" borderId="0">
      <alignment vertical="center"/>
    </xf>
    <xf numFmtId="0" fontId="84" fillId="0" borderId="0" applyNumberFormat="0" applyFill="0" applyBorder="0" applyAlignment="0" applyProtection="0">
      <alignment vertical="top"/>
      <protection locked="0"/>
    </xf>
    <xf numFmtId="0" fontId="85" fillId="0" borderId="0" applyFill="0" applyBorder="0" applyProtection="0">
      <alignment horizontal="left"/>
    </xf>
    <xf numFmtId="0" fontId="86" fillId="8" borderId="0" applyNumberFormat="0" applyBorder="0" applyAlignment="0" applyProtection="0"/>
    <xf numFmtId="170" fontId="87" fillId="3" borderId="6" applyNumberFormat="0" applyFont="0" applyBorder="0" applyAlignment="0" applyProtection="0"/>
    <xf numFmtId="0" fontId="70" fillId="0" borderId="0" applyFont="0" applyFill="0" applyBorder="0" applyAlignment="0" applyProtection="0">
      <alignment horizontal="right"/>
    </xf>
    <xf numFmtId="189" fontId="88" fillId="3" borderId="0" applyNumberFormat="0" applyFont="0" applyAlignment="0"/>
    <xf numFmtId="0" fontId="89" fillId="0" borderId="0" applyProtection="0">
      <alignment horizontal="right"/>
    </xf>
    <xf numFmtId="0" fontId="90" fillId="0" borderId="0">
      <alignment vertical="top"/>
    </xf>
    <xf numFmtId="0" fontId="91" fillId="0" borderId="8" applyNumberFormat="0" applyFill="0" applyAlignment="0" applyProtection="0"/>
    <xf numFmtId="0" fontId="92" fillId="0" borderId="9" applyNumberFormat="0" applyFill="0" applyAlignment="0" applyProtection="0"/>
    <xf numFmtId="0" fontId="93" fillId="0" borderId="10" applyNumberFormat="0" applyFill="0" applyAlignment="0" applyProtection="0"/>
    <xf numFmtId="0" fontId="93" fillId="0" borderId="0" applyNumberFormat="0" applyFill="0" applyBorder="0" applyAlignment="0" applyProtection="0"/>
    <xf numFmtId="2" fontId="94" fillId="27" borderId="0" applyAlignment="0">
      <alignment horizontal="right"/>
      <protection locked="0"/>
    </xf>
    <xf numFmtId="38" fontId="95" fillId="0" borderId="0">
      <alignment vertical="top"/>
    </xf>
    <xf numFmtId="172" fontId="95" fillId="0" borderId="0">
      <alignment vertical="top"/>
    </xf>
    <xf numFmtId="38" fontId="95" fillId="0" borderId="0">
      <alignment vertical="top"/>
    </xf>
    <xf numFmtId="0" fontId="96" fillId="0" borderId="0" applyNumberFormat="0" applyFill="0" applyBorder="0" applyAlignment="0" applyProtection="0">
      <alignment vertical="top"/>
      <protection locked="0"/>
    </xf>
    <xf numFmtId="180" fontId="97" fillId="0" borderId="0"/>
    <xf numFmtId="0" fontId="33" fillId="0" borderId="0"/>
    <xf numFmtId="0" fontId="98" fillId="0" borderId="0" applyNumberFormat="0" applyFill="0" applyBorder="0" applyAlignment="0" applyProtection="0">
      <alignment vertical="top"/>
      <protection locked="0"/>
    </xf>
    <xf numFmtId="190" fontId="99" fillId="0" borderId="6">
      <alignment horizontal="center" vertical="center" wrapText="1"/>
    </xf>
    <xf numFmtId="0" fontId="100" fillId="11" borderId="4" applyNumberFormat="0" applyAlignment="0" applyProtection="0"/>
    <xf numFmtId="0" fontId="101"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0" fontId="101" fillId="0" borderId="0" applyFill="0" applyBorder="0" applyProtection="0">
      <alignment vertical="center"/>
    </xf>
    <xf numFmtId="38" fontId="53" fillId="0" borderId="0">
      <alignment vertical="top"/>
    </xf>
    <xf numFmtId="38" fontId="53" fillId="2" borderId="0">
      <alignment vertical="top"/>
    </xf>
    <xf numFmtId="172" fontId="53" fillId="2" borderId="0">
      <alignment vertical="top"/>
    </xf>
    <xf numFmtId="38" fontId="53" fillId="2" borderId="0">
      <alignment vertical="top"/>
    </xf>
    <xf numFmtId="172" fontId="53" fillId="0" borderId="0">
      <alignment vertical="top"/>
    </xf>
    <xf numFmtId="191" fontId="53" fillId="3" borderId="0">
      <alignment vertical="top"/>
    </xf>
    <xf numFmtId="38" fontId="53" fillId="0" borderId="0">
      <alignment vertical="top"/>
    </xf>
    <xf numFmtId="0" fontId="102" fillId="0" borderId="11" applyNumberFormat="0" applyFill="0" applyAlignment="0" applyProtection="0"/>
    <xf numFmtId="192" fontId="103" fillId="0" borderId="0" applyFont="0" applyFill="0" applyBorder="0" applyAlignment="0" applyProtection="0"/>
    <xf numFmtId="193" fontId="103" fillId="0" borderId="0" applyFont="0" applyFill="0" applyBorder="0" applyAlignment="0" applyProtection="0"/>
    <xf numFmtId="192" fontId="103" fillId="0" borderId="0" applyFont="0" applyFill="0" applyBorder="0" applyAlignment="0" applyProtection="0"/>
    <xf numFmtId="193" fontId="103" fillId="0" borderId="0" applyFont="0" applyFill="0" applyBorder="0" applyAlignment="0" applyProtection="0"/>
    <xf numFmtId="194" fontId="104" fillId="0" borderId="6">
      <alignment horizontal="right"/>
      <protection locked="0"/>
    </xf>
    <xf numFmtId="195" fontId="103" fillId="0" borderId="0" applyFont="0" applyFill="0" applyBorder="0" applyAlignment="0" applyProtection="0"/>
    <xf numFmtId="196" fontId="103" fillId="0" borderId="0" applyFont="0" applyFill="0" applyBorder="0" applyAlignment="0" applyProtection="0"/>
    <xf numFmtId="195" fontId="103" fillId="0" borderId="0" applyFont="0" applyFill="0" applyBorder="0" applyAlignment="0" applyProtection="0"/>
    <xf numFmtId="196" fontId="103" fillId="0" borderId="0" applyFont="0" applyFill="0" applyBorder="0" applyAlignment="0" applyProtection="0"/>
    <xf numFmtId="0" fontId="70" fillId="0" borderId="0" applyFont="0" applyFill="0" applyBorder="0" applyAlignment="0" applyProtection="0">
      <alignment horizontal="right"/>
    </xf>
    <xf numFmtId="0" fontId="70" fillId="0" borderId="0" applyFill="0" applyBorder="0" applyProtection="0">
      <alignment vertical="center"/>
    </xf>
    <xf numFmtId="0" fontId="70" fillId="0" borderId="0" applyFont="0" applyFill="0" applyBorder="0" applyAlignment="0" applyProtection="0">
      <alignment horizontal="right"/>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3" fontId="39" fillId="0" borderId="12" applyFont="0" applyBorder="0">
      <alignment horizontal="center" vertical="center"/>
    </xf>
    <xf numFmtId="0" fontId="105" fillId="28" borderId="0" applyNumberFormat="0" applyBorder="0" applyAlignment="0" applyProtection="0"/>
    <xf numFmtId="0" fontId="60" fillId="0" borderId="13"/>
    <xf numFmtId="0" fontId="106" fillId="0" borderId="0" applyNumberFormat="0" applyFill="0" applyBorder="0" applyAlignment="0" applyProtection="0"/>
    <xf numFmtId="197" fontId="39" fillId="0" borderId="0"/>
    <xf numFmtId="0" fontId="106" fillId="0" borderId="0" applyNumberFormat="0" applyFill="0" applyBorder="0" applyAlignment="0" applyProtection="0"/>
    <xf numFmtId="0" fontId="39" fillId="0" borderId="0"/>
    <xf numFmtId="0" fontId="39" fillId="0" borderId="0"/>
    <xf numFmtId="0" fontId="39" fillId="0" borderId="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lignment horizontal="right"/>
    </xf>
    <xf numFmtId="0" fontId="39" fillId="0" borderId="0"/>
    <xf numFmtId="0" fontId="108" fillId="0" borderId="0"/>
    <xf numFmtId="0" fontId="70" fillId="0" borderId="0" applyFill="0" applyBorder="0" applyProtection="0">
      <alignment vertical="center"/>
    </xf>
    <xf numFmtId="0" fontId="109" fillId="0" borderId="0"/>
    <xf numFmtId="0" fontId="33" fillId="0" borderId="0"/>
    <xf numFmtId="0" fontId="51" fillId="0" borderId="0"/>
    <xf numFmtId="0" fontId="110" fillId="29" borderId="14" applyNumberFormat="0" applyFont="0" applyAlignment="0" applyProtection="0"/>
    <xf numFmtId="198" fontId="39" fillId="0" borderId="0" applyFont="0" applyAlignment="0">
      <alignment horizontal="center"/>
    </xf>
    <xf numFmtId="199" fontId="39" fillId="0" borderId="0" applyFont="0" applyFill="0" applyBorder="0" applyAlignment="0" applyProtection="0"/>
    <xf numFmtId="200" fontId="39" fillId="0" borderId="0" applyFont="0" applyFill="0" applyBorder="0" applyAlignment="0" applyProtection="0"/>
    <xf numFmtId="0" fontId="87" fillId="0" borderId="0"/>
    <xf numFmtId="201" fontId="87" fillId="0" borderId="0" applyFont="0" applyFill="0" applyBorder="0" applyAlignment="0" applyProtection="0"/>
    <xf numFmtId="202" fontId="87" fillId="0" borderId="0" applyFont="0" applyFill="0" applyBorder="0" applyAlignment="0" applyProtection="0"/>
    <xf numFmtId="0" fontId="111" fillId="24" borderId="15" applyNumberFormat="0" applyAlignment="0" applyProtection="0"/>
    <xf numFmtId="1" fontId="112" fillId="0" borderId="0" applyProtection="0">
      <alignment horizontal="right" vertical="center"/>
    </xf>
    <xf numFmtId="49" fontId="113" fillId="0" borderId="16" applyFill="0" applyProtection="0">
      <alignment vertical="center"/>
    </xf>
    <xf numFmtId="9" fontId="33" fillId="0" borderId="0" applyFont="0" applyFill="0" applyBorder="0" applyAlignment="0" applyProtection="0"/>
    <xf numFmtId="0" fontId="70" fillId="0" borderId="0" applyFill="0" applyBorder="0" applyProtection="0">
      <alignment vertical="center"/>
    </xf>
    <xf numFmtId="37" fontId="114" fillId="4" borderId="17"/>
    <xf numFmtId="37" fontId="114" fillId="4" borderId="17"/>
    <xf numFmtId="0" fontId="115" fillId="0" borderId="0" applyNumberFormat="0">
      <alignment horizontal="left"/>
    </xf>
    <xf numFmtId="203" fontId="116" fillId="0" borderId="18" applyBorder="0">
      <alignment horizontal="right"/>
      <protection locked="0"/>
    </xf>
    <xf numFmtId="49" fontId="117" fillId="0" borderId="6" applyNumberFormat="0">
      <alignment horizontal="left" vertical="center"/>
    </xf>
    <xf numFmtId="0" fontId="118" fillId="0" borderId="19">
      <alignment vertical="center"/>
    </xf>
    <xf numFmtId="0" fontId="118" fillId="0" borderId="19">
      <alignment vertical="center"/>
    </xf>
    <xf numFmtId="4" fontId="119" fillId="4" borderId="15" applyNumberFormat="0" applyProtection="0">
      <alignment vertical="center"/>
    </xf>
    <xf numFmtId="4" fontId="120" fillId="4" borderId="15" applyNumberFormat="0" applyProtection="0">
      <alignment vertical="center"/>
    </xf>
    <xf numFmtId="4" fontId="119" fillId="4" borderId="15" applyNumberFormat="0" applyProtection="0">
      <alignment horizontal="left" vertical="center" indent="1"/>
    </xf>
    <xf numFmtId="4" fontId="119" fillId="4" borderId="15" applyNumberFormat="0" applyProtection="0">
      <alignment horizontal="left" vertical="center" indent="1"/>
    </xf>
    <xf numFmtId="0" fontId="33" fillId="30" borderId="15" applyNumberFormat="0" applyProtection="0">
      <alignment horizontal="left" vertical="center" indent="1"/>
    </xf>
    <xf numFmtId="4" fontId="119" fillId="31" borderId="15" applyNumberFormat="0" applyProtection="0">
      <alignment horizontal="right" vertical="center"/>
    </xf>
    <xf numFmtId="4" fontId="119" fillId="32" borderId="15" applyNumberFormat="0" applyProtection="0">
      <alignment horizontal="right" vertical="center"/>
    </xf>
    <xf numFmtId="4" fontId="119" fillId="33" borderId="15" applyNumberFormat="0" applyProtection="0">
      <alignment horizontal="right" vertical="center"/>
    </xf>
    <xf numFmtId="4" fontId="119" fillId="34" borderId="15" applyNumberFormat="0" applyProtection="0">
      <alignment horizontal="right" vertical="center"/>
    </xf>
    <xf numFmtId="4" fontId="119" fillId="35" borderId="15" applyNumberFormat="0" applyProtection="0">
      <alignment horizontal="right" vertical="center"/>
    </xf>
    <xf numFmtId="4" fontId="119" fillId="36" borderId="15" applyNumberFormat="0" applyProtection="0">
      <alignment horizontal="right" vertical="center"/>
    </xf>
    <xf numFmtId="4" fontId="119" fillId="37" borderId="15" applyNumberFormat="0" applyProtection="0">
      <alignment horizontal="right" vertical="center"/>
    </xf>
    <xf numFmtId="4" fontId="119" fillId="38" borderId="15" applyNumberFormat="0" applyProtection="0">
      <alignment horizontal="right" vertical="center"/>
    </xf>
    <xf numFmtId="4" fontId="119" fillId="39" borderId="15" applyNumberFormat="0" applyProtection="0">
      <alignment horizontal="right" vertical="center"/>
    </xf>
    <xf numFmtId="4" fontId="121" fillId="40" borderId="15" applyNumberFormat="0" applyProtection="0">
      <alignment horizontal="left" vertical="center" indent="1"/>
    </xf>
    <xf numFmtId="4" fontId="119" fillId="41" borderId="20" applyNumberFormat="0" applyProtection="0">
      <alignment horizontal="left" vertical="center" indent="1"/>
    </xf>
    <xf numFmtId="4" fontId="122" fillId="42" borderId="0" applyNumberFormat="0" applyProtection="0">
      <alignment horizontal="left" vertical="center" indent="1"/>
    </xf>
    <xf numFmtId="0" fontId="33" fillId="30" borderId="15" applyNumberFormat="0" applyProtection="0">
      <alignment horizontal="left" vertical="center" indent="1"/>
    </xf>
    <xf numFmtId="4" fontId="123" fillId="41" borderId="15" applyNumberFormat="0" applyProtection="0">
      <alignment horizontal="left" vertical="center" indent="1"/>
    </xf>
    <xf numFmtId="4" fontId="123" fillId="43" borderId="15" applyNumberFormat="0" applyProtection="0">
      <alignment horizontal="left" vertical="center" indent="1"/>
    </xf>
    <xf numFmtId="0" fontId="33" fillId="43" borderId="15" applyNumberFormat="0" applyProtection="0">
      <alignment horizontal="left" vertical="center" indent="1"/>
    </xf>
    <xf numFmtId="0" fontId="33" fillId="43" borderId="15" applyNumberFormat="0" applyProtection="0">
      <alignment horizontal="left" vertical="center" indent="1"/>
    </xf>
    <xf numFmtId="0" fontId="33" fillId="44" borderId="15" applyNumberFormat="0" applyProtection="0">
      <alignment horizontal="left" vertical="center" indent="1"/>
    </xf>
    <xf numFmtId="0" fontId="33" fillId="44" borderId="15" applyNumberFormat="0" applyProtection="0">
      <alignment horizontal="left" vertical="center" indent="1"/>
    </xf>
    <xf numFmtId="0" fontId="33" fillId="2" borderId="15" applyNumberFormat="0" applyProtection="0">
      <alignment horizontal="left" vertical="center" indent="1"/>
    </xf>
    <xf numFmtId="0" fontId="33" fillId="2" borderId="15" applyNumberFormat="0" applyProtection="0">
      <alignment horizontal="left" vertical="center" indent="1"/>
    </xf>
    <xf numFmtId="0" fontId="33" fillId="30" borderId="15" applyNumberFormat="0" applyProtection="0">
      <alignment horizontal="left" vertical="center" indent="1"/>
    </xf>
    <xf numFmtId="0" fontId="33" fillId="30" borderId="15" applyNumberFormat="0" applyProtection="0">
      <alignment horizontal="left" vertical="center" indent="1"/>
    </xf>
    <xf numFmtId="0" fontId="39" fillId="0" borderId="0"/>
    <xf numFmtId="4" fontId="119" fillId="45" borderId="15" applyNumberFormat="0" applyProtection="0">
      <alignment vertical="center"/>
    </xf>
    <xf numFmtId="4" fontId="120" fillId="45" borderId="15" applyNumberFormat="0" applyProtection="0">
      <alignment vertical="center"/>
    </xf>
    <xf numFmtId="4" fontId="119" fillId="45" borderId="15" applyNumberFormat="0" applyProtection="0">
      <alignment horizontal="left" vertical="center" indent="1"/>
    </xf>
    <xf numFmtId="4" fontId="119" fillId="45" borderId="15" applyNumberFormat="0" applyProtection="0">
      <alignment horizontal="left" vertical="center" indent="1"/>
    </xf>
    <xf numFmtId="4" fontId="119" fillId="41" borderId="15" applyNumberFormat="0" applyProtection="0">
      <alignment horizontal="right" vertical="center"/>
    </xf>
    <xf numFmtId="4" fontId="120" fillId="41" borderId="15" applyNumberFormat="0" applyProtection="0">
      <alignment horizontal="right" vertical="center"/>
    </xf>
    <xf numFmtId="0" fontId="33" fillId="30" borderId="15" applyNumberFormat="0" applyProtection="0">
      <alignment horizontal="left" vertical="center" indent="1"/>
    </xf>
    <xf numFmtId="0" fontId="33" fillId="30" borderId="15" applyNumberFormat="0" applyProtection="0">
      <alignment horizontal="left" vertical="center" indent="1"/>
    </xf>
    <xf numFmtId="0" fontId="124" fillId="0" borderId="0"/>
    <xf numFmtId="4" fontId="125" fillId="41" borderId="15" applyNumberFormat="0" applyProtection="0">
      <alignment horizontal="right" vertical="center"/>
    </xf>
    <xf numFmtId="0" fontId="126" fillId="0" borderId="0">
      <alignment horizontal="left" vertical="center" wrapText="1"/>
    </xf>
    <xf numFmtId="0" fontId="33" fillId="0" borderId="0"/>
    <xf numFmtId="0" fontId="51" fillId="0" borderId="0"/>
    <xf numFmtId="0" fontId="127" fillId="0" borderId="0" applyBorder="0" applyProtection="0">
      <alignment vertical="center"/>
    </xf>
    <xf numFmtId="0" fontId="127" fillId="0" borderId="16" applyBorder="0" applyProtection="0">
      <alignment horizontal="right" vertical="center"/>
    </xf>
    <xf numFmtId="0" fontId="128" fillId="46" borderId="0" applyBorder="0" applyProtection="0">
      <alignment horizontal="centerContinuous" vertical="center"/>
    </xf>
    <xf numFmtId="0" fontId="128" fillId="47" borderId="16" applyBorder="0" applyProtection="0">
      <alignment horizontal="centerContinuous" vertical="center"/>
    </xf>
    <xf numFmtId="0" fontId="129" fillId="0" borderId="0"/>
    <xf numFmtId="38" fontId="130" fillId="48" borderId="0">
      <alignment horizontal="right" vertical="top"/>
    </xf>
    <xf numFmtId="172" fontId="130" fillId="48" borderId="0">
      <alignment horizontal="right" vertical="top"/>
    </xf>
    <xf numFmtId="38" fontId="130" fillId="48" borderId="0">
      <alignment horizontal="right" vertical="top"/>
    </xf>
    <xf numFmtId="0" fontId="109" fillId="0" borderId="0"/>
    <xf numFmtId="0" fontId="131" fillId="0" borderId="0" applyFill="0" applyBorder="0" applyProtection="0">
      <alignment horizontal="left"/>
    </xf>
    <xf numFmtId="0" fontId="85" fillId="0" borderId="21" applyFill="0" applyBorder="0" applyProtection="0">
      <alignment horizontal="left" vertical="top"/>
    </xf>
    <xf numFmtId="0" fontId="132" fillId="0" borderId="0">
      <alignment horizontal="centerContinuous"/>
    </xf>
    <xf numFmtId="0" fontId="133" fillId="0" borderId="21" applyFill="0" applyBorder="0" applyProtection="0"/>
    <xf numFmtId="0" fontId="133" fillId="0" borderId="0"/>
    <xf numFmtId="0" fontId="134" fillId="0" borderId="0" applyFill="0" applyBorder="0" applyProtection="0"/>
    <xf numFmtId="0" fontId="135" fillId="0" borderId="0"/>
    <xf numFmtId="0" fontId="136" fillId="0" borderId="0" applyNumberFormat="0" applyFill="0" applyBorder="0" applyAlignment="0" applyProtection="0"/>
    <xf numFmtId="0" fontId="137" fillId="0" borderId="22" applyNumberFormat="0" applyFill="0" applyAlignment="0" applyProtection="0"/>
    <xf numFmtId="0" fontId="138" fillId="0" borderId="7" applyFill="0" applyBorder="0" applyProtection="0">
      <alignment vertical="center"/>
    </xf>
    <xf numFmtId="0" fontId="139" fillId="0" borderId="0">
      <alignment horizontal="fill"/>
    </xf>
    <xf numFmtId="0" fontId="87" fillId="0" borderId="0"/>
    <xf numFmtId="0" fontId="140" fillId="0" borderId="0" applyNumberFormat="0" applyFill="0" applyBorder="0" applyAlignment="0" applyProtection="0"/>
    <xf numFmtId="0" fontId="141" fillId="0" borderId="16" applyBorder="0" applyProtection="0">
      <alignment horizontal="right"/>
    </xf>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180" fontId="38" fillId="0" borderId="3">
      <protection locked="0"/>
    </xf>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0" fontId="100" fillId="11" borderId="4" applyNumberFormat="0" applyAlignment="0" applyProtection="0"/>
    <xf numFmtId="3" fontId="142" fillId="0" borderId="0">
      <alignment horizontal="center" vertical="center" textRotation="90" wrapText="1"/>
    </xf>
    <xf numFmtId="204" fontId="38" fillId="0" borderId="6">
      <alignment vertical="top" wrapText="1"/>
    </xf>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111" fillId="24" borderId="15"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67" fillId="24" borderId="4" applyNumberFormat="0" applyAlignment="0" applyProtection="0"/>
    <xf numFmtId="0" fontId="143"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205" fontId="145" fillId="0" borderId="6">
      <alignment vertical="top" wrapText="1"/>
    </xf>
    <xf numFmtId="4" fontId="49" fillId="0" borderId="6">
      <alignment horizontal="left" vertical="center"/>
    </xf>
    <xf numFmtId="4" fontId="49" fillId="0" borderId="6"/>
    <xf numFmtId="4" fontId="49" fillId="49" borderId="6"/>
    <xf numFmtId="4" fontId="49" fillId="50" borderId="6"/>
    <xf numFmtId="4" fontId="146" fillId="51" borderId="6"/>
    <xf numFmtId="4" fontId="147" fillId="2" borderId="6"/>
    <xf numFmtId="4" fontId="148" fillId="0" borderId="6">
      <alignment horizontal="center" wrapText="1"/>
    </xf>
    <xf numFmtId="205" fontId="49" fillId="0" borderId="6"/>
    <xf numFmtId="205" fontId="145" fillId="0" borderId="6">
      <alignment horizontal="center" vertical="center" wrapText="1"/>
    </xf>
    <xf numFmtId="205" fontId="145" fillId="0" borderId="6">
      <alignment vertical="top"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06" fontId="61" fillId="0" borderId="0" applyFont="0" applyFill="0" applyBorder="0" applyAlignment="0" applyProtection="0"/>
    <xf numFmtId="206" fontId="61" fillId="0" borderId="0" applyFont="0" applyFill="0" applyBorder="0" applyAlignment="0" applyProtection="0"/>
    <xf numFmtId="166" fontId="61" fillId="0" borderId="0" applyFont="0" applyFill="0" applyBorder="0" applyAlignment="0" applyProtection="0"/>
    <xf numFmtId="166" fontId="30" fillId="0" borderId="0" applyFont="0" applyFill="0" applyBorder="0" applyAlignment="0" applyProtection="0"/>
    <xf numFmtId="0" fontId="149" fillId="0" borderId="0" applyBorder="0">
      <alignment horizontal="center" vertical="center" wrapText="1"/>
    </xf>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1" fillId="0" borderId="8"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2" fillId="0" borderId="9"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10"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23" applyBorder="0">
      <alignment horizontal="center" vertical="center" wrapText="1"/>
    </xf>
    <xf numFmtId="0" fontId="152" fillId="0" borderId="23" applyBorder="0">
      <alignment horizontal="center" vertical="center" wrapText="1"/>
    </xf>
    <xf numFmtId="0" fontId="152" fillId="0" borderId="23" applyBorder="0">
      <alignment horizontal="center" vertical="center" wrapText="1"/>
    </xf>
    <xf numFmtId="180" fontId="72" fillId="26" borderId="3"/>
    <xf numFmtId="4" fontId="110" fillId="4" borderId="6" applyBorder="0">
      <alignment horizontal="right"/>
    </xf>
    <xf numFmtId="49" fontId="153" fillId="0" borderId="0" applyBorder="0">
      <alignment vertical="center"/>
    </xf>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0" fontId="137" fillId="0" borderId="22" applyNumberFormat="0" applyFill="0" applyAlignment="0" applyProtection="0"/>
    <xf numFmtId="3" fontId="72" fillId="0" borderId="6" applyBorder="0">
      <alignment vertical="center"/>
    </xf>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106" fillId="0" borderId="2" applyNumberFormat="0" applyFill="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68" fillId="25" borderId="5" applyNumberFormat="0" applyAlignment="0" applyProtection="0"/>
    <xf numFmtId="0" fontId="39" fillId="0" borderId="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06" fillId="3" borderId="0" applyFill="0">
      <alignment wrapText="1"/>
    </xf>
    <xf numFmtId="0" fontId="151" fillId="0" borderId="0">
      <alignment horizontal="center" vertical="top" wrapText="1"/>
    </xf>
    <xf numFmtId="0" fontId="154" fillId="0" borderId="0">
      <alignment horizontal="centerContinuous" vertical="center" wrapText="1"/>
    </xf>
    <xf numFmtId="207" fontId="155" fillId="3" borderId="6">
      <alignment wrapText="1"/>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164" fontId="156" fillId="0" borderId="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0" fontId="105" fillId="28" borderId="0" applyNumberFormat="0" applyBorder="0" applyAlignment="0" applyProtection="0"/>
    <xf numFmtId="49" fontId="142" fillId="0" borderId="6">
      <alignment horizontal="right" vertical="top" wrapText="1"/>
    </xf>
    <xf numFmtId="188" fontId="44" fillId="0" borderId="0">
      <alignment horizontal="right" vertical="top" wrapText="1"/>
    </xf>
    <xf numFmtId="49" fontId="110" fillId="0" borderId="0" applyBorder="0">
      <alignment vertical="top"/>
    </xf>
    <xf numFmtId="0" fontId="191" fillId="0" borderId="0"/>
    <xf numFmtId="0" fontId="157" fillId="0" borderId="0"/>
    <xf numFmtId="0" fontId="33" fillId="0" borderId="0"/>
    <xf numFmtId="0" fontId="61" fillId="0" borderId="0"/>
    <xf numFmtId="0" fontId="30"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39" fillId="0" borderId="0"/>
    <xf numFmtId="0" fontId="191" fillId="0" borderId="0"/>
    <xf numFmtId="0" fontId="33" fillId="0" borderId="0"/>
    <xf numFmtId="0" fontId="61" fillId="0" borderId="0"/>
    <xf numFmtId="0" fontId="61" fillId="0" borderId="0"/>
    <xf numFmtId="0" fontId="61" fillId="0" borderId="0"/>
    <xf numFmtId="0" fontId="61" fillId="0" borderId="0"/>
    <xf numFmtId="0" fontId="3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91" fillId="0" borderId="0"/>
    <xf numFmtId="0" fontId="61" fillId="0" borderId="0"/>
    <xf numFmtId="0" fontId="39" fillId="0" borderId="0"/>
    <xf numFmtId="0" fontId="39" fillId="0" borderId="0"/>
    <xf numFmtId="0" fontId="33" fillId="0" borderId="0"/>
    <xf numFmtId="0" fontId="39" fillId="0" borderId="0"/>
    <xf numFmtId="0" fontId="39" fillId="0" borderId="0"/>
    <xf numFmtId="0" fontId="39" fillId="0" borderId="0"/>
    <xf numFmtId="0" fontId="33" fillId="0" borderId="0"/>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9" fontId="110" fillId="0" borderId="0" applyBorder="0">
      <alignment vertical="top"/>
    </xf>
    <xf numFmtId="49" fontId="110" fillId="0" borderId="0" applyBorder="0">
      <alignment vertical="top"/>
    </xf>
    <xf numFmtId="0" fontId="191" fillId="0" borderId="0"/>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49" fontId="110" fillId="0" borderId="0" applyBorder="0">
      <alignment vertical="top"/>
    </xf>
    <xf numFmtId="0" fontId="39" fillId="0" borderId="0"/>
    <xf numFmtId="49" fontId="110" fillId="0" borderId="0" applyBorder="0">
      <alignment vertical="top"/>
    </xf>
    <xf numFmtId="0" fontId="39" fillId="0" borderId="0"/>
    <xf numFmtId="0" fontId="39" fillId="0" borderId="0"/>
    <xf numFmtId="49" fontId="110" fillId="0" borderId="0" applyBorder="0">
      <alignment vertical="top"/>
    </xf>
    <xf numFmtId="49" fontId="110" fillId="0" borderId="0" applyBorder="0">
      <alignment vertical="top"/>
    </xf>
    <xf numFmtId="0" fontId="33" fillId="0" borderId="0"/>
    <xf numFmtId="49" fontId="110" fillId="0" borderId="0" applyBorder="0">
      <alignment vertical="top"/>
    </xf>
    <xf numFmtId="0" fontId="191" fillId="0" borderId="0"/>
    <xf numFmtId="0" fontId="33" fillId="0" borderId="0"/>
    <xf numFmtId="49" fontId="110" fillId="0" borderId="0" applyBorder="0">
      <alignment vertical="top"/>
    </xf>
    <xf numFmtId="0" fontId="39" fillId="0" borderId="0"/>
    <xf numFmtId="1" fontId="158" fillId="0" borderId="6">
      <alignment horizontal="left" vertical="center"/>
    </xf>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39" fillId="0" borderId="0" applyFont="0" applyFill="0" applyBorder="0" applyProtection="0">
      <alignment horizontal="center" vertical="center" wrapText="1"/>
    </xf>
    <xf numFmtId="0" fontId="39" fillId="0" borderId="0" applyNumberFormat="0" applyFont="0" applyFill="0" applyBorder="0" applyProtection="0">
      <alignment horizontal="justify" vertical="center" wrapText="1"/>
    </xf>
    <xf numFmtId="205" fontId="159" fillId="0" borderId="6">
      <alignment vertical="top"/>
    </xf>
    <xf numFmtId="188" fontId="160" fillId="4" borderId="17" applyNumberFormat="0" applyBorder="0" applyAlignment="0">
      <alignment vertical="center"/>
      <protection locked="0"/>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9"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0" fontId="33" fillId="29" borderId="14" applyNumberFormat="0" applyFont="0" applyAlignment="0" applyProtection="0"/>
    <xf numFmtId="49" fontId="146" fillId="0" borderId="1">
      <alignment horizontal="left" vertical="center"/>
    </xf>
    <xf numFmtId="9" fontId="4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61" fillId="0" borderId="0" applyFont="0" applyFill="0" applyBorder="0" applyAlignment="0" applyProtection="0"/>
    <xf numFmtId="9" fontId="33" fillId="0" borderId="0" applyFont="0" applyFill="0" applyBorder="0" applyAlignment="0" applyProtection="0"/>
    <xf numFmtId="9" fontId="46" fillId="0" borderId="0" applyFont="0" applyFill="0" applyBorder="0" applyAlignment="0" applyProtection="0"/>
    <xf numFmtId="9" fontId="39" fillId="0" borderId="0" applyFont="0" applyFill="0" applyBorder="0" applyAlignment="0" applyProtection="0"/>
    <xf numFmtId="208" fontId="161" fillId="0" borderId="6"/>
    <xf numFmtId="0" fontId="39" fillId="0" borderId="6" applyNumberFormat="0" applyFont="0" applyFill="0" applyAlignment="0" applyProtection="0"/>
    <xf numFmtId="3" fontId="162" fillId="52" borderId="1">
      <alignment horizontal="justify" vertical="center"/>
    </xf>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102" fillId="0" borderId="11" applyNumberFormat="0" applyFill="0" applyAlignment="0" applyProtection="0"/>
    <xf numFmtId="0" fontId="51" fillId="0" borderId="0"/>
    <xf numFmtId="38" fontId="52" fillId="0" borderId="0">
      <alignment vertical="top"/>
    </xf>
    <xf numFmtId="172" fontId="52" fillId="0" borderId="0">
      <alignment vertical="top"/>
    </xf>
    <xf numFmtId="38" fontId="52" fillId="0" borderId="0">
      <alignment vertical="top"/>
    </xf>
    <xf numFmtId="0" fontId="39" fillId="0" borderId="0">
      <alignment vertical="justify"/>
    </xf>
    <xf numFmtId="49" fontId="44" fillId="0" borderId="0"/>
    <xf numFmtId="49" fontId="163" fillId="0" borderId="0">
      <alignment vertical="top"/>
    </xf>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188" fontId="106" fillId="0" borderId="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49" fontId="106" fillId="0" borderId="0">
      <alignment horizontal="center"/>
    </xf>
    <xf numFmtId="209" fontId="39" fillId="0" borderId="0" applyFont="0" applyFill="0" applyBorder="0" applyAlignment="0" applyProtection="0"/>
    <xf numFmtId="210" fontId="39" fillId="0" borderId="0" applyFont="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2" fontId="106" fillId="0" borderId="0" applyFill="0" applyBorder="0" applyAlignment="0" applyProtection="0"/>
    <xf numFmtId="167" fontId="46" fillId="0" borderId="0" applyFont="0" applyFill="0" applyBorder="0" applyAlignment="0" applyProtection="0"/>
    <xf numFmtId="208" fontId="46"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167"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167" fontId="33"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11" fontId="61" fillId="0" borderId="0" applyFont="0" applyFill="0" applyBorder="0" applyAlignment="0" applyProtection="0"/>
    <xf numFmtId="208" fontId="46"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0" fontId="33" fillId="0" borderId="0" applyFont="0" applyFill="0" applyBorder="0" applyAlignment="0" applyProtection="0"/>
    <xf numFmtId="210" fontId="33"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167" fontId="39" fillId="0" borderId="0" applyFont="0" applyFill="0" applyBorder="0" applyAlignment="0" applyProtection="0"/>
    <xf numFmtId="208" fontId="46"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167"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11" fontId="39" fillId="0" borderId="0" applyFont="0" applyFill="0" applyBorder="0" applyAlignment="0" applyProtection="0"/>
    <xf numFmtId="208" fontId="46"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39" fillId="0" borderId="0" applyFont="0" applyFill="0" applyBorder="0" applyAlignment="0" applyProtection="0"/>
    <xf numFmtId="212" fontId="39" fillId="0" borderId="0" applyFont="0" applyFill="0" applyBorder="0" applyAlignment="0" applyProtection="0"/>
    <xf numFmtId="4" fontId="110" fillId="3" borderId="0" applyBorder="0">
      <alignment horizontal="right"/>
    </xf>
    <xf numFmtId="4" fontId="110" fillId="3" borderId="0" applyBorder="0">
      <alignment horizontal="right"/>
    </xf>
    <xf numFmtId="4" fontId="110" fillId="3" borderId="0" applyBorder="0">
      <alignment horizontal="right"/>
    </xf>
    <xf numFmtId="4" fontId="110" fillId="53" borderId="24" applyBorder="0">
      <alignment horizontal="right"/>
    </xf>
    <xf numFmtId="4" fontId="110" fillId="53" borderId="24" applyBorder="0">
      <alignment horizontal="right"/>
    </xf>
    <xf numFmtId="4" fontId="110" fillId="53" borderId="24" applyBorder="0">
      <alignment horizontal="right"/>
    </xf>
    <xf numFmtId="4" fontId="110" fillId="3" borderId="6" applyFont="0" applyBorder="0">
      <alignment horizontal="right"/>
    </xf>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0" fontId="86" fillId="8" borderId="0" applyNumberFormat="0" applyBorder="0" applyAlignment="0" applyProtection="0"/>
    <xf numFmtId="213" fontId="38" fillId="0" borderId="1">
      <alignment vertical="top" wrapText="1"/>
    </xf>
    <xf numFmtId="214" fontId="39" fillId="0" borderId="6" applyFont="0" applyFill="0" applyBorder="0" applyProtection="0">
      <alignment horizontal="center" vertical="center"/>
    </xf>
    <xf numFmtId="3" fontId="39" fillId="0" borderId="0" applyFont="0" applyBorder="0">
      <alignment horizontal="center"/>
    </xf>
    <xf numFmtId="215" fontId="58" fillId="0" borderId="0">
      <protection locked="0"/>
    </xf>
    <xf numFmtId="49" fontId="145" fillId="0" borderId="6">
      <alignment horizontal="center" vertical="center" wrapText="1"/>
    </xf>
    <xf numFmtId="0" fontId="38" fillId="0" borderId="6" applyBorder="0">
      <alignment horizontal="center" vertical="center" wrapText="1"/>
    </xf>
    <xf numFmtId="49" fontId="126" fillId="0" borderId="6" applyNumberFormat="0" applyFill="0" applyAlignment="0" applyProtection="0"/>
    <xf numFmtId="0" fontId="164" fillId="0" borderId="0"/>
    <xf numFmtId="0" fontId="39" fillId="0" borderId="0"/>
    <xf numFmtId="207" fontId="39" fillId="0" borderId="0"/>
    <xf numFmtId="0" fontId="39" fillId="0" borderId="0"/>
    <xf numFmtId="0" fontId="33" fillId="0" borderId="0"/>
  </cellStyleXfs>
  <cellXfs count="1962">
    <xf numFmtId="0" fontId="0" fillId="0" borderId="0" xfId="0"/>
    <xf numFmtId="0" fontId="5" fillId="0" borderId="0" xfId="0" applyFont="1"/>
    <xf numFmtId="0" fontId="6" fillId="0" borderId="0" xfId="0" applyFont="1"/>
    <xf numFmtId="0" fontId="6" fillId="0" borderId="0" xfId="0" applyFont="1" applyAlignment="1">
      <alignment wrapText="1"/>
    </xf>
    <xf numFmtId="49" fontId="0" fillId="0" borderId="0" xfId="0" applyNumberFormat="1"/>
    <xf numFmtId="0" fontId="9" fillId="0" borderId="0" xfId="0" applyFont="1"/>
    <xf numFmtId="0" fontId="9" fillId="0" borderId="0" xfId="0" applyFont="1" applyAlignment="1">
      <alignment horizontal="center" vertical="center"/>
    </xf>
    <xf numFmtId="0" fontId="10" fillId="0" borderId="0" xfId="0" applyFont="1"/>
    <xf numFmtId="0" fontId="11" fillId="0" borderId="0" xfId="0" applyFont="1"/>
    <xf numFmtId="0" fontId="0" fillId="0" borderId="6" xfId="0" applyBorder="1"/>
    <xf numFmtId="4" fontId="7" fillId="0" borderId="6"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wrapText="1"/>
    </xf>
    <xf numFmtId="0" fontId="5" fillId="0" borderId="0" xfId="0" applyFont="1" applyAlignment="1">
      <alignment horizontal="center" wrapText="1"/>
    </xf>
    <xf numFmtId="49" fontId="9" fillId="0" borderId="0" xfId="0" applyNumberFormat="1" applyFont="1" applyAlignment="1">
      <alignment horizontal="left" wrapText="1"/>
    </xf>
    <xf numFmtId="0" fontId="15" fillId="0" borderId="6" xfId="0" applyFont="1" applyBorder="1" applyAlignment="1">
      <alignment horizontal="center" vertical="center" wrapText="1"/>
    </xf>
    <xf numFmtId="0" fontId="0" fillId="0" borderId="0" xfId="0" applyAlignment="1">
      <alignment vertical="center"/>
    </xf>
    <xf numFmtId="0" fontId="9" fillId="0" borderId="0" xfId="0" applyFont="1" applyAlignment="1">
      <alignment horizontal="left"/>
    </xf>
    <xf numFmtId="0" fontId="6" fillId="0" borderId="25" xfId="0" applyFont="1" applyBorder="1"/>
    <xf numFmtId="0" fontId="26" fillId="0" borderId="0" xfId="0" applyFont="1" applyAlignment="1">
      <alignment wrapText="1"/>
    </xf>
    <xf numFmtId="0" fontId="27" fillId="0" borderId="0" xfId="0" applyFont="1" applyAlignment="1">
      <alignment wrapText="1"/>
    </xf>
    <xf numFmtId="0" fontId="26" fillId="0" borderId="0" xfId="0" applyFont="1" applyAlignment="1">
      <alignment horizontal="center" wrapText="1"/>
    </xf>
    <xf numFmtId="4" fontId="11" fillId="0" borderId="0" xfId="0" applyNumberFormat="1" applyFont="1"/>
    <xf numFmtId="4" fontId="12" fillId="0" borderId="0" xfId="0" applyNumberFormat="1" applyFont="1"/>
    <xf numFmtId="0" fontId="29" fillId="0" borderId="0" xfId="0" applyFont="1" applyBorder="1" applyAlignment="1">
      <alignment horizontal="center"/>
    </xf>
    <xf numFmtId="4" fontId="29" fillId="0" borderId="0" xfId="0" applyNumberFormat="1" applyFont="1" applyBorder="1" applyAlignment="1">
      <alignment horizontal="center"/>
    </xf>
    <xf numFmtId="0" fontId="29" fillId="54" borderId="0" xfId="0" applyFont="1" applyFill="1" applyBorder="1" applyAlignment="1">
      <alignment horizontal="center"/>
    </xf>
    <xf numFmtId="0" fontId="30" fillId="54" borderId="26" xfId="0" applyFont="1" applyFill="1" applyBorder="1" applyAlignment="1">
      <alignment horizontal="center" vertical="center" textRotation="90" wrapText="1"/>
    </xf>
    <xf numFmtId="49" fontId="29" fillId="54" borderId="6" xfId="0" applyNumberFormat="1" applyFont="1" applyFill="1" applyBorder="1" applyAlignment="1">
      <alignment horizontal="center" vertical="center" wrapText="1"/>
    </xf>
    <xf numFmtId="0" fontId="29" fillId="54" borderId="6" xfId="0" applyFont="1" applyFill="1" applyBorder="1" applyAlignment="1">
      <alignment horizontal="center" vertical="center" wrapText="1"/>
    </xf>
    <xf numFmtId="0" fontId="29" fillId="54" borderId="6" xfId="0" applyFont="1" applyFill="1" applyBorder="1" applyAlignment="1">
      <alignment horizontal="center" vertical="center"/>
    </xf>
    <xf numFmtId="0" fontId="31" fillId="0" borderId="0" xfId="0" applyFont="1"/>
    <xf numFmtId="0" fontId="32" fillId="54" borderId="26" xfId="0" applyFont="1" applyFill="1" applyBorder="1" applyAlignment="1">
      <alignment horizontal="center" vertical="center" textRotation="90" wrapText="1"/>
    </xf>
    <xf numFmtId="0" fontId="30" fillId="54" borderId="6" xfId="0" applyFont="1" applyFill="1" applyBorder="1" applyAlignment="1">
      <alignment horizontal="center" vertical="center" wrapText="1"/>
    </xf>
    <xf numFmtId="0" fontId="30" fillId="54" borderId="6" xfId="0" applyFont="1" applyFill="1" applyBorder="1" applyAlignment="1">
      <alignment horizontal="center" vertical="center"/>
    </xf>
    <xf numFmtId="0" fontId="37" fillId="54" borderId="0" xfId="0" applyFont="1" applyFill="1" applyBorder="1" applyAlignment="1">
      <alignment horizontal="left" vertical="center" wrapText="1"/>
    </xf>
    <xf numFmtId="0" fontId="37" fillId="55" borderId="0" xfId="0" applyFont="1" applyFill="1" applyBorder="1" applyAlignment="1">
      <alignment horizontal="right" vertical="center" wrapText="1"/>
    </xf>
    <xf numFmtId="0" fontId="37" fillId="55" borderId="17" xfId="0" applyFont="1" applyFill="1" applyBorder="1" applyAlignment="1">
      <alignment vertical="center" wrapText="1"/>
    </xf>
    <xf numFmtId="49" fontId="35" fillId="56" borderId="6" xfId="930" applyNumberFormat="1" applyFont="1" applyFill="1" applyBorder="1" applyAlignment="1">
      <alignment horizontal="center" vertical="center"/>
    </xf>
    <xf numFmtId="49" fontId="34" fillId="56" borderId="6" xfId="932" applyNumberFormat="1" applyFont="1" applyFill="1" applyBorder="1" applyAlignment="1">
      <alignment horizontal="center" vertical="center"/>
    </xf>
    <xf numFmtId="4" fontId="36" fillId="54" borderId="27" xfId="930" applyNumberFormat="1" applyFont="1" applyFill="1" applyBorder="1" applyAlignment="1">
      <alignment horizontal="center" vertical="center"/>
    </xf>
    <xf numFmtId="4" fontId="37" fillId="54" borderId="28" xfId="930" applyNumberFormat="1" applyFont="1" applyFill="1" applyBorder="1" applyAlignment="1">
      <alignment horizontal="center" vertical="center"/>
    </xf>
    <xf numFmtId="49" fontId="37" fillId="54" borderId="6" xfId="0" applyNumberFormat="1" applyFont="1" applyFill="1" applyBorder="1" applyAlignment="1">
      <alignment horizontal="center" vertical="center"/>
    </xf>
    <xf numFmtId="49" fontId="34" fillId="56" borderId="6" xfId="930" applyNumberFormat="1" applyFont="1" applyFill="1" applyBorder="1" applyAlignment="1">
      <alignment horizontal="center" vertical="center"/>
    </xf>
    <xf numFmtId="49" fontId="36" fillId="55" borderId="6" xfId="0" applyNumberFormat="1" applyFont="1" applyFill="1" applyBorder="1" applyAlignment="1">
      <alignment horizontal="center" vertical="center"/>
    </xf>
    <xf numFmtId="49" fontId="29" fillId="54" borderId="6" xfId="1628" applyNumberFormat="1" applyFont="1" applyFill="1" applyBorder="1" applyAlignment="1">
      <alignment horizontal="center" vertical="center" wrapText="1"/>
    </xf>
    <xf numFmtId="49" fontId="29" fillId="54" borderId="6" xfId="1628" applyNumberFormat="1" applyFont="1" applyFill="1" applyBorder="1" applyAlignment="1" applyProtection="1">
      <alignment horizontal="center" vertical="center"/>
    </xf>
    <xf numFmtId="2" fontId="29" fillId="54" borderId="26" xfId="1628" applyNumberFormat="1" applyFont="1" applyFill="1" applyBorder="1" applyAlignment="1">
      <alignment horizontal="center" vertical="center" wrapText="1"/>
    </xf>
    <xf numFmtId="49" fontId="29" fillId="54" borderId="0" xfId="0" applyNumberFormat="1" applyFont="1" applyFill="1" applyBorder="1" applyAlignment="1">
      <alignment horizontal="center" vertical="center" wrapText="1"/>
    </xf>
    <xf numFmtId="0" fontId="29" fillId="54" borderId="0" xfId="0" applyFont="1" applyFill="1" applyBorder="1" applyAlignment="1">
      <alignment horizontal="center" vertical="center"/>
    </xf>
    <xf numFmtId="0" fontId="29" fillId="54" borderId="0" xfId="0" applyFont="1" applyFill="1" applyBorder="1" applyAlignment="1">
      <alignment horizontal="center" vertical="center" wrapText="1"/>
    </xf>
    <xf numFmtId="0" fontId="36" fillId="54" borderId="29" xfId="0" applyFont="1" applyFill="1" applyBorder="1" applyAlignment="1">
      <alignment horizontal="left" vertical="center" wrapText="1"/>
    </xf>
    <xf numFmtId="2" fontId="36" fillId="54" borderId="29" xfId="0" applyNumberFormat="1" applyFont="1" applyFill="1" applyBorder="1" applyAlignment="1">
      <alignment horizontal="center" vertical="center"/>
    </xf>
    <xf numFmtId="0" fontId="0" fillId="0" borderId="6" xfId="0" applyBorder="1" applyAlignment="1">
      <alignment wrapText="1"/>
    </xf>
    <xf numFmtId="4" fontId="7" fillId="0" borderId="6" xfId="0" applyNumberFormat="1" applyFont="1" applyBorder="1" applyAlignment="1">
      <alignment horizontal="center" vertical="center" wrapText="1"/>
    </xf>
    <xf numFmtId="0" fontId="28" fillId="54" borderId="6" xfId="0" applyFont="1" applyFill="1" applyBorder="1" applyAlignment="1">
      <alignment horizontal="center" vertical="center" wrapText="1"/>
    </xf>
    <xf numFmtId="4" fontId="7" fillId="0" borderId="6" xfId="0" applyNumberFormat="1" applyFont="1" applyBorder="1" applyAlignment="1">
      <alignment horizontal="right" vertical="center" wrapText="1"/>
    </xf>
    <xf numFmtId="0" fontId="7" fillId="0" borderId="6" xfId="0" applyFont="1" applyBorder="1" applyAlignment="1">
      <alignment vertical="center" wrapText="1"/>
    </xf>
    <xf numFmtId="49" fontId="29" fillId="54" borderId="29" xfId="0" applyNumberFormat="1" applyFont="1" applyFill="1" applyBorder="1" applyAlignment="1">
      <alignment horizontal="center" vertical="center"/>
    </xf>
    <xf numFmtId="49" fontId="29" fillId="54" borderId="6" xfId="0" applyNumberFormat="1" applyFont="1" applyFill="1" applyBorder="1" applyAlignment="1">
      <alignment horizontal="center" vertical="center"/>
    </xf>
    <xf numFmtId="49" fontId="41" fillId="54" borderId="6" xfId="0" applyNumberFormat="1" applyFont="1" applyFill="1" applyBorder="1" applyAlignment="1">
      <alignment horizontal="center" vertical="center"/>
    </xf>
    <xf numFmtId="49" fontId="41" fillId="54" borderId="26" xfId="0" applyNumberFormat="1" applyFont="1" applyFill="1" applyBorder="1" applyAlignment="1">
      <alignment horizontal="center" vertical="center"/>
    </xf>
    <xf numFmtId="0" fontId="29" fillId="54" borderId="6" xfId="0" applyFont="1" applyFill="1" applyBorder="1"/>
    <xf numFmtId="0" fontId="43" fillId="54" borderId="6" xfId="0" applyFont="1" applyFill="1" applyBorder="1" applyAlignment="1">
      <alignment horizontal="center" vertical="center" wrapText="1"/>
    </xf>
    <xf numFmtId="0" fontId="18" fillId="0" borderId="6" xfId="0" applyFont="1" applyBorder="1" applyAlignment="1">
      <alignment vertical="center" wrapText="1"/>
    </xf>
    <xf numFmtId="4" fontId="28" fillId="54" borderId="6" xfId="0" applyNumberFormat="1" applyFont="1" applyFill="1" applyBorder="1" applyAlignment="1">
      <alignment horizontal="right" vertical="center"/>
    </xf>
    <xf numFmtId="0" fontId="7" fillId="0" borderId="6" xfId="0" applyFont="1" applyBorder="1" applyAlignment="1">
      <alignment horizontal="center" vertical="center" wrapText="1"/>
    </xf>
    <xf numFmtId="4" fontId="29" fillId="54" borderId="30" xfId="0" applyNumberFormat="1" applyFont="1" applyFill="1" applyBorder="1" applyAlignment="1">
      <alignment horizontal="right" vertical="center"/>
    </xf>
    <xf numFmtId="14" fontId="29" fillId="54" borderId="29" xfId="0" applyNumberFormat="1" applyFont="1" applyFill="1" applyBorder="1" applyAlignment="1">
      <alignment horizontal="center" vertical="center" wrapText="1"/>
    </xf>
    <xf numFmtId="4" fontId="29" fillId="56" borderId="31" xfId="930" applyNumberFormat="1" applyFont="1" applyFill="1" applyBorder="1" applyAlignment="1">
      <alignment horizontal="right" vertical="center" wrapText="1"/>
    </xf>
    <xf numFmtId="14" fontId="29" fillId="54" borderId="6" xfId="0" applyNumberFormat="1" applyFont="1" applyFill="1" applyBorder="1" applyAlignment="1">
      <alignment horizontal="center" vertical="center" wrapText="1"/>
    </xf>
    <xf numFmtId="4" fontId="29" fillId="56" borderId="32" xfId="930" applyNumberFormat="1" applyFont="1" applyFill="1" applyBorder="1" applyAlignment="1">
      <alignment horizontal="right" vertical="center" wrapText="1"/>
    </xf>
    <xf numFmtId="4" fontId="29" fillId="56" borderId="33" xfId="930" applyNumberFormat="1" applyFont="1" applyFill="1" applyBorder="1" applyAlignment="1">
      <alignment horizontal="right" vertical="center" wrapText="1"/>
    </xf>
    <xf numFmtId="4" fontId="29" fillId="56" borderId="34" xfId="930" applyNumberFormat="1" applyFont="1" applyFill="1" applyBorder="1" applyAlignment="1">
      <alignment horizontal="right" vertical="center" wrapText="1"/>
    </xf>
    <xf numFmtId="4" fontId="41" fillId="54" borderId="32" xfId="0" applyNumberFormat="1" applyFont="1" applyFill="1" applyBorder="1" applyAlignment="1">
      <alignment horizontal="right" vertical="center"/>
    </xf>
    <xf numFmtId="14" fontId="41" fillId="54" borderId="6" xfId="0" applyNumberFormat="1" applyFont="1" applyFill="1" applyBorder="1" applyAlignment="1">
      <alignment horizontal="center" vertical="center" wrapText="1"/>
    </xf>
    <xf numFmtId="4" fontId="41" fillId="54" borderId="35" xfId="0" applyNumberFormat="1" applyFont="1" applyFill="1" applyBorder="1" applyAlignment="1">
      <alignment horizontal="right" vertical="center"/>
    </xf>
    <xf numFmtId="14" fontId="41" fillId="54" borderId="26" xfId="0" applyNumberFormat="1" applyFont="1" applyFill="1" applyBorder="1" applyAlignment="1">
      <alignment horizontal="center" vertical="center" wrapText="1"/>
    </xf>
    <xf numFmtId="14" fontId="29" fillId="54" borderId="26" xfId="0" applyNumberFormat="1" applyFont="1" applyFill="1" applyBorder="1" applyAlignment="1">
      <alignment horizontal="center" vertical="center" wrapText="1"/>
    </xf>
    <xf numFmtId="4" fontId="41" fillId="54" borderId="6" xfId="0" applyNumberFormat="1" applyFont="1" applyFill="1" applyBorder="1" applyAlignment="1">
      <alignment horizontal="right" vertical="center"/>
    </xf>
    <xf numFmtId="4" fontId="28" fillId="54" borderId="36" xfId="0" applyNumberFormat="1" applyFont="1" applyFill="1" applyBorder="1" applyAlignment="1">
      <alignment horizontal="right" vertical="center"/>
    </xf>
    <xf numFmtId="0" fontId="30" fillId="0" borderId="29" xfId="0" applyNumberFormat="1" applyFont="1" applyBorder="1" applyAlignment="1">
      <alignment horizontal="center" vertical="center" wrapText="1"/>
    </xf>
    <xf numFmtId="0" fontId="30" fillId="0" borderId="6" xfId="0" applyFont="1" applyBorder="1" applyAlignment="1">
      <alignment horizontal="left" vertical="center" wrapText="1"/>
    </xf>
    <xf numFmtId="0" fontId="30" fillId="0" borderId="29" xfId="0" applyFont="1" applyBorder="1" applyAlignment="1">
      <alignment horizontal="left" wrapText="1"/>
    </xf>
    <xf numFmtId="0" fontId="30" fillId="0" borderId="2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6" xfId="0" applyFont="1" applyBorder="1" applyAlignment="1">
      <alignment horizontal="justify" vertical="center" wrapText="1"/>
    </xf>
    <xf numFmtId="0" fontId="30" fillId="0" borderId="6" xfId="0" applyFont="1" applyBorder="1" applyAlignment="1">
      <alignment horizontal="justify" wrapText="1"/>
    </xf>
    <xf numFmtId="0" fontId="28" fillId="0" borderId="6" xfId="0" applyFont="1" applyBorder="1" applyAlignment="1">
      <alignment horizontal="center" wrapText="1"/>
    </xf>
    <xf numFmtId="0" fontId="30" fillId="0" borderId="6" xfId="0" applyNumberFormat="1" applyFont="1" applyBorder="1" applyAlignment="1">
      <alignment horizontal="center" vertical="center" wrapText="1"/>
    </xf>
    <xf numFmtId="0" fontId="7" fillId="0" borderId="0" xfId="0" applyFont="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wrapText="1"/>
    </xf>
    <xf numFmtId="0" fontId="9" fillId="0" borderId="6" xfId="0" applyFont="1" applyBorder="1" applyAlignment="1">
      <alignment horizontal="left" vertical="center" wrapText="1"/>
    </xf>
    <xf numFmtId="0" fontId="9" fillId="0" borderId="6" xfId="0" applyFont="1" applyBorder="1" applyAlignment="1">
      <alignment vertical="center" wrapText="1"/>
    </xf>
    <xf numFmtId="0" fontId="9" fillId="0" borderId="6" xfId="0" applyFont="1" applyBorder="1" applyAlignment="1">
      <alignment horizontal="justify" vertical="center" wrapText="1"/>
    </xf>
    <xf numFmtId="0" fontId="9" fillId="0" borderId="6" xfId="0" applyFont="1" applyBorder="1" applyAlignment="1">
      <alignment horizontal="center"/>
    </xf>
    <xf numFmtId="0" fontId="10" fillId="0" borderId="0" xfId="0" applyFont="1" applyAlignment="1">
      <alignment horizontal="center" vertical="center"/>
    </xf>
    <xf numFmtId="0" fontId="44" fillId="0" borderId="0" xfId="0" applyFont="1" applyAlignment="1">
      <alignment horizontal="left" wrapText="1"/>
    </xf>
    <xf numFmtId="0" fontId="44" fillId="0" borderId="0" xfId="0" applyFont="1" applyAlignment="1"/>
    <xf numFmtId="0" fontId="44" fillId="0" borderId="0" xfId="0" applyFont="1" applyAlignment="1">
      <alignment horizontal="left"/>
    </xf>
    <xf numFmtId="168" fontId="9" fillId="0" borderId="6" xfId="0" applyNumberFormat="1" applyFont="1" applyBorder="1" applyAlignment="1">
      <alignment horizontal="center" vertical="center"/>
    </xf>
    <xf numFmtId="168" fontId="30" fillId="0" borderId="26" xfId="0" applyNumberFormat="1" applyFont="1" applyBorder="1" applyAlignment="1">
      <alignment horizontal="center" vertical="center" wrapText="1"/>
    </xf>
    <xf numFmtId="168" fontId="30" fillId="0" borderId="6" xfId="0" applyNumberFormat="1"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xf numFmtId="0" fontId="28" fillId="0" borderId="6" xfId="0" applyFont="1" applyBorder="1" applyAlignment="1">
      <alignment horizontal="center" vertical="center" wrapText="1"/>
    </xf>
    <xf numFmtId="168" fontId="30" fillId="0" borderId="6" xfId="0" applyNumberFormat="1" applyFont="1" applyBorder="1" applyAlignment="1">
      <alignment vertical="center" wrapText="1"/>
    </xf>
    <xf numFmtId="0" fontId="28" fillId="54" borderId="37" xfId="931" applyFont="1" applyFill="1" applyBorder="1" applyAlignment="1">
      <alignment horizontal="center" vertical="center" wrapText="1"/>
    </xf>
    <xf numFmtId="14" fontId="11" fillId="0" borderId="6" xfId="0" applyNumberFormat="1" applyFont="1" applyBorder="1" applyAlignment="1">
      <alignment wrapText="1"/>
    </xf>
    <xf numFmtId="49" fontId="42" fillId="54" borderId="26" xfId="0" applyNumberFormat="1" applyFont="1" applyFill="1" applyBorder="1" applyAlignment="1">
      <alignment horizontal="center" vertical="center"/>
    </xf>
    <xf numFmtId="49" fontId="29" fillId="54" borderId="6" xfId="931" applyNumberFormat="1" applyFont="1" applyFill="1" applyBorder="1" applyAlignment="1">
      <alignment horizontal="center" vertical="center"/>
    </xf>
    <xf numFmtId="4" fontId="29" fillId="54" borderId="38" xfId="0" applyNumberFormat="1" applyFont="1" applyFill="1" applyBorder="1" applyAlignment="1">
      <alignment horizontal="right" vertical="center"/>
    </xf>
    <xf numFmtId="14" fontId="8" fillId="0" borderId="6" xfId="0" applyNumberFormat="1" applyFont="1" applyBorder="1" applyAlignment="1">
      <alignment vertical="center" wrapText="1"/>
    </xf>
    <xf numFmtId="49" fontId="29" fillId="56" borderId="6" xfId="930" applyNumberFormat="1" applyFont="1" applyFill="1" applyBorder="1" applyAlignment="1">
      <alignment horizontal="center" vertical="center"/>
    </xf>
    <xf numFmtId="4" fontId="29" fillId="56" borderId="27" xfId="930" applyNumberFormat="1" applyFont="1" applyFill="1" applyBorder="1" applyAlignment="1">
      <alignment horizontal="right" vertical="center" wrapText="1"/>
    </xf>
    <xf numFmtId="4" fontId="29" fillId="56" borderId="0" xfId="930" applyNumberFormat="1" applyFont="1" applyFill="1" applyBorder="1" applyAlignment="1">
      <alignment horizontal="right" vertical="center" wrapText="1"/>
    </xf>
    <xf numFmtId="4" fontId="29" fillId="56" borderId="6" xfId="930" applyNumberFormat="1" applyFont="1" applyFill="1" applyBorder="1" applyAlignment="1">
      <alignment horizontal="right" vertical="center" wrapText="1"/>
    </xf>
    <xf numFmtId="0" fontId="41" fillId="54" borderId="6" xfId="930" applyFont="1" applyFill="1" applyBorder="1" applyAlignment="1">
      <alignment horizontal="center" vertical="center" wrapText="1"/>
    </xf>
    <xf numFmtId="4" fontId="41" fillId="54" borderId="31" xfId="0" applyNumberFormat="1" applyFont="1" applyFill="1" applyBorder="1" applyAlignment="1">
      <alignment horizontal="right" vertical="center"/>
    </xf>
    <xf numFmtId="14" fontId="14" fillId="0" borderId="6" xfId="0" applyNumberFormat="1" applyFont="1" applyBorder="1" applyAlignment="1">
      <alignment vertical="center" wrapText="1"/>
    </xf>
    <xf numFmtId="0" fontId="41" fillId="54" borderId="6" xfId="931" applyFont="1" applyFill="1" applyBorder="1" applyAlignment="1">
      <alignment horizontal="center" vertical="center" wrapText="1"/>
    </xf>
    <xf numFmtId="4" fontId="28" fillId="54" borderId="39" xfId="0" applyNumberFormat="1" applyFont="1" applyFill="1" applyBorder="1" applyAlignment="1">
      <alignment horizontal="right" vertical="center"/>
    </xf>
    <xf numFmtId="0" fontId="0" fillId="54" borderId="6" xfId="0" applyFill="1" applyBorder="1"/>
    <xf numFmtId="0" fontId="41" fillId="54" borderId="26" xfId="931" applyFont="1" applyFill="1" applyBorder="1" applyAlignment="1">
      <alignment horizontal="center" vertical="center" wrapText="1"/>
    </xf>
    <xf numFmtId="4" fontId="41" fillId="54" borderId="40" xfId="0" applyNumberFormat="1" applyFont="1" applyFill="1" applyBorder="1" applyAlignment="1">
      <alignment horizontal="right" vertical="center"/>
    </xf>
    <xf numFmtId="14" fontId="14" fillId="0" borderId="26" xfId="0" applyNumberFormat="1" applyFont="1" applyBorder="1" applyAlignment="1">
      <alignment vertical="center" wrapText="1"/>
    </xf>
    <xf numFmtId="49" fontId="28" fillId="54" borderId="6" xfId="0" applyNumberFormat="1" applyFont="1" applyFill="1" applyBorder="1" applyAlignment="1">
      <alignment horizontal="center" vertical="center"/>
    </xf>
    <xf numFmtId="0" fontId="29" fillId="54" borderId="41" xfId="929" applyFont="1" applyFill="1" applyBorder="1" applyAlignment="1">
      <alignment horizontal="center" vertical="center" wrapText="1"/>
    </xf>
    <xf numFmtId="0" fontId="29" fillId="54" borderId="16" xfId="929" applyFont="1" applyFill="1" applyBorder="1" applyAlignment="1">
      <alignment horizontal="center" vertical="center" wrapText="1"/>
    </xf>
    <xf numFmtId="0" fontId="29" fillId="54" borderId="33" xfId="929" applyFont="1" applyFill="1" applyBorder="1" applyAlignment="1">
      <alignment horizontal="center" vertical="center" wrapText="1"/>
    </xf>
    <xf numFmtId="0" fontId="29" fillId="54" borderId="27" xfId="929" applyFont="1" applyFill="1" applyBorder="1" applyAlignment="1">
      <alignment horizontal="center" vertical="center" wrapText="1"/>
    </xf>
    <xf numFmtId="0" fontId="29" fillId="54" borderId="0" xfId="929" applyFont="1" applyFill="1" applyBorder="1" applyAlignment="1">
      <alignment horizontal="center" vertical="center" wrapText="1"/>
    </xf>
    <xf numFmtId="4" fontId="28" fillId="57" borderId="42" xfId="927" applyNumberFormat="1" applyFont="1" applyFill="1" applyBorder="1" applyAlignment="1">
      <alignment horizontal="center" vertical="center"/>
    </xf>
    <xf numFmtId="49" fontId="1" fillId="54" borderId="32" xfId="0" applyNumberFormat="1" applyFont="1" applyFill="1" applyBorder="1" applyAlignment="1">
      <alignment horizontal="center" vertical="center" wrapText="1"/>
    </xf>
    <xf numFmtId="49" fontId="32" fillId="54" borderId="6" xfId="0" applyNumberFormat="1" applyFont="1" applyFill="1" applyBorder="1" applyAlignment="1">
      <alignment horizontal="center" vertical="center"/>
    </xf>
    <xf numFmtId="4" fontId="45" fillId="54" borderId="42" xfId="928" applyNumberFormat="1" applyFont="1" applyFill="1" applyBorder="1" applyAlignment="1">
      <alignment horizontal="center" vertical="center"/>
    </xf>
    <xf numFmtId="49" fontId="11" fillId="54" borderId="6" xfId="0" applyNumberFormat="1" applyFont="1" applyFill="1" applyBorder="1" applyAlignment="1">
      <alignment horizontal="center" vertical="center"/>
    </xf>
    <xf numFmtId="4" fontId="42" fillId="57" borderId="42" xfId="927" applyNumberFormat="1" applyFont="1" applyFill="1" applyBorder="1" applyAlignment="1">
      <alignment horizontal="center" vertical="center"/>
    </xf>
    <xf numFmtId="4" fontId="3" fillId="54" borderId="42" xfId="927" applyNumberFormat="1" applyFont="1" applyFill="1" applyBorder="1" applyAlignment="1">
      <alignment horizontal="center" vertical="center"/>
    </xf>
    <xf numFmtId="4" fontId="29" fillId="54" borderId="42" xfId="928" applyNumberFormat="1" applyFont="1" applyFill="1" applyBorder="1" applyAlignment="1">
      <alignment horizontal="center" vertical="center" wrapText="1"/>
    </xf>
    <xf numFmtId="4" fontId="29" fillId="55" borderId="42" xfId="928" applyNumberFormat="1" applyFont="1" applyFill="1" applyBorder="1" applyAlignment="1">
      <alignment horizontal="center" vertical="center" wrapText="1"/>
    </xf>
    <xf numFmtId="0" fontId="29" fillId="54" borderId="43" xfId="0" applyFont="1" applyFill="1" applyBorder="1" applyAlignment="1">
      <alignment horizontal="center" vertical="center"/>
    </xf>
    <xf numFmtId="49" fontId="32" fillId="54" borderId="32" xfId="928" applyNumberFormat="1" applyFont="1" applyFill="1" applyBorder="1" applyAlignment="1">
      <alignment horizontal="center" vertical="center" wrapText="1"/>
    </xf>
    <xf numFmtId="49" fontId="29" fillId="54" borderId="6" xfId="1628" applyNumberFormat="1" applyFont="1" applyFill="1" applyBorder="1" applyAlignment="1" applyProtection="1">
      <alignment horizontal="center" vertical="center" wrapText="1"/>
    </xf>
    <xf numFmtId="49" fontId="29" fillId="54" borderId="26" xfId="1628" applyNumberFormat="1" applyFont="1" applyFill="1" applyBorder="1" applyAlignment="1" applyProtection="1">
      <alignment horizontal="center" vertical="center" wrapText="1"/>
    </xf>
    <xf numFmtId="4" fontId="28" fillId="54" borderId="44" xfId="0" applyNumberFormat="1" applyFont="1" applyFill="1" applyBorder="1" applyAlignment="1">
      <alignment horizontal="center" vertical="center"/>
    </xf>
    <xf numFmtId="0" fontId="29" fillId="54" borderId="29" xfId="0" applyFont="1" applyFill="1" applyBorder="1" applyAlignment="1">
      <alignment horizontal="center" vertical="center"/>
    </xf>
    <xf numFmtId="0" fontId="30" fillId="54" borderId="42" xfId="0" applyFont="1" applyFill="1" applyBorder="1" applyAlignment="1">
      <alignment horizontal="center" vertical="center" textRotation="90" wrapText="1"/>
    </xf>
    <xf numFmtId="4" fontId="28" fillId="54" borderId="45" xfId="0" applyNumberFormat="1" applyFont="1" applyFill="1" applyBorder="1" applyAlignment="1">
      <alignment horizontal="center"/>
    </xf>
    <xf numFmtId="49" fontId="29" fillId="54" borderId="33" xfId="0" applyNumberFormat="1" applyFont="1" applyFill="1" applyBorder="1" applyAlignment="1">
      <alignment horizontal="center" vertical="center" wrapText="1"/>
    </xf>
    <xf numFmtId="0" fontId="28" fillId="54" borderId="6" xfId="929" applyFont="1" applyFill="1" applyBorder="1" applyAlignment="1">
      <alignment horizontal="center" vertical="center" wrapText="1"/>
    </xf>
    <xf numFmtId="49" fontId="30" fillId="54" borderId="6" xfId="929" applyNumberFormat="1" applyFont="1" applyFill="1" applyBorder="1" applyAlignment="1">
      <alignment horizontal="center" vertical="center" wrapText="1"/>
    </xf>
    <xf numFmtId="49" fontId="28" fillId="54" borderId="6" xfId="929" applyNumberFormat="1" applyFont="1" applyFill="1" applyBorder="1" applyAlignment="1">
      <alignment horizontal="center" vertical="center" wrapText="1"/>
    </xf>
    <xf numFmtId="4" fontId="42" fillId="54" borderId="6" xfId="0" applyNumberFormat="1" applyFont="1" applyFill="1" applyBorder="1" applyAlignment="1">
      <alignment horizontal="right" vertical="center"/>
    </xf>
    <xf numFmtId="49" fontId="30" fillId="54" borderId="29" xfId="929" applyNumberFormat="1" applyFont="1" applyFill="1" applyBorder="1" applyAlignment="1">
      <alignment horizontal="center" vertical="center" wrapText="1"/>
    </xf>
    <xf numFmtId="4" fontId="30" fillId="54" borderId="45" xfId="0" applyNumberFormat="1" applyFont="1" applyFill="1" applyBorder="1" applyAlignment="1">
      <alignment vertical="center"/>
    </xf>
    <xf numFmtId="14" fontId="30" fillId="54" borderId="29" xfId="0" applyNumberFormat="1" applyFont="1" applyFill="1" applyBorder="1" applyAlignment="1">
      <alignment horizontal="center" vertical="center"/>
    </xf>
    <xf numFmtId="14" fontId="9" fillId="54" borderId="29" xfId="0" applyNumberFormat="1" applyFont="1" applyFill="1" applyBorder="1" applyAlignment="1">
      <alignment horizontal="center" vertical="center"/>
    </xf>
    <xf numFmtId="4" fontId="30" fillId="57" borderId="42" xfId="927" applyNumberFormat="1" applyFont="1" applyFill="1" applyBorder="1" applyAlignment="1">
      <alignment vertical="center"/>
    </xf>
    <xf numFmtId="14" fontId="30" fillId="54" borderId="6" xfId="0" applyNumberFormat="1" applyFont="1" applyFill="1" applyBorder="1" applyAlignment="1">
      <alignment horizontal="center" vertical="center"/>
    </xf>
    <xf numFmtId="14" fontId="9" fillId="54" borderId="6" xfId="0" applyNumberFormat="1" applyFont="1" applyFill="1" applyBorder="1" applyAlignment="1">
      <alignment horizontal="center" vertical="center"/>
    </xf>
    <xf numFmtId="4" fontId="28" fillId="57" borderId="6" xfId="927" applyNumberFormat="1" applyFont="1" applyFill="1" applyBorder="1" applyAlignment="1">
      <alignment vertical="center"/>
    </xf>
    <xf numFmtId="14" fontId="28" fillId="54" borderId="6" xfId="0" applyNumberFormat="1" applyFont="1" applyFill="1" applyBorder="1" applyAlignment="1">
      <alignment horizontal="center" vertical="center"/>
    </xf>
    <xf numFmtId="14" fontId="7" fillId="54" borderId="6" xfId="0" applyNumberFormat="1" applyFont="1" applyFill="1" applyBorder="1" applyAlignment="1">
      <alignment horizontal="center" vertical="center"/>
    </xf>
    <xf numFmtId="4" fontId="42" fillId="54" borderId="44" xfId="0" applyNumberFormat="1" applyFont="1" applyFill="1" applyBorder="1" applyAlignment="1">
      <alignment vertical="center"/>
    </xf>
    <xf numFmtId="0" fontId="44" fillId="54" borderId="6" xfId="0" applyFont="1" applyFill="1" applyBorder="1"/>
    <xf numFmtId="0" fontId="0" fillId="54" borderId="6" xfId="0" applyFill="1" applyBorder="1"/>
    <xf numFmtId="0" fontId="47" fillId="0" borderId="6" xfId="0" applyFont="1" applyBorder="1" applyAlignment="1">
      <alignment wrapText="1"/>
    </xf>
    <xf numFmtId="4" fontId="30" fillId="54" borderId="6" xfId="0" applyNumberFormat="1" applyFont="1" applyFill="1" applyBorder="1" applyAlignment="1">
      <alignment horizontal="center"/>
    </xf>
    <xf numFmtId="4" fontId="30" fillId="57" borderId="6" xfId="927" applyNumberFormat="1" applyFont="1" applyFill="1" applyBorder="1" applyAlignment="1">
      <alignment horizontal="center" vertical="center"/>
    </xf>
    <xf numFmtId="4" fontId="28" fillId="57" borderId="6" xfId="927" applyNumberFormat="1" applyFont="1" applyFill="1" applyBorder="1" applyAlignment="1">
      <alignment horizontal="center" vertical="center"/>
    </xf>
    <xf numFmtId="4" fontId="42" fillId="54" borderId="6" xfId="0" applyNumberFormat="1" applyFont="1" applyFill="1" applyBorder="1" applyAlignment="1">
      <alignment horizontal="center" vertical="center"/>
    </xf>
    <xf numFmtId="0" fontId="7" fillId="0" borderId="6" xfId="0" applyFont="1" applyBorder="1" applyAlignment="1">
      <alignment wrapText="1"/>
    </xf>
    <xf numFmtId="4" fontId="30" fillId="54" borderId="6" xfId="0" applyNumberFormat="1" applyFont="1" applyFill="1" applyBorder="1" applyAlignment="1">
      <alignment horizontal="right" vertical="center"/>
    </xf>
    <xf numFmtId="4" fontId="30" fillId="57" borderId="6" xfId="927" applyNumberFormat="1" applyFont="1" applyFill="1" applyBorder="1" applyAlignment="1">
      <alignment horizontal="right" vertical="center"/>
    </xf>
    <xf numFmtId="4" fontId="28" fillId="57" borderId="6" xfId="927" applyNumberFormat="1" applyFont="1" applyFill="1" applyBorder="1" applyAlignment="1">
      <alignment horizontal="right" vertical="center"/>
    </xf>
    <xf numFmtId="4" fontId="7" fillId="0" borderId="6" xfId="0" applyNumberFormat="1" applyFont="1" applyBorder="1" applyAlignment="1">
      <alignment vertical="center" wrapText="1"/>
    </xf>
    <xf numFmtId="0" fontId="9" fillId="0" borderId="6" xfId="0" applyFont="1" applyBorder="1" applyAlignment="1">
      <alignment wrapText="1"/>
    </xf>
    <xf numFmtId="49" fontId="29" fillId="54" borderId="6" xfId="929" applyNumberFormat="1" applyFont="1" applyFill="1" applyBorder="1" applyAlignment="1">
      <alignment horizontal="center" vertical="center" wrapText="1"/>
    </xf>
    <xf numFmtId="14" fontId="29" fillId="54" borderId="6" xfId="0" applyNumberFormat="1" applyFont="1" applyFill="1" applyBorder="1" applyAlignment="1">
      <alignment horizontal="center" vertical="center"/>
    </xf>
    <xf numFmtId="49" fontId="41" fillId="54" borderId="6" xfId="929" applyNumberFormat="1" applyFont="1" applyFill="1" applyBorder="1" applyAlignment="1">
      <alignment horizontal="center" vertical="center" wrapText="1"/>
    </xf>
    <xf numFmtId="14" fontId="41" fillId="54" borderId="6" xfId="0" applyNumberFormat="1" applyFont="1" applyFill="1" applyBorder="1" applyAlignment="1">
      <alignment horizontal="center" vertical="center"/>
    </xf>
    <xf numFmtId="14" fontId="14" fillId="54" borderId="6" xfId="0" applyNumberFormat="1" applyFont="1" applyFill="1" applyBorder="1" applyAlignment="1">
      <alignment horizontal="center" vertical="center"/>
    </xf>
    <xf numFmtId="0" fontId="10" fillId="54" borderId="6" xfId="0" applyFont="1" applyFill="1" applyBorder="1"/>
    <xf numFmtId="4" fontId="29" fillId="54" borderId="6" xfId="0" applyNumberFormat="1" applyFont="1" applyFill="1" applyBorder="1" applyAlignment="1">
      <alignment horizontal="right" vertical="center"/>
    </xf>
    <xf numFmtId="4" fontId="29" fillId="57" borderId="6" xfId="927" applyNumberFormat="1" applyFont="1" applyFill="1" applyBorder="1" applyAlignment="1">
      <alignment horizontal="right" vertical="center"/>
    </xf>
    <xf numFmtId="4" fontId="41" fillId="57" borderId="6" xfId="927" applyNumberFormat="1" applyFont="1" applyFill="1" applyBorder="1" applyAlignment="1">
      <alignment horizontal="right" vertical="center"/>
    </xf>
    <xf numFmtId="49" fontId="29" fillId="54" borderId="29" xfId="929" applyNumberFormat="1" applyFont="1" applyFill="1" applyBorder="1" applyAlignment="1">
      <alignment horizontal="center" vertical="center" wrapText="1"/>
    </xf>
    <xf numFmtId="4" fontId="29" fillId="54" borderId="45" xfId="0" applyNumberFormat="1" applyFont="1" applyFill="1" applyBorder="1" applyAlignment="1">
      <alignment vertical="center"/>
    </xf>
    <xf numFmtId="14" fontId="29" fillId="54" borderId="29" xfId="0" applyNumberFormat="1" applyFont="1" applyFill="1" applyBorder="1" applyAlignment="1">
      <alignment horizontal="center" vertical="center"/>
    </xf>
    <xf numFmtId="4" fontId="29" fillId="57" borderId="42" xfId="927" applyNumberFormat="1" applyFont="1" applyFill="1" applyBorder="1" applyAlignment="1">
      <alignment vertical="center"/>
    </xf>
    <xf numFmtId="4" fontId="41" fillId="57" borderId="6" xfId="927" applyNumberFormat="1" applyFont="1" applyFill="1" applyBorder="1" applyAlignment="1">
      <alignment vertical="center"/>
    </xf>
    <xf numFmtId="4" fontId="28" fillId="54" borderId="44" xfId="0" applyNumberFormat="1" applyFont="1" applyFill="1" applyBorder="1" applyAlignment="1">
      <alignment vertical="center"/>
    </xf>
    <xf numFmtId="0" fontId="28" fillId="0" borderId="0" xfId="0" applyFont="1" applyAlignment="1">
      <alignment wrapText="1"/>
    </xf>
    <xf numFmtId="0" fontId="32" fillId="54" borderId="0" xfId="0" applyFont="1" applyFill="1" applyBorder="1" applyAlignment="1">
      <alignment horizontal="center"/>
    </xf>
    <xf numFmtId="4" fontId="48" fillId="54" borderId="0" xfId="0" applyNumberFormat="1" applyFont="1" applyFill="1" applyBorder="1" applyAlignment="1">
      <alignment horizontal="center"/>
    </xf>
    <xf numFmtId="0" fontId="48" fillId="54" borderId="0" xfId="0" applyFont="1" applyFill="1" applyBorder="1" applyAlignment="1">
      <alignment horizontal="center"/>
    </xf>
    <xf numFmtId="0" fontId="0" fillId="54" borderId="0" xfId="0" applyFill="1"/>
    <xf numFmtId="49" fontId="29" fillId="54" borderId="1" xfId="0" applyNumberFormat="1" applyFont="1" applyFill="1" applyBorder="1" applyAlignment="1">
      <alignment horizontal="center" vertical="center" wrapText="1"/>
    </xf>
    <xf numFmtId="0" fontId="29" fillId="54" borderId="1" xfId="0" applyFont="1" applyFill="1" applyBorder="1" applyAlignment="1">
      <alignment horizontal="center" vertical="center" wrapText="1"/>
    </xf>
    <xf numFmtId="0" fontId="29" fillId="54" borderId="1" xfId="0" applyFont="1" applyFill="1" applyBorder="1" applyAlignment="1">
      <alignment horizontal="center" vertical="center"/>
    </xf>
    <xf numFmtId="0" fontId="10" fillId="0" borderId="6" xfId="0" applyFont="1" applyBorder="1" applyAlignment="1">
      <alignment wrapText="1"/>
    </xf>
    <xf numFmtId="4" fontId="30" fillId="54" borderId="45" xfId="0" applyNumberFormat="1" applyFont="1" applyFill="1" applyBorder="1" applyAlignment="1">
      <alignment horizontal="right" vertical="center"/>
    </xf>
    <xf numFmtId="4" fontId="0" fillId="0" borderId="0" xfId="0" applyNumberFormat="1"/>
    <xf numFmtId="4" fontId="30" fillId="57" borderId="42" xfId="927" applyNumberFormat="1" applyFont="1" applyFill="1" applyBorder="1" applyAlignment="1">
      <alignment horizontal="right" vertical="center"/>
    </xf>
    <xf numFmtId="4" fontId="28" fillId="57" borderId="42" xfId="928" applyNumberFormat="1" applyFont="1" applyFill="1" applyBorder="1" applyAlignment="1">
      <alignment horizontal="right" vertical="center" wrapText="1"/>
    </xf>
    <xf numFmtId="14" fontId="28" fillId="54" borderId="29" xfId="0" applyNumberFormat="1" applyFont="1" applyFill="1" applyBorder="1" applyAlignment="1">
      <alignment horizontal="center" vertical="center"/>
    </xf>
    <xf numFmtId="14" fontId="7" fillId="54" borderId="29" xfId="0" applyNumberFormat="1" applyFont="1" applyFill="1" applyBorder="1" applyAlignment="1">
      <alignment horizontal="center" vertical="center"/>
    </xf>
    <xf numFmtId="49" fontId="28" fillId="54" borderId="26" xfId="929" applyNumberFormat="1" applyFont="1" applyFill="1" applyBorder="1" applyAlignment="1">
      <alignment horizontal="center" vertical="center" wrapText="1"/>
    </xf>
    <xf numFmtId="4" fontId="28" fillId="54" borderId="46" xfId="927" applyNumberFormat="1" applyFont="1" applyFill="1" applyBorder="1" applyAlignment="1">
      <alignment horizontal="right" vertical="center"/>
    </xf>
    <xf numFmtId="14" fontId="28" fillId="54" borderId="1" xfId="0" applyNumberFormat="1" applyFont="1" applyFill="1" applyBorder="1" applyAlignment="1">
      <alignment horizontal="center" vertical="center"/>
    </xf>
    <xf numFmtId="14" fontId="7" fillId="54" borderId="1" xfId="0" applyNumberFormat="1" applyFont="1" applyFill="1" applyBorder="1" applyAlignment="1">
      <alignment horizontal="center" vertical="center"/>
    </xf>
    <xf numFmtId="0" fontId="29" fillId="54" borderId="6" xfId="928" applyFont="1" applyFill="1" applyBorder="1" applyAlignment="1">
      <alignment horizontal="left" vertical="center" wrapText="1"/>
    </xf>
    <xf numFmtId="0" fontId="28" fillId="54" borderId="0" xfId="929" applyFont="1" applyFill="1" applyBorder="1" applyAlignment="1">
      <alignment vertical="center" wrapText="1"/>
    </xf>
    <xf numFmtId="4" fontId="0" fillId="0" borderId="0" xfId="0" applyNumberFormat="1" applyBorder="1" applyAlignment="1"/>
    <xf numFmtId="0" fontId="0" fillId="0" borderId="0" xfId="0" applyBorder="1" applyAlignment="1"/>
    <xf numFmtId="0" fontId="42" fillId="54" borderId="0" xfId="929"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6" xfId="0" applyFont="1" applyBorder="1" applyAlignment="1">
      <alignment vertical="center" wrapText="1"/>
    </xf>
    <xf numFmtId="2" fontId="15" fillId="0" borderId="6"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xf numFmtId="188" fontId="15" fillId="0" borderId="6" xfId="0" applyNumberFormat="1" applyFont="1" applyBorder="1" applyAlignment="1">
      <alignment horizontal="center" vertical="center" wrapText="1"/>
    </xf>
    <xf numFmtId="208" fontId="15"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0" fontId="15" fillId="0" borderId="29" xfId="0" applyFont="1" applyBorder="1" applyAlignment="1">
      <alignment horizontal="center" vertical="center" wrapText="1"/>
    </xf>
    <xf numFmtId="0" fontId="15" fillId="0" borderId="29" xfId="0" applyFont="1" applyBorder="1" applyAlignment="1">
      <alignment horizontal="left" vertical="center" wrapText="1"/>
    </xf>
    <xf numFmtId="1" fontId="15" fillId="0" borderId="29"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66" fillId="0" borderId="0" xfId="0" applyFont="1" applyBorder="1" applyAlignment="1">
      <alignment vertical="center" wrapText="1"/>
    </xf>
    <xf numFmtId="0" fontId="166" fillId="0" borderId="0" xfId="0" applyFont="1" applyBorder="1" applyAlignment="1">
      <alignment horizontal="center" vertical="center" wrapText="1"/>
    </xf>
    <xf numFmtId="0" fontId="26" fillId="0" borderId="0" xfId="0" applyFont="1"/>
    <xf numFmtId="0" fontId="13" fillId="0" borderId="6" xfId="0" applyFont="1" applyBorder="1" applyAlignment="1">
      <alignment horizontal="center" vertical="center"/>
    </xf>
    <xf numFmtId="0" fontId="11" fillId="0" borderId="6" xfId="0" applyFont="1" applyBorder="1"/>
    <xf numFmtId="0" fontId="29" fillId="54" borderId="47" xfId="929" applyFont="1" applyFill="1" applyBorder="1" applyAlignment="1">
      <alignment horizontal="center" vertical="center" wrapText="1"/>
    </xf>
    <xf numFmtId="4" fontId="41" fillId="54" borderId="30" xfId="0" applyNumberFormat="1" applyFont="1" applyFill="1" applyBorder="1" applyAlignment="1">
      <alignment horizontal="right" vertical="center"/>
    </xf>
    <xf numFmtId="0" fontId="22" fillId="54" borderId="0" xfId="0" applyFont="1" applyFill="1" applyAlignment="1">
      <alignment horizontal="left" wrapText="1"/>
    </xf>
    <xf numFmtId="0" fontId="29" fillId="54" borderId="26" xfId="0" applyFont="1" applyFill="1" applyBorder="1" applyAlignment="1">
      <alignment horizontal="center" vertical="center" wrapText="1"/>
    </xf>
    <xf numFmtId="0" fontId="29" fillId="54" borderId="26" xfId="0" applyFont="1" applyFill="1" applyBorder="1" applyAlignment="1">
      <alignment horizontal="center" vertical="center" textRotation="90" wrapText="1"/>
    </xf>
    <xf numFmtId="0" fontId="13" fillId="54" borderId="6" xfId="0" applyFont="1" applyFill="1" applyBorder="1" applyAlignment="1">
      <alignment horizontal="center" vertical="center" wrapText="1"/>
    </xf>
    <xf numFmtId="0" fontId="13" fillId="54" borderId="48" xfId="0" applyFont="1" applyFill="1" applyBorder="1" applyAlignment="1">
      <alignment horizontal="center" vertical="center"/>
    </xf>
    <xf numFmtId="0" fontId="29" fillId="54" borderId="28" xfId="0" applyFont="1" applyFill="1" applyBorder="1" applyAlignment="1">
      <alignment horizontal="center" vertical="center" wrapText="1"/>
    </xf>
    <xf numFmtId="216" fontId="29" fillId="54" borderId="6" xfId="0" applyNumberFormat="1" applyFont="1" applyFill="1" applyBorder="1" applyAlignment="1">
      <alignment horizontal="center" vertical="center" wrapText="1"/>
    </xf>
    <xf numFmtId="4" fontId="19" fillId="54" borderId="28" xfId="0" applyNumberFormat="1" applyFont="1" applyFill="1" applyBorder="1" applyAlignment="1">
      <alignment horizontal="center" vertical="center"/>
    </xf>
    <xf numFmtId="4" fontId="15" fillId="54" borderId="6" xfId="0" applyNumberFormat="1" applyFont="1" applyFill="1" applyBorder="1" applyAlignment="1">
      <alignment horizontal="center" vertical="center"/>
    </xf>
    <xf numFmtId="0" fontId="15" fillId="54" borderId="28" xfId="0" applyFont="1" applyFill="1" applyBorder="1" applyAlignment="1"/>
    <xf numFmtId="49" fontId="17" fillId="54" borderId="6" xfId="0" applyNumberFormat="1" applyFont="1" applyFill="1" applyBorder="1" applyAlignment="1">
      <alignment horizontal="center" vertical="center" wrapText="1"/>
    </xf>
    <xf numFmtId="0" fontId="13" fillId="54" borderId="6" xfId="0" applyFont="1" applyFill="1" applyBorder="1" applyAlignment="1">
      <alignment horizontal="left" vertical="top" wrapText="1"/>
    </xf>
    <xf numFmtId="4" fontId="13" fillId="54" borderId="28" xfId="0" applyNumberFormat="1" applyFont="1" applyFill="1" applyBorder="1" applyAlignment="1">
      <alignment horizontal="center" vertical="center" wrapText="1"/>
    </xf>
    <xf numFmtId="0" fontId="15" fillId="54" borderId="6" xfId="0" applyFont="1" applyFill="1" applyBorder="1" applyAlignment="1"/>
    <xf numFmtId="216" fontId="15" fillId="54" borderId="6" xfId="0" applyNumberFormat="1" applyFont="1" applyFill="1" applyBorder="1" applyAlignment="1"/>
    <xf numFmtId="2" fontId="15" fillId="54" borderId="28" xfId="0" applyNumberFormat="1" applyFont="1" applyFill="1" applyBorder="1" applyAlignment="1">
      <alignment horizontal="center" vertical="center" wrapText="1"/>
    </xf>
    <xf numFmtId="4" fontId="13" fillId="54" borderId="6" xfId="0" applyNumberFormat="1" applyFont="1" applyFill="1" applyBorder="1" applyAlignment="1">
      <alignment horizontal="center" vertical="center"/>
    </xf>
    <xf numFmtId="0" fontId="15" fillId="54" borderId="28" xfId="0" applyFont="1" applyFill="1" applyBorder="1" applyAlignment="1">
      <alignment horizontal="center" vertical="center" wrapText="1"/>
    </xf>
    <xf numFmtId="0" fontId="13" fillId="54" borderId="6" xfId="0" applyFont="1" applyFill="1" applyBorder="1" applyAlignment="1">
      <alignment horizontal="left" vertical="center" wrapText="1"/>
    </xf>
    <xf numFmtId="49" fontId="17" fillId="54" borderId="28" xfId="0" applyNumberFormat="1" applyFont="1" applyFill="1" applyBorder="1" applyAlignment="1">
      <alignment horizontal="center" vertical="center" wrapText="1"/>
    </xf>
    <xf numFmtId="4" fontId="13" fillId="54" borderId="1" xfId="0" applyNumberFormat="1" applyFont="1" applyFill="1" applyBorder="1" applyAlignment="1">
      <alignment horizontal="center" vertical="center"/>
    </xf>
    <xf numFmtId="2" fontId="15" fillId="54" borderId="6" xfId="0" applyNumberFormat="1" applyFont="1" applyFill="1" applyBorder="1" applyAlignment="1">
      <alignment horizontal="center" vertical="center"/>
    </xf>
    <xf numFmtId="4" fontId="15" fillId="54" borderId="6" xfId="0" applyNumberFormat="1" applyFont="1" applyFill="1" applyBorder="1" applyAlignment="1">
      <alignment horizontal="center" vertical="center" wrapText="1"/>
    </xf>
    <xf numFmtId="2" fontId="21" fillId="54" borderId="6" xfId="0" applyNumberFormat="1" applyFont="1" applyFill="1" applyBorder="1" applyAlignment="1">
      <alignment horizontal="center" vertical="center"/>
    </xf>
    <xf numFmtId="49" fontId="168" fillId="54" borderId="6" xfId="0" applyNumberFormat="1" applyFont="1" applyFill="1" applyBorder="1" applyAlignment="1">
      <alignment horizontal="center" vertical="center" wrapText="1"/>
    </xf>
    <xf numFmtId="0" fontId="13" fillId="54" borderId="6" xfId="0" applyFont="1" applyFill="1" applyBorder="1" applyAlignment="1">
      <alignment horizontal="center" vertical="center"/>
    </xf>
    <xf numFmtId="4" fontId="19" fillId="54" borderId="6" xfId="0" applyNumberFormat="1" applyFont="1" applyFill="1" applyBorder="1" applyAlignment="1">
      <alignment horizontal="center" vertical="center" wrapText="1"/>
    </xf>
    <xf numFmtId="49" fontId="168" fillId="54" borderId="28" xfId="0" applyNumberFormat="1" applyFont="1" applyFill="1" applyBorder="1" applyAlignment="1">
      <alignment horizontal="center" vertical="center" wrapText="1"/>
    </xf>
    <xf numFmtId="0" fontId="13" fillId="54" borderId="1" xfId="0" applyFont="1" applyFill="1" applyBorder="1" applyAlignment="1">
      <alignment horizontal="center" vertical="center"/>
    </xf>
    <xf numFmtId="0" fontId="15" fillId="54" borderId="0" xfId="0" applyFont="1" applyFill="1" applyAlignment="1"/>
    <xf numFmtId="216" fontId="15" fillId="54" borderId="6" xfId="0" applyNumberFormat="1" applyFont="1" applyFill="1" applyBorder="1" applyAlignment="1">
      <alignment horizontal="center" vertical="center"/>
    </xf>
    <xf numFmtId="4" fontId="15" fillId="54" borderId="0" xfId="0" applyNumberFormat="1" applyFont="1" applyFill="1" applyAlignment="1">
      <alignment horizontal="center" vertical="center"/>
    </xf>
    <xf numFmtId="0" fontId="19" fillId="54" borderId="6" xfId="0" applyFont="1" applyFill="1" applyBorder="1" applyAlignment="1">
      <alignment horizontal="center" vertical="center"/>
    </xf>
    <xf numFmtId="2" fontId="19" fillId="54" borderId="6" xfId="0" applyNumberFormat="1" applyFont="1" applyFill="1" applyBorder="1" applyAlignment="1">
      <alignment horizontal="center" vertical="center"/>
    </xf>
    <xf numFmtId="0" fontId="13" fillId="54" borderId="6" xfId="0" applyFont="1" applyFill="1" applyBorder="1" applyAlignment="1">
      <alignment horizontal="left" wrapText="1"/>
    </xf>
    <xf numFmtId="0" fontId="19" fillId="54" borderId="26" xfId="0" applyFont="1" applyFill="1" applyBorder="1" applyAlignment="1">
      <alignment horizontal="center" vertical="center"/>
    </xf>
    <xf numFmtId="0" fontId="13" fillId="0" borderId="6" xfId="0" applyFont="1" applyBorder="1" applyAlignment="1">
      <alignment horizontal="justify" vertical="center" wrapText="1"/>
    </xf>
    <xf numFmtId="4" fontId="15" fillId="54" borderId="48" xfId="0" applyNumberFormat="1" applyFont="1" applyFill="1" applyBorder="1" applyAlignment="1">
      <alignment horizontal="center" vertical="center"/>
    </xf>
    <xf numFmtId="2" fontId="15" fillId="54" borderId="49" xfId="0" applyNumberFormat="1" applyFont="1" applyFill="1" applyBorder="1" applyAlignment="1">
      <alignment horizontal="center" vertical="center" wrapText="1"/>
    </xf>
    <xf numFmtId="0" fontId="13" fillId="54" borderId="6" xfId="0" applyFont="1" applyFill="1" applyBorder="1" applyAlignment="1">
      <alignment horizontal="justify" vertical="center" wrapText="1"/>
    </xf>
    <xf numFmtId="2" fontId="19" fillId="54" borderId="29" xfId="0" applyNumberFormat="1" applyFont="1" applyFill="1" applyBorder="1" applyAlignment="1">
      <alignment horizontal="center" vertical="center"/>
    </xf>
    <xf numFmtId="0" fontId="19" fillId="54" borderId="6" xfId="0" applyFont="1" applyFill="1" applyBorder="1" applyAlignment="1">
      <alignment horizontal="left" vertical="center"/>
    </xf>
    <xf numFmtId="0" fontId="19" fillId="54" borderId="6" xfId="0" applyFont="1" applyFill="1" applyBorder="1" applyAlignment="1">
      <alignment horizontal="left"/>
    </xf>
    <xf numFmtId="4" fontId="19" fillId="54" borderId="6" xfId="0" applyNumberFormat="1" applyFont="1" applyFill="1" applyBorder="1" applyAlignment="1">
      <alignment horizontal="center" vertical="center"/>
    </xf>
    <xf numFmtId="0" fontId="15" fillId="54" borderId="0" xfId="0" applyFont="1" applyFill="1" applyBorder="1" applyAlignment="1"/>
    <xf numFmtId="4" fontId="15" fillId="54" borderId="0" xfId="0" applyNumberFormat="1" applyFont="1" applyFill="1" applyBorder="1" applyAlignment="1">
      <alignment horizontal="center" vertical="center"/>
    </xf>
    <xf numFmtId="0" fontId="169" fillId="54" borderId="0" xfId="0" applyFont="1" applyFill="1" applyBorder="1" applyAlignment="1">
      <alignment horizontal="left"/>
    </xf>
    <xf numFmtId="4" fontId="169" fillId="54" borderId="0" xfId="0" applyNumberFormat="1" applyFont="1" applyFill="1" applyBorder="1" applyAlignment="1">
      <alignment horizontal="center"/>
    </xf>
    <xf numFmtId="2" fontId="15" fillId="54" borderId="0" xfId="0" applyNumberFormat="1" applyFont="1" applyFill="1" applyAlignment="1"/>
    <xf numFmtId="0" fontId="15" fillId="54" borderId="0" xfId="0" applyFont="1" applyFill="1" applyAlignment="1">
      <alignment horizontal="center"/>
    </xf>
    <xf numFmtId="0" fontId="166" fillId="54" borderId="0" xfId="0" applyFont="1" applyFill="1" applyAlignment="1"/>
    <xf numFmtId="4" fontId="22" fillId="54" borderId="0" xfId="0" applyNumberFormat="1" applyFont="1" applyFill="1" applyBorder="1" applyAlignment="1">
      <alignment horizontal="center"/>
    </xf>
    <xf numFmtId="0" fontId="22" fillId="54" borderId="0" xfId="0" applyFont="1" applyFill="1" applyAlignment="1"/>
    <xf numFmtId="2" fontId="22" fillId="54" borderId="0" xfId="0" applyNumberFormat="1" applyFont="1" applyFill="1" applyAlignment="1"/>
    <xf numFmtId="0" fontId="22" fillId="54" borderId="0" xfId="0" applyFont="1" applyFill="1" applyAlignment="1">
      <alignment horizontal="center"/>
    </xf>
    <xf numFmtId="0" fontId="22" fillId="54" borderId="0" xfId="0" applyFont="1" applyFill="1" applyBorder="1" applyAlignment="1">
      <alignment horizontal="left"/>
    </xf>
    <xf numFmtId="0" fontId="22" fillId="54" borderId="0" xfId="0" applyFont="1" applyFill="1" applyBorder="1" applyAlignment="1"/>
    <xf numFmtId="4" fontId="22" fillId="54" borderId="0" xfId="0" applyNumberFormat="1" applyFont="1" applyFill="1" applyAlignment="1"/>
    <xf numFmtId="2" fontId="170" fillId="54" borderId="0" xfId="0" applyNumberFormat="1" applyFont="1" applyFill="1" applyAlignment="1"/>
    <xf numFmtId="0" fontId="170" fillId="54" borderId="0" xfId="0" applyFont="1" applyFill="1" applyAlignment="1"/>
    <xf numFmtId="4" fontId="170" fillId="54" borderId="0" xfId="0" applyNumberFormat="1" applyFont="1" applyFill="1" applyAlignment="1"/>
    <xf numFmtId="4" fontId="30" fillId="54" borderId="0" xfId="0" applyNumberFormat="1" applyFont="1" applyFill="1" applyAlignment="1"/>
    <xf numFmtId="2" fontId="166" fillId="54" borderId="0" xfId="0" applyNumberFormat="1" applyFont="1" applyFill="1" applyAlignment="1"/>
    <xf numFmtId="0" fontId="171" fillId="54" borderId="16" xfId="0" applyFont="1" applyFill="1" applyBorder="1" applyAlignment="1">
      <alignment horizontal="center" vertical="center" wrapText="1"/>
    </xf>
    <xf numFmtId="0" fontId="29" fillId="54" borderId="49" xfId="0" applyFont="1" applyFill="1" applyBorder="1" applyAlignment="1">
      <alignment horizontal="center" vertical="center" wrapText="1"/>
    </xf>
    <xf numFmtId="4" fontId="19" fillId="54" borderId="28" xfId="0" applyNumberFormat="1" applyFont="1" applyFill="1" applyBorder="1" applyAlignment="1">
      <alignment horizontal="center" vertical="center" wrapText="1"/>
    </xf>
    <xf numFmtId="0" fontId="22" fillId="54" borderId="6" xfId="0" applyFont="1" applyFill="1" applyBorder="1" applyAlignment="1"/>
    <xf numFmtId="0" fontId="13" fillId="54" borderId="6" xfId="0" applyFont="1" applyFill="1" applyBorder="1" applyAlignment="1">
      <alignment horizontal="left" vertical="center"/>
    </xf>
    <xf numFmtId="4" fontId="13" fillId="54" borderId="28" xfId="0" applyNumberFormat="1" applyFont="1" applyFill="1" applyBorder="1" applyAlignment="1">
      <alignment horizontal="center" vertical="center"/>
    </xf>
    <xf numFmtId="0" fontId="13" fillId="54" borderId="6" xfId="0" applyFont="1" applyFill="1" applyBorder="1" applyAlignment="1">
      <alignment horizontal="center"/>
    </xf>
    <xf numFmtId="49" fontId="15" fillId="54" borderId="6" xfId="0" applyNumberFormat="1" applyFont="1" applyFill="1" applyBorder="1" applyAlignment="1">
      <alignment horizontal="center" vertical="center"/>
    </xf>
    <xf numFmtId="49" fontId="15" fillId="54" borderId="6" xfId="0" applyNumberFormat="1" applyFont="1" applyFill="1" applyBorder="1" applyAlignment="1">
      <alignment horizontal="center" vertical="center" wrapText="1"/>
    </xf>
    <xf numFmtId="49" fontId="13" fillId="54" borderId="6" xfId="0" applyNumberFormat="1" applyFont="1" applyFill="1" applyBorder="1" applyAlignment="1">
      <alignment horizontal="left" vertical="center" wrapText="1"/>
    </xf>
    <xf numFmtId="4" fontId="172" fillId="54" borderId="28" xfId="0" applyNumberFormat="1" applyFont="1" applyFill="1" applyBorder="1" applyAlignment="1">
      <alignment horizontal="center" vertical="center"/>
    </xf>
    <xf numFmtId="4" fontId="173" fillId="54" borderId="6" xfId="0" applyNumberFormat="1" applyFont="1" applyFill="1" applyBorder="1" applyAlignment="1">
      <alignment horizontal="center" vertical="center"/>
    </xf>
    <xf numFmtId="216" fontId="15" fillId="54" borderId="28" xfId="0" applyNumberFormat="1" applyFont="1" applyFill="1" applyBorder="1" applyAlignment="1"/>
    <xf numFmtId="217" fontId="15" fillId="54" borderId="6" xfId="0" applyNumberFormat="1" applyFont="1" applyFill="1" applyBorder="1" applyAlignment="1"/>
    <xf numFmtId="0" fontId="13" fillId="54" borderId="26" xfId="0" applyFont="1" applyFill="1" applyBorder="1" applyAlignment="1">
      <alignment vertical="center" wrapText="1"/>
    </xf>
    <xf numFmtId="4" fontId="15" fillId="54" borderId="0" xfId="0" applyNumberFormat="1" applyFont="1" applyFill="1" applyBorder="1" applyAlignment="1">
      <alignment horizontal="center" vertical="center" wrapText="1"/>
    </xf>
    <xf numFmtId="0" fontId="8" fillId="54" borderId="6" xfId="0" applyFont="1" applyFill="1" applyBorder="1" applyAlignment="1">
      <alignment horizontal="left" vertical="center" wrapText="1"/>
    </xf>
    <xf numFmtId="2" fontId="15" fillId="54" borderId="6" xfId="0" applyNumberFormat="1" applyFont="1" applyFill="1" applyBorder="1" applyAlignment="1">
      <alignment horizontal="center" vertical="center" wrapText="1"/>
    </xf>
    <xf numFmtId="4" fontId="13" fillId="54" borderId="26" xfId="0" applyNumberFormat="1" applyFont="1" applyFill="1" applyBorder="1" applyAlignment="1">
      <alignment horizontal="center" vertical="center"/>
    </xf>
    <xf numFmtId="4" fontId="13" fillId="54" borderId="50" xfId="0" applyNumberFormat="1" applyFont="1" applyFill="1" applyBorder="1" applyAlignment="1">
      <alignment horizontal="center" vertical="center"/>
    </xf>
    <xf numFmtId="0" fontId="13" fillId="54" borderId="50" xfId="0" applyFont="1" applyFill="1" applyBorder="1" applyAlignment="1">
      <alignment horizontal="center" vertical="center"/>
    </xf>
    <xf numFmtId="49" fontId="168" fillId="54" borderId="41" xfId="0" applyNumberFormat="1" applyFont="1" applyFill="1" applyBorder="1" applyAlignment="1">
      <alignment horizontal="center" vertical="center" wrapText="1"/>
    </xf>
    <xf numFmtId="216" fontId="13" fillId="54" borderId="6" xfId="0" applyNumberFormat="1" applyFont="1" applyFill="1" applyBorder="1" applyAlignment="1">
      <alignment horizontal="center"/>
    </xf>
    <xf numFmtId="0" fontId="167" fillId="54" borderId="6" xfId="0" applyFont="1" applyFill="1" applyBorder="1" applyAlignment="1">
      <alignment horizontal="left" vertical="center"/>
    </xf>
    <xf numFmtId="4" fontId="167" fillId="54" borderId="28" xfId="0" applyNumberFormat="1" applyFont="1" applyFill="1" applyBorder="1" applyAlignment="1">
      <alignment horizontal="center" vertical="center" wrapText="1"/>
    </xf>
    <xf numFmtId="49" fontId="168" fillId="54" borderId="6" xfId="0" applyNumberFormat="1" applyFont="1" applyFill="1" applyBorder="1" applyAlignment="1">
      <alignment horizontal="center" wrapText="1"/>
    </xf>
    <xf numFmtId="0" fontId="13" fillId="54" borderId="28" xfId="0" applyFont="1" applyFill="1" applyBorder="1" applyAlignment="1">
      <alignment horizontal="center" vertical="center"/>
    </xf>
    <xf numFmtId="0" fontId="13" fillId="54" borderId="6" xfId="0" applyFont="1" applyFill="1" applyBorder="1" applyAlignment="1">
      <alignment horizontal="left"/>
    </xf>
    <xf numFmtId="0" fontId="167" fillId="54" borderId="6" xfId="0" applyFont="1" applyFill="1" applyBorder="1" applyAlignment="1">
      <alignment horizontal="left"/>
    </xf>
    <xf numFmtId="49" fontId="167" fillId="54" borderId="28" xfId="0" applyNumberFormat="1" applyFont="1" applyFill="1" applyBorder="1" applyAlignment="1">
      <alignment horizontal="center" vertical="center" wrapText="1"/>
    </xf>
    <xf numFmtId="0" fontId="19" fillId="54" borderId="28" xfId="0" applyFont="1" applyFill="1" applyBorder="1" applyAlignment="1">
      <alignment horizontal="center" vertical="center"/>
    </xf>
    <xf numFmtId="2" fontId="19" fillId="54" borderId="28" xfId="0" applyNumberFormat="1" applyFont="1" applyFill="1" applyBorder="1" applyAlignment="1">
      <alignment horizontal="center" vertical="center"/>
    </xf>
    <xf numFmtId="0" fontId="167" fillId="54" borderId="28" xfId="0" applyFont="1" applyFill="1" applyBorder="1" applyAlignment="1">
      <alignment horizontal="center" vertical="center"/>
    </xf>
    <xf numFmtId="216" fontId="174" fillId="54" borderId="6" xfId="0" applyNumberFormat="1" applyFont="1" applyFill="1" applyBorder="1" applyAlignment="1"/>
    <xf numFmtId="1" fontId="13" fillId="54" borderId="50" xfId="0" applyNumberFormat="1" applyFont="1" applyFill="1" applyBorder="1" applyAlignment="1">
      <alignment horizontal="center" vertical="center"/>
    </xf>
    <xf numFmtId="0" fontId="13" fillId="54" borderId="6" xfId="0" applyNumberFormat="1" applyFont="1" applyFill="1" applyBorder="1" applyAlignment="1">
      <alignment horizontal="center" vertical="center" wrapText="1"/>
    </xf>
    <xf numFmtId="2" fontId="168" fillId="54" borderId="6" xfId="0" applyNumberFormat="1" applyFont="1" applyFill="1" applyBorder="1" applyAlignment="1">
      <alignment horizontal="center" vertical="center" wrapText="1"/>
    </xf>
    <xf numFmtId="4" fontId="168" fillId="54" borderId="6" xfId="0" applyNumberFormat="1" applyFont="1" applyFill="1" applyBorder="1" applyAlignment="1">
      <alignment horizontal="center" vertical="center" wrapText="1"/>
    </xf>
    <xf numFmtId="0" fontId="172" fillId="54" borderId="28" xfId="0" applyFont="1" applyFill="1" applyBorder="1" applyAlignment="1">
      <alignment horizontal="center" vertical="center"/>
    </xf>
    <xf numFmtId="3" fontId="19" fillId="54" borderId="28" xfId="0" applyNumberFormat="1" applyFont="1" applyFill="1" applyBorder="1" applyAlignment="1">
      <alignment horizontal="center" vertical="center"/>
    </xf>
    <xf numFmtId="1" fontId="19" fillId="54" borderId="50" xfId="0" applyNumberFormat="1" applyFont="1" applyFill="1" applyBorder="1" applyAlignment="1">
      <alignment horizontal="center" vertical="center"/>
    </xf>
    <xf numFmtId="49" fontId="19" fillId="54" borderId="50" xfId="0" applyNumberFormat="1" applyFont="1" applyFill="1" applyBorder="1" applyAlignment="1">
      <alignment horizontal="center" vertical="center"/>
    </xf>
    <xf numFmtId="49" fontId="13" fillId="54" borderId="26" xfId="0" applyNumberFormat="1" applyFont="1" applyFill="1" applyBorder="1" applyAlignment="1">
      <alignment horizontal="left" vertical="center" wrapText="1"/>
    </xf>
    <xf numFmtId="0" fontId="13" fillId="54" borderId="26" xfId="0" applyFont="1" applyFill="1" applyBorder="1" applyAlignment="1">
      <alignment horizontal="left" vertical="center" wrapText="1"/>
    </xf>
    <xf numFmtId="1" fontId="22" fillId="54" borderId="50" xfId="0" applyNumberFormat="1" applyFont="1" applyFill="1" applyBorder="1" applyAlignment="1">
      <alignment horizontal="center" vertical="center"/>
    </xf>
    <xf numFmtId="49" fontId="13" fillId="54" borderId="6" xfId="0" applyNumberFormat="1" applyFont="1" applyFill="1" applyBorder="1" applyAlignment="1">
      <alignment horizontal="center" vertical="center"/>
    </xf>
    <xf numFmtId="2" fontId="15" fillId="54" borderId="28" xfId="0" applyNumberFormat="1" applyFont="1" applyFill="1" applyBorder="1" applyAlignment="1">
      <alignment horizontal="center" vertical="center"/>
    </xf>
    <xf numFmtId="0" fontId="13" fillId="0" borderId="6" xfId="0" applyFont="1" applyBorder="1" applyAlignment="1">
      <alignment horizontal="left" vertical="center" wrapText="1"/>
    </xf>
    <xf numFmtId="49" fontId="168" fillId="54" borderId="6" xfId="0" applyNumberFormat="1" applyFont="1" applyFill="1" applyBorder="1" applyAlignment="1">
      <alignment horizontal="center" vertical="center"/>
    </xf>
    <xf numFmtId="0" fontId="13" fillId="54" borderId="6" xfId="0" applyFont="1" applyFill="1" applyBorder="1" applyAlignment="1">
      <alignment vertical="top" wrapText="1"/>
    </xf>
    <xf numFmtId="3" fontId="13" fillId="54" borderId="28" xfId="0" applyNumberFormat="1" applyFont="1" applyFill="1" applyBorder="1" applyAlignment="1">
      <alignment horizontal="center" vertical="center" wrapText="1"/>
    </xf>
    <xf numFmtId="0" fontId="13" fillId="54" borderId="28" xfId="0" applyFont="1" applyFill="1" applyBorder="1" applyAlignment="1">
      <alignment horizontal="center" vertical="center" wrapText="1"/>
    </xf>
    <xf numFmtId="2" fontId="19" fillId="54" borderId="6" xfId="0" applyNumberFormat="1" applyFont="1" applyFill="1" applyBorder="1" applyAlignment="1"/>
    <xf numFmtId="2" fontId="21" fillId="54" borderId="6" xfId="0" applyNumberFormat="1" applyFont="1" applyFill="1" applyBorder="1" applyAlignment="1"/>
    <xf numFmtId="216" fontId="21" fillId="54" borderId="6" xfId="0" applyNumberFormat="1" applyFont="1" applyFill="1" applyBorder="1" applyAlignment="1"/>
    <xf numFmtId="4" fontId="21" fillId="54" borderId="6" xfId="0" applyNumberFormat="1" applyFont="1" applyFill="1" applyBorder="1" applyAlignment="1">
      <alignment horizontal="center" vertical="center"/>
    </xf>
    <xf numFmtId="0" fontId="30" fillId="54" borderId="0" xfId="0" applyFont="1" applyFill="1" applyAlignment="1"/>
    <xf numFmtId="0" fontId="30" fillId="54" borderId="0" xfId="0" applyFont="1" applyFill="1" applyAlignment="1">
      <alignment horizontal="left" wrapText="1"/>
    </xf>
    <xf numFmtId="0" fontId="30" fillId="54" borderId="0" xfId="0" applyFont="1" applyFill="1" applyAlignment="1">
      <alignment horizontal="left"/>
    </xf>
    <xf numFmtId="2" fontId="30" fillId="54" borderId="0" xfId="0" applyNumberFormat="1" applyFont="1" applyFill="1" applyAlignment="1"/>
    <xf numFmtId="0" fontId="37" fillId="0" borderId="21" xfId="0" applyFont="1" applyBorder="1" applyAlignment="1">
      <alignment horizontal="right" vertical="center" wrapText="1"/>
    </xf>
    <xf numFmtId="0" fontId="37" fillId="0" borderId="0" xfId="0" applyFont="1" applyBorder="1" applyAlignment="1">
      <alignment horizontal="left" vertical="center" wrapText="1"/>
    </xf>
    <xf numFmtId="0" fontId="37" fillId="54" borderId="41" xfId="0" applyFont="1" applyFill="1" applyBorder="1" applyAlignment="1">
      <alignment horizontal="right" vertical="center" wrapText="1"/>
    </xf>
    <xf numFmtId="2" fontId="2" fillId="54" borderId="42" xfId="0" applyNumberFormat="1" applyFont="1" applyFill="1" applyBorder="1" applyAlignment="1">
      <alignment horizontal="center" vertical="center" wrapText="1"/>
    </xf>
    <xf numFmtId="4" fontId="29" fillId="54" borderId="32" xfId="928" applyNumberFormat="1" applyFont="1" applyFill="1" applyBorder="1" applyAlignment="1">
      <alignment horizontal="left" vertical="center" wrapText="1"/>
    </xf>
    <xf numFmtId="0" fontId="37" fillId="54" borderId="21" xfId="0" applyFont="1" applyFill="1" applyBorder="1" applyAlignment="1">
      <alignment horizontal="right" vertical="center" wrapText="1"/>
    </xf>
    <xf numFmtId="4" fontId="3" fillId="54" borderId="42" xfId="928" applyNumberFormat="1" applyFont="1" applyFill="1" applyBorder="1" applyAlignment="1">
      <alignment horizontal="center" vertical="center"/>
    </xf>
    <xf numFmtId="4" fontId="7" fillId="54" borderId="6" xfId="0" applyNumberFormat="1" applyFont="1" applyFill="1" applyBorder="1" applyAlignment="1">
      <alignment horizontal="right" vertical="center" wrapText="1"/>
    </xf>
    <xf numFmtId="0" fontId="47" fillId="54" borderId="6" xfId="0" applyFont="1" applyFill="1" applyBorder="1" applyAlignment="1">
      <alignment wrapText="1"/>
    </xf>
    <xf numFmtId="0" fontId="7" fillId="54" borderId="6" xfId="0" applyFont="1" applyFill="1" applyBorder="1" applyAlignment="1">
      <alignment wrapText="1"/>
    </xf>
    <xf numFmtId="0" fontId="0" fillId="0" borderId="0" xfId="0" applyFill="1"/>
    <xf numFmtId="4" fontId="7" fillId="54" borderId="6" xfId="0" applyNumberFormat="1" applyFont="1" applyFill="1" applyBorder="1" applyAlignment="1">
      <alignment horizontal="center" vertical="center"/>
    </xf>
    <xf numFmtId="0" fontId="16" fillId="54" borderId="17" xfId="0" applyFont="1" applyFill="1" applyBorder="1" applyAlignment="1">
      <alignment horizontal="left" wrapText="1"/>
    </xf>
    <xf numFmtId="49" fontId="178" fillId="0" borderId="6" xfId="0" applyNumberFormat="1" applyFont="1" applyBorder="1" applyAlignment="1">
      <alignment horizontal="center" vertical="center"/>
    </xf>
    <xf numFmtId="4" fontId="7" fillId="54" borderId="26" xfId="0" applyNumberFormat="1" applyFont="1" applyFill="1" applyBorder="1" applyAlignment="1">
      <alignment horizontal="center" vertical="center"/>
    </xf>
    <xf numFmtId="0" fontId="6" fillId="0" borderId="0" xfId="0" applyFont="1" applyAlignment="1">
      <alignment horizontal="center" wrapText="1"/>
    </xf>
    <xf numFmtId="0" fontId="9" fillId="0" borderId="0" xfId="0" applyFont="1" applyAlignment="1">
      <alignment wrapText="1"/>
    </xf>
    <xf numFmtId="0" fontId="30" fillId="0" borderId="0" xfId="0" applyFont="1" applyAlignment="1">
      <alignment wrapText="1"/>
    </xf>
    <xf numFmtId="0" fontId="0" fillId="0" borderId="0" xfId="0" applyBorder="1"/>
    <xf numFmtId="0" fontId="24" fillId="0" borderId="0" xfId="0" applyFont="1" applyAlignment="1">
      <alignment wrapText="1"/>
    </xf>
    <xf numFmtId="0" fontId="9" fillId="0" borderId="0" xfId="0" applyFont="1" applyAlignment="1">
      <alignment vertical="top" wrapText="1"/>
    </xf>
    <xf numFmtId="49" fontId="30" fillId="54" borderId="6" xfId="0" applyNumberFormat="1" applyFont="1" applyFill="1" applyBorder="1" applyAlignment="1">
      <alignment horizontal="center" vertical="center" wrapText="1"/>
    </xf>
    <xf numFmtId="49" fontId="179" fillId="54" borderId="6" xfId="0" applyNumberFormat="1" applyFont="1" applyFill="1" applyBorder="1" applyAlignment="1">
      <alignment horizontal="center" vertical="center" wrapText="1"/>
    </xf>
    <xf numFmtId="4" fontId="179" fillId="55" borderId="6" xfId="0" applyNumberFormat="1" applyFont="1" applyFill="1" applyBorder="1" applyAlignment="1">
      <alignment horizontal="center" vertical="center"/>
    </xf>
    <xf numFmtId="49" fontId="180" fillId="54" borderId="6" xfId="0" applyNumberFormat="1" applyFont="1" applyFill="1" applyBorder="1" applyAlignment="1">
      <alignment horizontal="center" vertical="center"/>
    </xf>
    <xf numFmtId="0" fontId="30" fillId="54" borderId="6" xfId="0" applyFont="1" applyFill="1" applyBorder="1" applyAlignment="1">
      <alignment horizontal="center" vertical="center" textRotation="90" wrapText="1"/>
    </xf>
    <xf numFmtId="0" fontId="9" fillId="0" borderId="0" xfId="0" applyFont="1" applyBorder="1"/>
    <xf numFmtId="4" fontId="9" fillId="0" borderId="0" xfId="0" applyNumberFormat="1" applyFont="1" applyBorder="1" applyAlignment="1">
      <alignment horizontal="center"/>
    </xf>
    <xf numFmtId="0" fontId="19" fillId="54" borderId="0" xfId="0" applyFont="1" applyFill="1" applyBorder="1" applyAlignment="1">
      <alignment horizontal="left" vertical="center" wrapText="1"/>
    </xf>
    <xf numFmtId="4" fontId="28" fillId="57" borderId="42" xfId="928" applyNumberFormat="1" applyFont="1" applyFill="1" applyBorder="1" applyAlignment="1">
      <alignment horizontal="center" vertical="center" wrapText="1"/>
    </xf>
    <xf numFmtId="0" fontId="19" fillId="54" borderId="0" xfId="0" applyFont="1" applyFill="1" applyBorder="1" applyAlignment="1">
      <alignment horizontal="left" vertical="center"/>
    </xf>
    <xf numFmtId="2" fontId="19" fillId="54" borderId="0" xfId="0" applyNumberFormat="1" applyFont="1" applyFill="1" applyBorder="1" applyAlignment="1">
      <alignment horizontal="center" vertical="center"/>
    </xf>
    <xf numFmtId="4" fontId="19" fillId="54" borderId="0"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wrapText="1"/>
    </xf>
    <xf numFmtId="0" fontId="9" fillId="0" borderId="0" xfId="0" applyFont="1" applyAlignment="1">
      <alignment horizontal="left" vertical="center" wrapText="1"/>
    </xf>
    <xf numFmtId="4" fontId="29" fillId="0" borderId="6" xfId="927" applyNumberFormat="1" applyFont="1" applyFill="1" applyBorder="1" applyAlignment="1">
      <alignment horizontal="center" vertical="center"/>
    </xf>
    <xf numFmtId="0" fontId="29" fillId="54" borderId="16" xfId="929" applyFont="1" applyFill="1" applyBorder="1" applyAlignment="1">
      <alignment vertical="center" wrapText="1"/>
    </xf>
    <xf numFmtId="0" fontId="29" fillId="54" borderId="27" xfId="929" applyFont="1" applyFill="1" applyBorder="1" applyAlignment="1">
      <alignment vertical="center" wrapText="1"/>
    </xf>
    <xf numFmtId="0" fontId="29" fillId="54" borderId="0" xfId="929" applyFont="1" applyFill="1" applyBorder="1" applyAlignment="1">
      <alignment vertical="center" wrapText="1"/>
    </xf>
    <xf numFmtId="0" fontId="29" fillId="54" borderId="38" xfId="929" applyFont="1" applyFill="1" applyBorder="1" applyAlignment="1">
      <alignment vertical="center" wrapText="1"/>
    </xf>
    <xf numFmtId="0" fontId="29" fillId="54" borderId="17" xfId="929" applyFont="1" applyFill="1" applyBorder="1" applyAlignment="1">
      <alignment vertical="center" wrapText="1"/>
    </xf>
    <xf numFmtId="0" fontId="29" fillId="54" borderId="21" xfId="929" applyFont="1" applyFill="1" applyBorder="1" applyAlignment="1">
      <alignment horizontal="center" vertical="center" wrapText="1"/>
    </xf>
    <xf numFmtId="0" fontId="29" fillId="54" borderId="51" xfId="929" applyFont="1" applyFill="1" applyBorder="1" applyAlignment="1">
      <alignment vertical="center" wrapText="1"/>
    </xf>
    <xf numFmtId="49" fontId="36" fillId="54" borderId="6" xfId="0" applyNumberFormat="1" applyFont="1" applyFill="1" applyBorder="1" applyAlignment="1">
      <alignment horizontal="center" vertical="center"/>
    </xf>
    <xf numFmtId="49" fontId="29" fillId="54" borderId="41" xfId="0" applyNumberFormat="1" applyFont="1" applyFill="1" applyBorder="1" applyAlignment="1">
      <alignment horizontal="right" vertical="center" wrapText="1"/>
    </xf>
    <xf numFmtId="49" fontId="29" fillId="54" borderId="16" xfId="0" applyNumberFormat="1" applyFont="1" applyFill="1" applyBorder="1" applyAlignment="1">
      <alignment horizontal="left" vertical="center" wrapText="1"/>
    </xf>
    <xf numFmtId="0" fontId="32" fillId="54" borderId="16" xfId="0" applyFont="1" applyFill="1" applyBorder="1" applyAlignment="1">
      <alignment horizontal="justify" wrapText="1"/>
    </xf>
    <xf numFmtId="0" fontId="16" fillId="54" borderId="51" xfId="0" applyFont="1" applyFill="1" applyBorder="1" applyAlignment="1">
      <alignment horizontal="left" wrapText="1"/>
    </xf>
    <xf numFmtId="4" fontId="35" fillId="54" borderId="30" xfId="0" applyNumberFormat="1" applyFont="1" applyFill="1" applyBorder="1" applyAlignment="1">
      <alignment horizontal="center" vertical="center"/>
    </xf>
    <xf numFmtId="0" fontId="37" fillId="54" borderId="16" xfId="0" applyFont="1" applyFill="1" applyBorder="1" applyAlignment="1">
      <alignment horizontal="left" vertical="center" wrapText="1"/>
    </xf>
    <xf numFmtId="0" fontId="37" fillId="55" borderId="16" xfId="0" applyFont="1" applyFill="1" applyBorder="1" applyAlignment="1">
      <alignment horizontal="right" vertical="center" wrapText="1"/>
    </xf>
    <xf numFmtId="0" fontId="37" fillId="55" borderId="16" xfId="0" applyFont="1" applyFill="1" applyBorder="1" applyAlignment="1">
      <alignment horizontal="left" vertical="center" wrapText="1"/>
    </xf>
    <xf numFmtId="0" fontId="37" fillId="55" borderId="51" xfId="0" applyFont="1" applyFill="1" applyBorder="1" applyAlignment="1">
      <alignment vertical="center" wrapText="1"/>
    </xf>
    <xf numFmtId="0" fontId="37" fillId="0" borderId="41" xfId="0" applyFont="1" applyBorder="1" applyAlignment="1">
      <alignment horizontal="right" vertical="center" wrapText="1"/>
    </xf>
    <xf numFmtId="0" fontId="37" fillId="0" borderId="16" xfId="0" applyFont="1" applyBorder="1" applyAlignment="1">
      <alignment horizontal="left" vertical="center" wrapText="1"/>
    </xf>
    <xf numFmtId="4" fontId="35" fillId="56" borderId="31" xfId="930" applyNumberFormat="1" applyFont="1" applyFill="1" applyBorder="1" applyAlignment="1">
      <alignment horizontal="center" vertical="center" wrapText="1"/>
    </xf>
    <xf numFmtId="49" fontId="37" fillId="54" borderId="42" xfId="0" applyNumberFormat="1" applyFont="1" applyFill="1" applyBorder="1" applyAlignment="1">
      <alignment horizontal="center" vertical="center" wrapText="1"/>
    </xf>
    <xf numFmtId="4" fontId="35" fillId="56" borderId="32" xfId="930" applyNumberFormat="1" applyFont="1" applyFill="1" applyBorder="1" applyAlignment="1">
      <alignment horizontal="center" vertical="center" wrapText="1"/>
    </xf>
    <xf numFmtId="4" fontId="35" fillId="56" borderId="33" xfId="930" applyNumberFormat="1" applyFont="1" applyFill="1" applyBorder="1" applyAlignment="1">
      <alignment horizontal="center" vertical="center" wrapText="1"/>
    </xf>
    <xf numFmtId="4" fontId="37" fillId="55" borderId="32" xfId="0" applyNumberFormat="1" applyFont="1" applyFill="1" applyBorder="1" applyAlignment="1">
      <alignment horizontal="center" vertical="center"/>
    </xf>
    <xf numFmtId="49" fontId="29" fillId="54" borderId="26" xfId="1628" applyNumberFormat="1" applyFont="1" applyFill="1" applyBorder="1" applyAlignment="1" applyProtection="1">
      <alignment horizontal="center" vertical="center"/>
    </xf>
    <xf numFmtId="4" fontId="36" fillId="54" borderId="32" xfId="930" applyNumberFormat="1" applyFont="1" applyFill="1" applyBorder="1" applyAlignment="1">
      <alignment horizontal="center" vertical="center"/>
    </xf>
    <xf numFmtId="4" fontId="35" fillId="56" borderId="35" xfId="930" applyNumberFormat="1" applyFont="1" applyFill="1" applyBorder="1" applyAlignment="1">
      <alignment horizontal="center" vertical="center" wrapText="1"/>
    </xf>
    <xf numFmtId="4" fontId="37" fillId="54" borderId="32" xfId="930" applyNumberFormat="1" applyFont="1" applyFill="1" applyBorder="1" applyAlignment="1">
      <alignment horizontal="center" vertical="center"/>
    </xf>
    <xf numFmtId="49" fontId="36" fillId="54" borderId="42" xfId="930" applyNumberFormat="1" applyFont="1" applyFill="1" applyBorder="1" applyAlignment="1">
      <alignment horizontal="center" vertical="center"/>
    </xf>
    <xf numFmtId="4" fontId="35" fillId="54" borderId="32" xfId="0" applyNumberFormat="1" applyFont="1" applyFill="1" applyBorder="1" applyAlignment="1">
      <alignment horizontal="center" vertical="center"/>
    </xf>
    <xf numFmtId="2" fontId="29" fillId="0" borderId="26" xfId="1628" applyNumberFormat="1" applyFont="1" applyFill="1" applyBorder="1" applyAlignment="1">
      <alignment horizontal="center" vertical="center" wrapText="1"/>
    </xf>
    <xf numFmtId="0" fontId="7" fillId="0" borderId="29" xfId="0" applyFont="1" applyBorder="1" applyAlignment="1">
      <alignment vertical="center" wrapText="1"/>
    </xf>
    <xf numFmtId="0" fontId="37" fillId="54" borderId="0" xfId="0" applyFont="1" applyFill="1" applyBorder="1" applyAlignment="1">
      <alignment horizontal="right" vertical="center" wrapText="1"/>
    </xf>
    <xf numFmtId="0" fontId="37" fillId="54" borderId="16" xfId="0" applyFont="1" applyFill="1" applyBorder="1" applyAlignment="1">
      <alignment horizontal="right" vertical="center" wrapText="1"/>
    </xf>
    <xf numFmtId="4" fontId="29" fillId="56" borderId="35" xfId="930" applyNumberFormat="1" applyFont="1" applyFill="1" applyBorder="1" applyAlignment="1">
      <alignment horizontal="right" vertical="center" wrapText="1"/>
    </xf>
    <xf numFmtId="14" fontId="41" fillId="54" borderId="29" xfId="0" applyNumberFormat="1" applyFont="1" applyFill="1" applyBorder="1" applyAlignment="1">
      <alignment horizontal="center" vertical="center" wrapText="1"/>
    </xf>
    <xf numFmtId="4" fontId="41" fillId="0" borderId="6" xfId="0" applyNumberFormat="1" applyFont="1" applyFill="1" applyBorder="1" applyAlignment="1">
      <alignment horizontal="center"/>
    </xf>
    <xf numFmtId="49" fontId="182" fillId="54" borderId="6" xfId="929" applyNumberFormat="1" applyFont="1" applyFill="1" applyBorder="1" applyAlignment="1">
      <alignment horizontal="center" vertical="center" wrapText="1"/>
    </xf>
    <xf numFmtId="14" fontId="182" fillId="54" borderId="6" xfId="0" applyNumberFormat="1" applyFont="1" applyFill="1" applyBorder="1" applyAlignment="1">
      <alignment horizontal="center" vertical="center"/>
    </xf>
    <xf numFmtId="14" fontId="178" fillId="54" borderId="6" xfId="0" applyNumberFormat="1" applyFont="1" applyFill="1" applyBorder="1" applyAlignment="1">
      <alignment horizontal="center" vertical="center"/>
    </xf>
    <xf numFmtId="4" fontId="41" fillId="0" borderId="6" xfId="927" applyNumberFormat="1" applyFont="1" applyFill="1" applyBorder="1" applyAlignment="1">
      <alignment horizontal="center" vertical="center"/>
    </xf>
    <xf numFmtId="0" fontId="177" fillId="0" borderId="0" xfId="0" applyFont="1"/>
    <xf numFmtId="0" fontId="32" fillId="54" borderId="6" xfId="0" applyFont="1" applyFill="1" applyBorder="1" applyAlignment="1">
      <alignment horizontal="center" vertical="center" wrapText="1"/>
    </xf>
    <xf numFmtId="0" fontId="32" fillId="54" borderId="29" xfId="0" applyFont="1" applyFill="1" applyBorder="1" applyAlignment="1">
      <alignment horizontal="center" vertical="center" wrapText="1"/>
    </xf>
    <xf numFmtId="0" fontId="48" fillId="54" borderId="29" xfId="0" applyFont="1" applyFill="1" applyBorder="1" applyAlignment="1">
      <alignment horizontal="center" vertical="center" wrapText="1"/>
    </xf>
    <xf numFmtId="49" fontId="32" fillId="54" borderId="29" xfId="0" applyNumberFormat="1" applyFont="1" applyFill="1" applyBorder="1" applyAlignment="1">
      <alignment horizontal="center" vertical="center" textRotation="90" wrapText="1"/>
    </xf>
    <xf numFmtId="49" fontId="32" fillId="54" borderId="29" xfId="0" applyNumberFormat="1" applyFont="1" applyFill="1" applyBorder="1" applyAlignment="1">
      <alignment horizontal="center" vertical="center" wrapText="1"/>
    </xf>
    <xf numFmtId="4" fontId="12" fillId="54" borderId="6" xfId="0" applyNumberFormat="1" applyFont="1" applyFill="1" applyBorder="1" applyAlignment="1">
      <alignment horizontal="center" vertical="center"/>
    </xf>
    <xf numFmtId="0" fontId="48" fillId="54" borderId="6" xfId="0" applyFont="1" applyFill="1" applyBorder="1" applyAlignment="1">
      <alignment horizontal="center" vertical="center" wrapText="1"/>
    </xf>
    <xf numFmtId="216" fontId="48" fillId="54" borderId="6" xfId="0" applyNumberFormat="1" applyFont="1" applyFill="1" applyBorder="1" applyAlignment="1">
      <alignment horizontal="center" vertical="center" wrapText="1"/>
    </xf>
    <xf numFmtId="49" fontId="48" fillId="54" borderId="29" xfId="0" applyNumberFormat="1" applyFont="1" applyFill="1" applyBorder="1" applyAlignment="1">
      <alignment horizontal="center" vertical="center" wrapText="1"/>
    </xf>
    <xf numFmtId="49" fontId="0" fillId="54" borderId="6" xfId="0" applyNumberFormat="1" applyFont="1" applyFill="1" applyBorder="1" applyAlignment="1">
      <alignment horizontal="center" vertical="center"/>
    </xf>
    <xf numFmtId="4" fontId="21" fillId="54" borderId="28" xfId="0" applyNumberFormat="1" applyFont="1" applyFill="1" applyBorder="1" applyAlignment="1">
      <alignment horizontal="center" vertical="center" wrapText="1"/>
    </xf>
    <xf numFmtId="49" fontId="15" fillId="54" borderId="16" xfId="0" applyNumberFormat="1" applyFont="1" applyFill="1" applyBorder="1" applyAlignment="1">
      <alignment horizontal="left" vertical="center" wrapText="1"/>
    </xf>
    <xf numFmtId="0" fontId="11" fillId="54" borderId="51" xfId="0" applyFont="1" applyFill="1" applyBorder="1" applyAlignment="1">
      <alignment horizontal="left" vertical="center" wrapText="1"/>
    </xf>
    <xf numFmtId="0" fontId="15" fillId="54" borderId="6" xfId="0" applyFont="1" applyFill="1" applyBorder="1" applyAlignment="1">
      <alignment horizontal="center"/>
    </xf>
    <xf numFmtId="0" fontId="15" fillId="54" borderId="6" xfId="0" applyFont="1" applyFill="1" applyBorder="1" applyAlignment="1">
      <alignment horizontal="center" vertical="center" wrapText="1"/>
    </xf>
    <xf numFmtId="0" fontId="15" fillId="54" borderId="6" xfId="0" applyFont="1" applyFill="1" applyBorder="1" applyAlignment="1">
      <alignment vertical="center" wrapText="1"/>
    </xf>
    <xf numFmtId="4" fontId="15" fillId="54" borderId="28" xfId="0" applyNumberFormat="1" applyFont="1" applyFill="1" applyBorder="1" applyAlignment="1">
      <alignment horizontal="center" vertical="center"/>
    </xf>
    <xf numFmtId="49" fontId="11" fillId="54" borderId="6" xfId="0" applyNumberFormat="1" applyFont="1" applyFill="1" applyBorder="1" applyAlignment="1">
      <alignment horizontal="center" vertical="center" wrapText="1"/>
    </xf>
    <xf numFmtId="2" fontId="11" fillId="54" borderId="6" xfId="0" applyNumberFormat="1" applyFont="1" applyFill="1" applyBorder="1" applyAlignment="1">
      <alignment horizontal="center" vertical="center"/>
    </xf>
    <xf numFmtId="4" fontId="12" fillId="54" borderId="26" xfId="0" applyNumberFormat="1" applyFont="1" applyFill="1" applyBorder="1" applyAlignment="1">
      <alignment horizontal="center" vertical="center"/>
    </xf>
    <xf numFmtId="0" fontId="15" fillId="54" borderId="6" xfId="0" applyFont="1" applyFill="1" applyBorder="1" applyAlignment="1">
      <alignment horizontal="center" vertical="center"/>
    </xf>
    <xf numFmtId="4" fontId="15" fillId="54" borderId="6" xfId="0" applyNumberFormat="1" applyFont="1" applyFill="1" applyBorder="1" applyAlignment="1">
      <alignment vertical="center"/>
    </xf>
    <xf numFmtId="2" fontId="15" fillId="54" borderId="6" xfId="0" applyNumberFormat="1" applyFont="1" applyFill="1" applyBorder="1" applyAlignment="1">
      <alignment vertical="center" wrapText="1"/>
    </xf>
    <xf numFmtId="0" fontId="15" fillId="54" borderId="6" xfId="0" applyFont="1" applyFill="1" applyBorder="1" applyAlignment="1">
      <alignment vertical="center"/>
    </xf>
    <xf numFmtId="4" fontId="183" fillId="54" borderId="6" xfId="0" applyNumberFormat="1" applyFont="1" applyFill="1" applyBorder="1" applyAlignment="1">
      <alignment horizontal="center" vertical="center"/>
    </xf>
    <xf numFmtId="2" fontId="12" fillId="54" borderId="6" xfId="0" applyNumberFormat="1" applyFont="1" applyFill="1" applyBorder="1" applyAlignment="1">
      <alignment horizontal="center" vertical="center"/>
    </xf>
    <xf numFmtId="0" fontId="12" fillId="54" borderId="6" xfId="0" applyFont="1" applyFill="1" applyBorder="1" applyAlignment="1">
      <alignment horizontal="center" vertical="center"/>
    </xf>
    <xf numFmtId="4" fontId="11" fillId="54" borderId="6" xfId="0" applyNumberFormat="1" applyFont="1" applyFill="1" applyBorder="1" applyAlignment="1">
      <alignment horizontal="center" vertical="center"/>
    </xf>
    <xf numFmtId="0" fontId="0" fillId="54" borderId="6" xfId="0" applyFont="1" applyFill="1" applyBorder="1" applyAlignment="1">
      <alignment horizontal="center" vertical="center"/>
    </xf>
    <xf numFmtId="0" fontId="0" fillId="54" borderId="0" xfId="0" applyFont="1" applyFill="1" applyAlignment="1">
      <alignment vertical="center"/>
    </xf>
    <xf numFmtId="4" fontId="184" fillId="54" borderId="0" xfId="0" applyNumberFormat="1" applyFont="1" applyFill="1" applyBorder="1" applyAlignment="1">
      <alignment horizontal="center" vertical="center"/>
    </xf>
    <xf numFmtId="0" fontId="15" fillId="54" borderId="0" xfId="0" applyFont="1" applyFill="1" applyAlignment="1">
      <alignment vertical="center"/>
    </xf>
    <xf numFmtId="49" fontId="0" fillId="54" borderId="0" xfId="0" applyNumberFormat="1" applyFont="1" applyFill="1" applyAlignment="1">
      <alignment vertical="center"/>
    </xf>
    <xf numFmtId="2" fontId="15" fillId="54" borderId="0" xfId="0" applyNumberFormat="1" applyFont="1" applyFill="1" applyAlignment="1">
      <alignment vertical="center"/>
    </xf>
    <xf numFmtId="0" fontId="32" fillId="54" borderId="26" xfId="0" applyFont="1" applyFill="1" applyBorder="1" applyAlignment="1">
      <alignment horizontal="center" vertical="center" wrapText="1"/>
    </xf>
    <xf numFmtId="2" fontId="15" fillId="54" borderId="26" xfId="0" applyNumberFormat="1" applyFont="1" applyFill="1" applyBorder="1" applyAlignment="1">
      <alignment horizontal="center" vertical="center"/>
    </xf>
    <xf numFmtId="0" fontId="11" fillId="54" borderId="6" xfId="0" applyFont="1" applyFill="1" applyBorder="1" applyAlignment="1">
      <alignment horizontal="left" vertical="center" wrapText="1"/>
    </xf>
    <xf numFmtId="0" fontId="15" fillId="54" borderId="29" xfId="0" applyFont="1" applyFill="1" applyBorder="1" applyAlignment="1">
      <alignment horizontal="center" vertical="center" wrapText="1"/>
    </xf>
    <xf numFmtId="216" fontId="15" fillId="54" borderId="29" xfId="0" applyNumberFormat="1" applyFont="1" applyFill="1" applyBorder="1" applyAlignment="1">
      <alignment horizontal="center" vertical="center" wrapText="1"/>
    </xf>
    <xf numFmtId="49" fontId="0" fillId="54" borderId="6" xfId="0" applyNumberFormat="1" applyFill="1" applyBorder="1" applyAlignment="1">
      <alignment horizontal="center" vertical="center"/>
    </xf>
    <xf numFmtId="0" fontId="0" fillId="54" borderId="29" xfId="0" applyFont="1" applyFill="1" applyBorder="1" applyAlignment="1">
      <alignment horizontal="center" vertical="center"/>
    </xf>
    <xf numFmtId="4" fontId="183" fillId="54" borderId="49" xfId="0" applyNumberFormat="1" applyFont="1" applyFill="1" applyBorder="1" applyAlignment="1">
      <alignment horizontal="center" vertical="center"/>
    </xf>
    <xf numFmtId="0" fontId="0" fillId="54" borderId="6" xfId="0" applyFont="1" applyFill="1" applyBorder="1" applyAlignment="1">
      <alignment vertical="center"/>
    </xf>
    <xf numFmtId="49" fontId="15" fillId="54" borderId="41" xfId="0" applyNumberFormat="1" applyFont="1" applyFill="1" applyBorder="1" applyAlignment="1">
      <alignment horizontal="right" vertical="center" wrapText="1"/>
    </xf>
    <xf numFmtId="0" fontId="15" fillId="54" borderId="51" xfId="0" applyFont="1" applyFill="1" applyBorder="1" applyAlignment="1">
      <alignment horizontal="justify" vertical="center"/>
    </xf>
    <xf numFmtId="216" fontId="15" fillId="54" borderId="6" xfId="0" applyNumberFormat="1" applyFont="1" applyFill="1" applyBorder="1" applyAlignment="1">
      <alignment vertical="center"/>
    </xf>
    <xf numFmtId="0" fontId="15" fillId="54" borderId="51" xfId="0" applyFont="1" applyFill="1" applyBorder="1" applyAlignment="1">
      <alignment horizontal="justify" vertical="center" wrapText="1"/>
    </xf>
    <xf numFmtId="0" fontId="15" fillId="54" borderId="17" xfId="0" applyFont="1" applyFill="1" applyBorder="1" applyAlignment="1">
      <alignment horizontal="justify" vertical="center" wrapText="1"/>
    </xf>
    <xf numFmtId="0" fontId="15" fillId="54" borderId="16" xfId="0" applyFont="1" applyFill="1" applyBorder="1" applyAlignment="1">
      <alignment horizontal="justify" vertical="center" wrapText="1"/>
    </xf>
    <xf numFmtId="49" fontId="15" fillId="54" borderId="26" xfId="0" applyNumberFormat="1" applyFont="1" applyFill="1" applyBorder="1" applyAlignment="1">
      <alignment horizontal="center" vertical="center" wrapText="1"/>
    </xf>
    <xf numFmtId="49" fontId="15" fillId="54" borderId="29" xfId="0" applyNumberFormat="1" applyFont="1" applyFill="1" applyBorder="1" applyAlignment="1">
      <alignment horizontal="center" vertical="center" wrapText="1"/>
    </xf>
    <xf numFmtId="216" fontId="15" fillId="54" borderId="28" xfId="0" applyNumberFormat="1" applyFont="1" applyFill="1" applyBorder="1" applyAlignment="1">
      <alignment vertical="center"/>
    </xf>
    <xf numFmtId="217" fontId="15" fillId="54" borderId="6" xfId="0" applyNumberFormat="1" applyFont="1" applyFill="1" applyBorder="1" applyAlignment="1">
      <alignment vertical="center"/>
    </xf>
    <xf numFmtId="49" fontId="32" fillId="54" borderId="41" xfId="0" applyNumberFormat="1" applyFont="1" applyFill="1" applyBorder="1" applyAlignment="1">
      <alignment horizontal="right" vertical="center" wrapText="1"/>
    </xf>
    <xf numFmtId="49" fontId="32" fillId="54" borderId="16" xfId="0" applyNumberFormat="1" applyFont="1" applyFill="1" applyBorder="1" applyAlignment="1">
      <alignment horizontal="left" vertical="center" wrapText="1"/>
    </xf>
    <xf numFmtId="0" fontId="32" fillId="54" borderId="51" xfId="0" applyFont="1" applyFill="1" applyBorder="1" applyAlignment="1">
      <alignment horizontal="justify" vertical="center"/>
    </xf>
    <xf numFmtId="49" fontId="15" fillId="54" borderId="41" xfId="0" applyNumberFormat="1" applyFont="1" applyFill="1" applyBorder="1" applyAlignment="1">
      <alignment horizontal="center" vertical="center" wrapText="1"/>
    </xf>
    <xf numFmtId="49" fontId="15" fillId="54" borderId="16" xfId="0" applyNumberFormat="1" applyFont="1" applyFill="1" applyBorder="1" applyAlignment="1">
      <alignment horizontal="center" vertical="center" wrapText="1"/>
    </xf>
    <xf numFmtId="49" fontId="15" fillId="54" borderId="21" xfId="0" applyNumberFormat="1" applyFont="1" applyFill="1" applyBorder="1" applyAlignment="1">
      <alignment horizontal="right" vertical="center" wrapText="1"/>
    </xf>
    <xf numFmtId="49" fontId="15" fillId="54" borderId="0" xfId="0" applyNumberFormat="1" applyFont="1" applyFill="1" applyBorder="1" applyAlignment="1">
      <alignment horizontal="left" vertical="center" wrapText="1"/>
    </xf>
    <xf numFmtId="0" fontId="11" fillId="54" borderId="17" xfId="0" applyFont="1" applyFill="1" applyBorder="1" applyAlignment="1">
      <alignment horizontal="left" vertical="center" wrapText="1"/>
    </xf>
    <xf numFmtId="2" fontId="15" fillId="54" borderId="6" xfId="0" applyNumberFormat="1" applyFont="1" applyFill="1" applyBorder="1" applyAlignment="1">
      <alignment vertical="center"/>
    </xf>
    <xf numFmtId="2" fontId="21" fillId="54" borderId="6" xfId="0" applyNumberFormat="1" applyFont="1" applyFill="1" applyBorder="1" applyAlignment="1">
      <alignment vertical="center"/>
    </xf>
    <xf numFmtId="0" fontId="15" fillId="54" borderId="48" xfId="0" applyFont="1" applyFill="1" applyBorder="1" applyAlignment="1">
      <alignment horizontal="center" vertical="center"/>
    </xf>
    <xf numFmtId="0" fontId="0" fillId="54" borderId="17" xfId="0" applyFill="1" applyBorder="1" applyAlignment="1">
      <alignment horizontal="left" vertical="center"/>
    </xf>
    <xf numFmtId="0" fontId="15" fillId="54" borderId="28" xfId="0" applyFont="1" applyFill="1" applyBorder="1" applyAlignment="1">
      <alignment vertical="center"/>
    </xf>
    <xf numFmtId="49" fontId="15" fillId="54" borderId="41" xfId="0" applyNumberFormat="1" applyFont="1" applyFill="1" applyBorder="1" applyAlignment="1">
      <alignment horizontal="left" vertical="center"/>
    </xf>
    <xf numFmtId="49" fontId="15" fillId="54" borderId="16" xfId="0" applyNumberFormat="1" applyFont="1" applyFill="1" applyBorder="1" applyAlignment="1">
      <alignment horizontal="left" vertical="center"/>
    </xf>
    <xf numFmtId="0" fontId="11" fillId="54" borderId="51" xfId="0" applyFont="1" applyFill="1" applyBorder="1" applyAlignment="1">
      <alignment horizontal="left" vertical="center"/>
    </xf>
    <xf numFmtId="49" fontId="11" fillId="54" borderId="41" xfId="0" applyNumberFormat="1" applyFont="1" applyFill="1" applyBorder="1" applyAlignment="1">
      <alignment horizontal="center" vertical="center"/>
    </xf>
    <xf numFmtId="2" fontId="11" fillId="54" borderId="16" xfId="0" applyNumberFormat="1" applyFont="1" applyFill="1" applyBorder="1" applyAlignment="1">
      <alignment horizontal="center" vertical="center" wrapText="1"/>
    </xf>
    <xf numFmtId="0" fontId="0" fillId="54" borderId="6" xfId="0" applyFill="1" applyBorder="1" applyAlignment="1">
      <alignment horizontal="center" vertical="center"/>
    </xf>
    <xf numFmtId="49" fontId="11" fillId="54" borderId="51" xfId="0" applyNumberFormat="1" applyFont="1" applyFill="1" applyBorder="1" applyAlignment="1">
      <alignment horizontal="center" vertical="center"/>
    </xf>
    <xf numFmtId="3" fontId="21" fillId="54" borderId="6" xfId="0" applyNumberFormat="1" applyFont="1" applyFill="1" applyBorder="1" applyAlignment="1">
      <alignment horizontal="center" vertical="center"/>
    </xf>
    <xf numFmtId="207" fontId="15" fillId="54" borderId="6" xfId="0" applyNumberFormat="1" applyFont="1" applyFill="1" applyBorder="1" applyAlignment="1">
      <alignment vertical="center"/>
    </xf>
    <xf numFmtId="49" fontId="32" fillId="54" borderId="6" xfId="0" applyNumberFormat="1" applyFont="1" applyFill="1" applyBorder="1" applyAlignment="1">
      <alignment horizontal="center" vertical="center" wrapText="1"/>
    </xf>
    <xf numFmtId="2" fontId="32" fillId="54" borderId="6" xfId="0" applyNumberFormat="1" applyFont="1" applyFill="1" applyBorder="1" applyAlignment="1">
      <alignment horizontal="center" vertical="center"/>
    </xf>
    <xf numFmtId="49" fontId="15" fillId="54" borderId="28" xfId="0" applyNumberFormat="1" applyFont="1" applyFill="1" applyBorder="1" applyAlignment="1">
      <alignment horizontal="center" vertical="center" wrapText="1"/>
    </xf>
    <xf numFmtId="216" fontId="21" fillId="54" borderId="6" xfId="0" applyNumberFormat="1" applyFont="1" applyFill="1" applyBorder="1" applyAlignment="1">
      <alignment horizontal="center" vertical="center"/>
    </xf>
    <xf numFmtId="2" fontId="15" fillId="54" borderId="48" xfId="0" applyNumberFormat="1" applyFont="1" applyFill="1" applyBorder="1" applyAlignment="1">
      <alignment horizontal="center" vertical="center"/>
    </xf>
    <xf numFmtId="2" fontId="21" fillId="54" borderId="28" xfId="0" applyNumberFormat="1" applyFont="1" applyFill="1" applyBorder="1" applyAlignment="1">
      <alignment horizontal="center" vertical="center"/>
    </xf>
    <xf numFmtId="216" fontId="174" fillId="54" borderId="6" xfId="0" applyNumberFormat="1" applyFont="1" applyFill="1" applyBorder="1" applyAlignment="1">
      <alignment vertical="center"/>
    </xf>
    <xf numFmtId="3" fontId="21" fillId="54" borderId="28" xfId="0" applyNumberFormat="1" applyFont="1" applyFill="1" applyBorder="1" applyAlignment="1">
      <alignment horizontal="center" vertical="center"/>
    </xf>
    <xf numFmtId="0" fontId="15" fillId="54" borderId="50" xfId="0" applyFont="1" applyFill="1" applyBorder="1" applyAlignment="1">
      <alignment horizontal="center" vertical="center"/>
    </xf>
    <xf numFmtId="0" fontId="15" fillId="54" borderId="50" xfId="0" applyFont="1" applyFill="1" applyBorder="1" applyAlignment="1">
      <alignment vertical="center"/>
    </xf>
    <xf numFmtId="216" fontId="15" fillId="54" borderId="50" xfId="0" applyNumberFormat="1" applyFont="1" applyFill="1" applyBorder="1" applyAlignment="1">
      <alignment vertical="center"/>
    </xf>
    <xf numFmtId="4" fontId="15" fillId="54" borderId="50" xfId="0" applyNumberFormat="1" applyFont="1" applyFill="1" applyBorder="1" applyAlignment="1">
      <alignment horizontal="center" vertical="center"/>
    </xf>
    <xf numFmtId="2" fontId="21" fillId="54" borderId="50" xfId="0" applyNumberFormat="1" applyFont="1" applyFill="1" applyBorder="1" applyAlignment="1">
      <alignment horizontal="center" vertical="center"/>
    </xf>
    <xf numFmtId="1" fontId="21" fillId="54" borderId="50" xfId="0" applyNumberFormat="1" applyFont="1" applyFill="1" applyBorder="1" applyAlignment="1">
      <alignment horizontal="center" vertical="center"/>
    </xf>
    <xf numFmtId="0" fontId="32" fillId="54" borderId="6" xfId="0" applyFont="1" applyFill="1" applyBorder="1" applyAlignment="1">
      <alignment horizontal="center" vertical="center"/>
    </xf>
    <xf numFmtId="216" fontId="32" fillId="54" borderId="6" xfId="0" applyNumberFormat="1" applyFont="1" applyFill="1" applyBorder="1" applyAlignment="1">
      <alignment horizontal="center" vertical="center"/>
    </xf>
    <xf numFmtId="4" fontId="32" fillId="54" borderId="6" xfId="0" applyNumberFormat="1" applyFont="1" applyFill="1" applyBorder="1" applyAlignment="1">
      <alignment horizontal="center" vertical="center"/>
    </xf>
    <xf numFmtId="4" fontId="48" fillId="54" borderId="6" xfId="0" applyNumberFormat="1" applyFont="1" applyFill="1" applyBorder="1" applyAlignment="1">
      <alignment horizontal="center" vertical="center"/>
    </xf>
    <xf numFmtId="2" fontId="32" fillId="54" borderId="6" xfId="0" applyNumberFormat="1" applyFont="1" applyFill="1" applyBorder="1" applyAlignment="1">
      <alignment horizontal="center" vertical="center" wrapText="1"/>
    </xf>
    <xf numFmtId="49" fontId="32" fillId="54" borderId="28" xfId="0" applyNumberFormat="1" applyFont="1" applyFill="1" applyBorder="1" applyAlignment="1">
      <alignment horizontal="center" vertical="center" wrapText="1"/>
    </xf>
    <xf numFmtId="4" fontId="21" fillId="54" borderId="28" xfId="0" applyNumberFormat="1" applyFont="1" applyFill="1" applyBorder="1" applyAlignment="1">
      <alignment horizontal="center" vertical="center"/>
    </xf>
    <xf numFmtId="216" fontId="21" fillId="54" borderId="6" xfId="0" applyNumberFormat="1" applyFont="1" applyFill="1" applyBorder="1" applyAlignment="1">
      <alignment vertical="center"/>
    </xf>
    <xf numFmtId="4" fontId="12" fillId="54" borderId="28" xfId="0" applyNumberFormat="1" applyFont="1" applyFill="1" applyBorder="1" applyAlignment="1">
      <alignment horizontal="center" vertical="center"/>
    </xf>
    <xf numFmtId="2" fontId="175" fillId="54" borderId="6" xfId="0" applyNumberFormat="1" applyFont="1" applyFill="1" applyBorder="1" applyAlignment="1">
      <alignment horizontal="center" vertical="center"/>
    </xf>
    <xf numFmtId="2" fontId="21" fillId="54" borderId="0" xfId="0" applyNumberFormat="1" applyFont="1" applyFill="1" applyAlignment="1">
      <alignment horizontal="center" vertical="center"/>
    </xf>
    <xf numFmtId="2" fontId="0" fillId="54" borderId="6" xfId="0" applyNumberFormat="1" applyFill="1" applyBorder="1" applyAlignment="1">
      <alignment horizontal="center" vertical="center"/>
    </xf>
    <xf numFmtId="0" fontId="15" fillId="54" borderId="0" xfId="0" applyFont="1" applyFill="1" applyBorder="1" applyAlignment="1">
      <alignment vertical="center"/>
    </xf>
    <xf numFmtId="4" fontId="28" fillId="0" borderId="6" xfId="0" applyNumberFormat="1" applyFont="1" applyBorder="1" applyAlignment="1">
      <alignment horizontal="center" vertical="center" wrapText="1"/>
    </xf>
    <xf numFmtId="4" fontId="41" fillId="54" borderId="30" xfId="0" applyNumberFormat="1" applyFont="1" applyFill="1" applyBorder="1" applyAlignment="1">
      <alignment horizontal="center" vertical="center"/>
    </xf>
    <xf numFmtId="4" fontId="41" fillId="0" borderId="47" xfId="930" applyNumberFormat="1" applyFont="1" applyFill="1" applyBorder="1" applyAlignment="1">
      <alignment horizontal="center" vertical="center" wrapText="1"/>
    </xf>
    <xf numFmtId="4" fontId="41" fillId="0" borderId="6" xfId="930" applyNumberFormat="1" applyFont="1" applyFill="1" applyBorder="1" applyAlignment="1">
      <alignment horizontal="center" vertical="center" wrapText="1"/>
    </xf>
    <xf numFmtId="0" fontId="9" fillId="0" borderId="6" xfId="0" applyFont="1" applyBorder="1" applyAlignment="1">
      <alignment horizontal="center" vertical="center"/>
    </xf>
    <xf numFmtId="0" fontId="32" fillId="0" borderId="6" xfId="0" applyFont="1" applyFill="1" applyBorder="1" applyAlignment="1">
      <alignment horizontal="left" vertical="center" wrapText="1"/>
    </xf>
    <xf numFmtId="49" fontId="32" fillId="0" borderId="26" xfId="0" applyNumberFormat="1" applyFont="1" applyBorder="1" applyAlignment="1">
      <alignment horizontal="center" vertical="center" wrapText="1"/>
    </xf>
    <xf numFmtId="49" fontId="32" fillId="0" borderId="52" xfId="0" applyNumberFormat="1" applyFont="1" applyBorder="1" applyAlignment="1">
      <alignment horizontal="center" vertical="center" wrapText="1"/>
    </xf>
    <xf numFmtId="49" fontId="32" fillId="54" borderId="6" xfId="0" applyNumberFormat="1" applyFont="1" applyFill="1" applyBorder="1" applyAlignment="1">
      <alignment horizontal="center" vertical="center" textRotation="90" wrapText="1"/>
    </xf>
    <xf numFmtId="0" fontId="0" fillId="0" borderId="0" xfId="0" applyAlignment="1"/>
    <xf numFmtId="0" fontId="0" fillId="54" borderId="0" xfId="0" applyFill="1" applyBorder="1"/>
    <xf numFmtId="0" fontId="0" fillId="0" borderId="0" xfId="0" applyBorder="1"/>
    <xf numFmtId="0" fontId="165" fillId="0" borderId="0" xfId="0" applyFont="1" applyAlignment="1">
      <alignment horizontal="left" indent="3"/>
    </xf>
    <xf numFmtId="0" fontId="165" fillId="0" borderId="0" xfId="0" applyFont="1" applyAlignment="1"/>
    <xf numFmtId="4" fontId="36" fillId="0" borderId="27" xfId="930" applyNumberFormat="1" applyFont="1" applyFill="1" applyBorder="1" applyAlignment="1">
      <alignment horizontal="center" vertical="center"/>
    </xf>
    <xf numFmtId="4" fontId="29" fillId="0" borderId="6" xfId="930" applyNumberFormat="1" applyFont="1" applyFill="1" applyBorder="1" applyAlignment="1">
      <alignment horizontal="center" vertical="center" wrapText="1"/>
    </xf>
    <xf numFmtId="4" fontId="29" fillId="0" borderId="53" xfId="93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54" borderId="6" xfId="0" applyFont="1" applyFill="1" applyBorder="1" applyAlignment="1">
      <alignment horizontal="center" vertical="center"/>
    </xf>
    <xf numFmtId="4" fontId="2" fillId="54" borderId="6" xfId="0" applyNumberFormat="1" applyFont="1" applyFill="1" applyBorder="1" applyAlignment="1">
      <alignment horizontal="center" vertical="center"/>
    </xf>
    <xf numFmtId="49" fontId="2" fillId="54" borderId="6" xfId="0" applyNumberFormat="1" applyFont="1" applyFill="1" applyBorder="1" applyAlignment="1">
      <alignment horizontal="center" vertical="center"/>
    </xf>
    <xf numFmtId="49" fontId="2" fillId="54" borderId="41" xfId="0" applyNumberFormat="1" applyFont="1" applyFill="1" applyBorder="1" applyAlignment="1">
      <alignment horizontal="right" vertical="center" wrapText="1"/>
    </xf>
    <xf numFmtId="49" fontId="2" fillId="54" borderId="16" xfId="0" applyNumberFormat="1" applyFont="1" applyFill="1" applyBorder="1" applyAlignment="1">
      <alignment horizontal="left" vertical="center" wrapText="1"/>
    </xf>
    <xf numFmtId="49" fontId="2" fillId="54" borderId="16" xfId="0" applyNumberFormat="1" applyFont="1" applyFill="1" applyBorder="1" applyAlignment="1">
      <alignment vertical="center" wrapText="1"/>
    </xf>
    <xf numFmtId="49" fontId="2" fillId="54" borderId="50" xfId="0" applyNumberFormat="1" applyFont="1" applyFill="1" applyBorder="1" applyAlignment="1">
      <alignment horizontal="center" vertical="center" wrapText="1"/>
    </xf>
    <xf numFmtId="4" fontId="2" fillId="54" borderId="6" xfId="0" applyNumberFormat="1" applyFont="1" applyFill="1" applyBorder="1" applyAlignment="1">
      <alignment horizontal="center" vertical="center" wrapText="1"/>
    </xf>
    <xf numFmtId="4" fontId="2" fillId="54" borderId="26" xfId="0" applyNumberFormat="1" applyFont="1" applyFill="1" applyBorder="1" applyAlignment="1">
      <alignment horizontal="center" vertical="center" wrapText="1"/>
    </xf>
    <xf numFmtId="4" fontId="7" fillId="54" borderId="6" xfId="0" applyNumberFormat="1" applyFont="1" applyFill="1" applyBorder="1" applyAlignment="1">
      <alignment horizontal="center" vertical="center" wrapText="1"/>
    </xf>
    <xf numFmtId="49" fontId="2" fillId="54" borderId="48" xfId="0" applyNumberFormat="1" applyFont="1" applyFill="1" applyBorder="1" applyAlignment="1">
      <alignment horizontal="center" vertical="center"/>
    </xf>
    <xf numFmtId="49" fontId="1" fillId="54" borderId="6" xfId="0" applyNumberFormat="1" applyFont="1" applyFill="1" applyBorder="1" applyAlignment="1">
      <alignment horizontal="center" vertical="center"/>
    </xf>
    <xf numFmtId="207" fontId="0" fillId="0" borderId="0" xfId="0" applyNumberFormat="1" applyBorder="1"/>
    <xf numFmtId="14" fontId="2" fillId="54" borderId="29" xfId="0" applyNumberFormat="1" applyFont="1" applyFill="1" applyBorder="1" applyAlignment="1">
      <alignment horizontal="center" vertical="center"/>
    </xf>
    <xf numFmtId="14" fontId="2" fillId="54" borderId="6" xfId="0" applyNumberFormat="1" applyFont="1" applyFill="1" applyBorder="1" applyAlignment="1">
      <alignment horizontal="center" vertical="center"/>
    </xf>
    <xf numFmtId="2" fontId="2" fillId="0" borderId="42" xfId="0" applyNumberFormat="1" applyFont="1" applyFill="1" applyBorder="1" applyAlignment="1">
      <alignment horizontal="center" vertical="center" wrapText="1"/>
    </xf>
    <xf numFmtId="4" fontId="45" fillId="0" borderId="42" xfId="928" applyNumberFormat="1" applyFont="1" applyFill="1" applyBorder="1" applyAlignment="1">
      <alignment horizontal="center" vertical="center"/>
    </xf>
    <xf numFmtId="4" fontId="182" fillId="0" borderId="6" xfId="927" applyNumberFormat="1" applyFont="1" applyFill="1" applyBorder="1" applyAlignment="1">
      <alignment horizontal="center" vertical="center"/>
    </xf>
    <xf numFmtId="4" fontId="28" fillId="0" borderId="6" xfId="0" applyNumberFormat="1" applyFont="1" applyFill="1" applyBorder="1" applyAlignment="1">
      <alignment horizontal="center" vertical="center"/>
    </xf>
    <xf numFmtId="4" fontId="1" fillId="0" borderId="0" xfId="0" applyNumberFormat="1" applyFont="1"/>
    <xf numFmtId="0" fontId="1" fillId="0" borderId="0" xfId="0" applyFont="1"/>
    <xf numFmtId="49" fontId="2" fillId="0" borderId="6" xfId="0" applyNumberFormat="1" applyFont="1" applyBorder="1" applyAlignment="1">
      <alignment horizontal="center" vertical="center"/>
    </xf>
    <xf numFmtId="49" fontId="2" fillId="54" borderId="21" xfId="0" applyNumberFormat="1" applyFont="1" applyFill="1" applyBorder="1" applyAlignment="1">
      <alignment horizontal="right" vertical="center" wrapText="1"/>
    </xf>
    <xf numFmtId="49" fontId="2" fillId="54" borderId="0" xfId="0" applyNumberFormat="1" applyFont="1" applyFill="1" applyBorder="1" applyAlignment="1">
      <alignment horizontal="left" vertical="center" wrapText="1"/>
    </xf>
    <xf numFmtId="0" fontId="2" fillId="54" borderId="17" xfId="0" applyFont="1" applyFill="1" applyBorder="1" applyAlignment="1">
      <alignment horizontal="left" vertical="center"/>
    </xf>
    <xf numFmtId="0" fontId="2" fillId="54" borderId="51" xfId="0" applyFont="1" applyFill="1" applyBorder="1" applyAlignment="1">
      <alignment horizontal="justify"/>
    </xf>
    <xf numFmtId="0" fontId="1" fillId="54" borderId="51" xfId="0" applyFont="1" applyFill="1" applyBorder="1" applyAlignment="1">
      <alignment horizontal="justify"/>
    </xf>
    <xf numFmtId="0" fontId="1" fillId="54" borderId="51" xfId="0" applyFont="1" applyFill="1" applyBorder="1" applyAlignment="1">
      <alignment horizontal="justify" wrapText="1"/>
    </xf>
    <xf numFmtId="0" fontId="1" fillId="54" borderId="17" xfId="0" applyFont="1" applyFill="1" applyBorder="1" applyAlignment="1">
      <alignment horizontal="justify" wrapText="1"/>
    </xf>
    <xf numFmtId="49" fontId="2" fillId="54" borderId="41" xfId="0" applyNumberFormat="1" applyFont="1" applyFill="1" applyBorder="1" applyAlignment="1">
      <alignment horizontal="center" wrapText="1"/>
    </xf>
    <xf numFmtId="49" fontId="2" fillId="54" borderId="16" xfId="0" applyNumberFormat="1" applyFont="1" applyFill="1" applyBorder="1" applyAlignment="1">
      <alignment horizontal="center" wrapText="1"/>
    </xf>
    <xf numFmtId="0" fontId="2" fillId="54" borderId="51" xfId="0" applyFont="1" applyFill="1" applyBorder="1" applyAlignment="1">
      <alignment horizontal="left" wrapText="1"/>
    </xf>
    <xf numFmtId="0" fontId="2" fillId="54" borderId="17" xfId="0" applyFont="1" applyFill="1" applyBorder="1" applyAlignment="1">
      <alignment horizontal="left" wrapText="1"/>
    </xf>
    <xf numFmtId="1" fontId="2" fillId="54" borderId="16" xfId="0" applyNumberFormat="1" applyFont="1" applyFill="1" applyBorder="1" applyAlignment="1">
      <alignment horizontal="left" vertical="center" wrapText="1"/>
    </xf>
    <xf numFmtId="49" fontId="2" fillId="54" borderId="28"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0" fontId="2" fillId="54" borderId="6" xfId="0" applyFont="1" applyFill="1" applyBorder="1" applyAlignment="1">
      <alignment horizontal="center" vertical="center" wrapText="1"/>
    </xf>
    <xf numFmtId="49" fontId="2" fillId="0" borderId="28" xfId="0" applyNumberFormat="1" applyFont="1" applyBorder="1" applyAlignment="1">
      <alignment horizontal="center" vertical="center" wrapText="1"/>
    </xf>
    <xf numFmtId="4" fontId="2" fillId="0" borderId="6"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29" xfId="0" applyNumberFormat="1" applyFont="1" applyBorder="1" applyAlignment="1">
      <alignment horizontal="center" vertical="center"/>
    </xf>
    <xf numFmtId="4" fontId="41" fillId="0" borderId="53" xfId="930" applyNumberFormat="1" applyFont="1" applyFill="1" applyBorder="1" applyAlignment="1">
      <alignment horizontal="center" vertical="center" wrapText="1"/>
    </xf>
    <xf numFmtId="0" fontId="192" fillId="0" borderId="0" xfId="0" applyFont="1"/>
    <xf numFmtId="0" fontId="192" fillId="0" borderId="0" xfId="0" applyFont="1" applyFill="1"/>
    <xf numFmtId="0" fontId="189" fillId="0" borderId="0" xfId="1581" applyNumberFormat="1" applyFont="1" applyFill="1" applyBorder="1" applyAlignment="1" applyProtection="1">
      <alignment horizontal="center" vertical="center"/>
    </xf>
    <xf numFmtId="0" fontId="192" fillId="0" borderId="0" xfId="0" applyFont="1" applyFill="1" applyBorder="1" applyAlignment="1">
      <alignment horizontal="center" vertical="top"/>
    </xf>
    <xf numFmtId="0" fontId="193" fillId="0" borderId="0" xfId="0" applyFont="1" applyFill="1" applyBorder="1" applyAlignment="1">
      <alignment horizontal="justify" vertical="center"/>
    </xf>
    <xf numFmtId="208" fontId="192" fillId="0" borderId="0" xfId="0" applyNumberFormat="1" applyFont="1" applyFill="1" applyBorder="1" applyAlignment="1">
      <alignment horizontal="center" vertical="center"/>
    </xf>
    <xf numFmtId="0" fontId="192" fillId="0" borderId="0" xfId="0" applyFont="1" applyFill="1" applyBorder="1" applyAlignment="1">
      <alignment horizontal="center" vertical="center"/>
    </xf>
    <xf numFmtId="208" fontId="192" fillId="0" borderId="0" xfId="0" applyNumberFormat="1" applyFont="1" applyFill="1" applyBorder="1" applyAlignment="1">
      <alignment horizontal="center" vertical="top"/>
    </xf>
    <xf numFmtId="1" fontId="192" fillId="0" borderId="0" xfId="0" applyNumberFormat="1" applyFont="1"/>
    <xf numFmtId="207" fontId="192" fillId="0" borderId="0" xfId="0" applyNumberFormat="1" applyFont="1" applyFill="1" applyBorder="1" applyAlignment="1">
      <alignment horizontal="center" vertical="center"/>
    </xf>
    <xf numFmtId="9" fontId="192" fillId="0" borderId="0" xfId="1783" applyFont="1" applyFill="1"/>
    <xf numFmtId="170" fontId="192" fillId="0" borderId="0" xfId="1783" applyNumberFormat="1" applyFont="1" applyFill="1"/>
    <xf numFmtId="207" fontId="192" fillId="0" borderId="54" xfId="0" applyNumberFormat="1" applyFont="1" applyFill="1" applyBorder="1" applyAlignment="1">
      <alignment horizontal="center" vertical="center"/>
    </xf>
    <xf numFmtId="170" fontId="192" fillId="0" borderId="0" xfId="1783" applyNumberFormat="1" applyFont="1" applyFill="1" applyBorder="1" applyAlignment="1">
      <alignment horizontal="center" vertical="center"/>
    </xf>
    <xf numFmtId="0" fontId="30" fillId="0" borderId="55" xfId="1581" applyNumberFormat="1" applyFont="1" applyFill="1" applyBorder="1" applyAlignment="1" applyProtection="1">
      <alignment horizontal="center" vertical="center"/>
    </xf>
    <xf numFmtId="0" fontId="194" fillId="0" borderId="56" xfId="0" applyFont="1" applyFill="1" applyBorder="1" applyAlignment="1">
      <alignment horizontal="center" vertical="top"/>
    </xf>
    <xf numFmtId="0" fontId="194" fillId="0" borderId="57" xfId="0" applyFont="1" applyFill="1" applyBorder="1" applyAlignment="1">
      <alignment horizontal="center" vertical="top"/>
    </xf>
    <xf numFmtId="0" fontId="194" fillId="0" borderId="57" xfId="0" applyFont="1" applyFill="1" applyBorder="1" applyAlignment="1">
      <alignment horizontal="center" vertical="top" wrapText="1"/>
    </xf>
    <xf numFmtId="0" fontId="194" fillId="0" borderId="58" xfId="0" applyFont="1" applyFill="1" applyBorder="1" applyAlignment="1">
      <alignment horizontal="center" vertical="top"/>
    </xf>
    <xf numFmtId="0" fontId="194" fillId="0" borderId="59" xfId="0" applyFont="1" applyFill="1" applyBorder="1" applyAlignment="1">
      <alignment horizontal="center"/>
    </xf>
    <xf numFmtId="0" fontId="194" fillId="0" borderId="59" xfId="0" applyFont="1" applyFill="1" applyBorder="1" applyAlignment="1">
      <alignment horizontal="center" wrapText="1"/>
    </xf>
    <xf numFmtId="0" fontId="194" fillId="0" borderId="60" xfId="0" applyFont="1" applyFill="1" applyBorder="1" applyAlignment="1">
      <alignment horizontal="center" vertical="top"/>
    </xf>
    <xf numFmtId="0" fontId="194" fillId="0" borderId="61" xfId="0" applyFont="1" applyFill="1" applyBorder="1" applyAlignment="1">
      <alignment horizontal="center" vertical="top"/>
    </xf>
    <xf numFmtId="0" fontId="194" fillId="0" borderId="41" xfId="0" applyFont="1" applyFill="1" applyBorder="1" applyAlignment="1">
      <alignment horizontal="center" vertical="top"/>
    </xf>
    <xf numFmtId="0" fontId="194" fillId="0" borderId="59" xfId="0" applyFont="1" applyFill="1" applyBorder="1" applyAlignment="1">
      <alignment horizontal="center" vertical="top"/>
    </xf>
    <xf numFmtId="49" fontId="195" fillId="0" borderId="59" xfId="0" applyNumberFormat="1" applyFont="1" applyFill="1" applyBorder="1" applyAlignment="1">
      <alignment horizontal="center" vertical="center"/>
    </xf>
    <xf numFmtId="0" fontId="195" fillId="0" borderId="59" xfId="0" applyFont="1" applyFill="1" applyBorder="1" applyAlignment="1">
      <alignment vertical="center" wrapText="1"/>
    </xf>
    <xf numFmtId="0" fontId="195" fillId="0" borderId="59" xfId="0" applyFont="1" applyFill="1" applyBorder="1" applyAlignment="1">
      <alignment horizontal="justify" vertical="center"/>
    </xf>
    <xf numFmtId="0" fontId="195" fillId="0" borderId="62" xfId="0" applyFont="1" applyFill="1" applyBorder="1" applyAlignment="1">
      <alignment horizontal="justify" vertical="center"/>
    </xf>
    <xf numFmtId="0" fontId="195" fillId="0" borderId="61" xfId="0" applyFont="1" applyFill="1" applyBorder="1" applyAlignment="1">
      <alignment horizontal="justify" vertical="center"/>
    </xf>
    <xf numFmtId="0" fontId="195" fillId="0" borderId="60" xfId="0" applyFont="1" applyFill="1" applyBorder="1" applyAlignment="1">
      <alignment horizontal="justify" vertical="center"/>
    </xf>
    <xf numFmtId="0" fontId="195" fillId="0" borderId="41" xfId="0" applyFont="1" applyFill="1" applyBorder="1" applyAlignment="1">
      <alignment horizontal="justify" vertical="center"/>
    </xf>
    <xf numFmtId="0" fontId="195" fillId="0" borderId="63" xfId="0" applyFont="1" applyFill="1" applyBorder="1" applyAlignment="1">
      <alignment horizontal="justify" vertical="center"/>
    </xf>
    <xf numFmtId="49" fontId="194" fillId="0" borderId="63" xfId="0" applyNumberFormat="1" applyFont="1" applyFill="1" applyBorder="1" applyAlignment="1">
      <alignment horizontal="center" vertical="center"/>
    </xf>
    <xf numFmtId="0" fontId="194" fillId="0" borderId="63" xfId="0" applyFont="1" applyFill="1" applyBorder="1" applyAlignment="1">
      <alignment vertical="center" wrapText="1"/>
    </xf>
    <xf numFmtId="0" fontId="194" fillId="0" borderId="63" xfId="0" applyFont="1" applyFill="1" applyBorder="1" applyAlignment="1">
      <alignment horizontal="center" vertical="center"/>
    </xf>
    <xf numFmtId="1" fontId="194" fillId="0" borderId="64" xfId="0" applyNumberFormat="1" applyFont="1" applyFill="1" applyBorder="1" applyAlignment="1">
      <alignment horizontal="center" vertical="center"/>
    </xf>
    <xf numFmtId="1" fontId="194" fillId="0" borderId="65" xfId="0" applyNumberFormat="1" applyFont="1" applyFill="1" applyBorder="1" applyAlignment="1">
      <alignment horizontal="center" vertical="center"/>
    </xf>
    <xf numFmtId="1" fontId="194" fillId="0" borderId="66" xfId="0" applyNumberFormat="1" applyFont="1" applyFill="1" applyBorder="1" applyAlignment="1">
      <alignment horizontal="center" vertical="center"/>
    </xf>
    <xf numFmtId="1" fontId="194" fillId="0" borderId="28" xfId="0" applyNumberFormat="1" applyFont="1" applyFill="1" applyBorder="1" applyAlignment="1">
      <alignment horizontal="center" vertical="center"/>
    </xf>
    <xf numFmtId="1" fontId="194" fillId="0" borderId="63" xfId="0" applyNumberFormat="1" applyFont="1" applyFill="1" applyBorder="1" applyAlignment="1">
      <alignment horizontal="center" vertical="center"/>
    </xf>
    <xf numFmtId="208" fontId="194" fillId="0" borderId="66" xfId="0" applyNumberFormat="1" applyFont="1" applyFill="1" applyBorder="1" applyAlignment="1">
      <alignment horizontal="center" vertical="center"/>
    </xf>
    <xf numFmtId="208" fontId="194" fillId="0" borderId="28" xfId="0" applyNumberFormat="1" applyFont="1" applyFill="1" applyBorder="1" applyAlignment="1">
      <alignment horizontal="center" vertical="center"/>
    </xf>
    <xf numFmtId="208" fontId="194" fillId="0" borderId="63" xfId="0" applyNumberFormat="1" applyFont="1" applyFill="1" applyBorder="1" applyAlignment="1">
      <alignment horizontal="center" vertical="center"/>
    </xf>
    <xf numFmtId="0" fontId="194" fillId="0" borderId="64" xfId="0" applyFont="1" applyFill="1" applyBorder="1" applyAlignment="1">
      <alignment horizontal="center" vertical="center"/>
    </xf>
    <xf numFmtId="0" fontId="194" fillId="0" borderId="28" xfId="0" applyFont="1" applyFill="1" applyBorder="1" applyAlignment="1">
      <alignment horizontal="center" vertical="center"/>
    </xf>
    <xf numFmtId="208" fontId="194" fillId="0" borderId="64" xfId="0" applyNumberFormat="1" applyFont="1" applyFill="1" applyBorder="1" applyAlignment="1">
      <alignment horizontal="center" vertical="center"/>
    </xf>
    <xf numFmtId="49" fontId="195" fillId="0" borderId="63" xfId="0" applyNumberFormat="1" applyFont="1" applyFill="1" applyBorder="1" applyAlignment="1">
      <alignment horizontal="center" vertical="center"/>
    </xf>
    <xf numFmtId="0" fontId="195" fillId="0" borderId="63" xfId="0" applyFont="1" applyFill="1" applyBorder="1" applyAlignment="1">
      <alignment vertical="center" wrapText="1"/>
    </xf>
    <xf numFmtId="1" fontId="194" fillId="0" borderId="66" xfId="0" applyNumberFormat="1" applyFont="1" applyFill="1" applyBorder="1" applyAlignment="1">
      <alignment horizontal="center" vertical="top"/>
    </xf>
    <xf numFmtId="1" fontId="194" fillId="0" borderId="28" xfId="0" applyNumberFormat="1" applyFont="1" applyFill="1" applyBorder="1" applyAlignment="1">
      <alignment horizontal="center" vertical="top"/>
    </xf>
    <xf numFmtId="1" fontId="194" fillId="0" borderId="63" xfId="0" applyNumberFormat="1" applyFont="1" applyFill="1" applyBorder="1" applyAlignment="1">
      <alignment horizontal="center" vertical="top"/>
    </xf>
    <xf numFmtId="207" fontId="194" fillId="0" borderId="64" xfId="0" applyNumberFormat="1" applyFont="1" applyFill="1" applyBorder="1" applyAlignment="1">
      <alignment horizontal="center" vertical="center"/>
    </xf>
    <xf numFmtId="207" fontId="194" fillId="0" borderId="66" xfId="0" applyNumberFormat="1" applyFont="1" applyFill="1" applyBorder="1" applyAlignment="1">
      <alignment horizontal="center" vertical="center"/>
    </xf>
    <xf numFmtId="207" fontId="194" fillId="0" borderId="28" xfId="0" applyNumberFormat="1" applyFont="1" applyFill="1" applyBorder="1" applyAlignment="1">
      <alignment horizontal="center" vertical="center"/>
    </xf>
    <xf numFmtId="207" fontId="194" fillId="0" borderId="63" xfId="0" applyNumberFormat="1" applyFont="1" applyFill="1" applyBorder="1" applyAlignment="1">
      <alignment horizontal="center" vertical="center"/>
    </xf>
    <xf numFmtId="188" fontId="194" fillId="0" borderId="63" xfId="0" applyNumberFormat="1" applyFont="1" applyFill="1" applyBorder="1" applyAlignment="1">
      <alignment horizontal="center" vertical="center"/>
    </xf>
    <xf numFmtId="1" fontId="194" fillId="0" borderId="49" xfId="0" applyNumberFormat="1" applyFont="1" applyFill="1" applyBorder="1" applyAlignment="1">
      <alignment horizontal="center" vertical="center"/>
    </xf>
    <xf numFmtId="188" fontId="194" fillId="0" borderId="64" xfId="0" applyNumberFormat="1" applyFont="1" applyFill="1" applyBorder="1" applyAlignment="1">
      <alignment horizontal="center" vertical="center"/>
    </xf>
    <xf numFmtId="218" fontId="194" fillId="0" borderId="66" xfId="1880" applyNumberFormat="1" applyFont="1" applyFill="1" applyBorder="1" applyAlignment="1">
      <alignment horizontal="center" vertical="center"/>
    </xf>
    <xf numFmtId="218" fontId="194" fillId="0" borderId="49" xfId="1880" applyNumberFormat="1" applyFont="1" applyFill="1" applyBorder="1" applyAlignment="1">
      <alignment horizontal="center" vertical="center"/>
    </xf>
    <xf numFmtId="218" fontId="194" fillId="0" borderId="64" xfId="1880" applyNumberFormat="1" applyFont="1" applyFill="1" applyBorder="1" applyAlignment="1">
      <alignment horizontal="center" vertical="center"/>
    </xf>
    <xf numFmtId="218" fontId="194" fillId="0" borderId="28" xfId="1880" applyNumberFormat="1" applyFont="1" applyFill="1" applyBorder="1" applyAlignment="1">
      <alignment horizontal="center" vertical="center"/>
    </xf>
    <xf numFmtId="218" fontId="194" fillId="0" borderId="63" xfId="1880" applyNumberFormat="1" applyFont="1" applyFill="1" applyBorder="1" applyAlignment="1">
      <alignment horizontal="center" vertical="center"/>
    </xf>
    <xf numFmtId="218" fontId="194" fillId="0" borderId="65" xfId="1880" applyNumberFormat="1" applyFont="1" applyFill="1" applyBorder="1" applyAlignment="1">
      <alignment horizontal="center" vertical="center"/>
    </xf>
    <xf numFmtId="0" fontId="194" fillId="0" borderId="66" xfId="0" applyFont="1" applyFill="1" applyBorder="1" applyAlignment="1">
      <alignment horizontal="center" vertical="center"/>
    </xf>
    <xf numFmtId="0" fontId="194" fillId="0" borderId="65" xfId="0" applyFont="1" applyFill="1" applyBorder="1" applyAlignment="1">
      <alignment horizontal="center" vertical="center"/>
    </xf>
    <xf numFmtId="49" fontId="194" fillId="59" borderId="63" xfId="0" applyNumberFormat="1" applyFont="1" applyFill="1" applyBorder="1" applyAlignment="1">
      <alignment horizontal="center" vertical="center"/>
    </xf>
    <xf numFmtId="0" fontId="194" fillId="59" borderId="63" xfId="0" applyFont="1" applyFill="1" applyBorder="1" applyAlignment="1">
      <alignment vertical="center" wrapText="1"/>
    </xf>
    <xf numFmtId="219" fontId="194" fillId="0" borderId="64" xfId="1880" applyNumberFormat="1" applyFont="1" applyFill="1" applyBorder="1" applyAlignment="1">
      <alignment horizontal="center" vertical="center"/>
    </xf>
    <xf numFmtId="219" fontId="194" fillId="0" borderId="65" xfId="1880" applyNumberFormat="1" applyFont="1" applyFill="1" applyBorder="1" applyAlignment="1">
      <alignment horizontal="center" vertical="center"/>
    </xf>
    <xf numFmtId="219" fontId="194" fillId="0" borderId="66" xfId="1880" applyNumberFormat="1" applyFont="1" applyFill="1" applyBorder="1" applyAlignment="1">
      <alignment horizontal="center" vertical="center"/>
    </xf>
    <xf numFmtId="219" fontId="194" fillId="0" borderId="48" xfId="1880" applyNumberFormat="1" applyFont="1" applyFill="1" applyBorder="1" applyAlignment="1">
      <alignment horizontal="center" vertical="center"/>
    </xf>
    <xf numFmtId="219" fontId="194" fillId="0" borderId="63" xfId="1880" applyNumberFormat="1" applyFont="1" applyFill="1" applyBorder="1" applyAlignment="1">
      <alignment horizontal="center" vertical="center"/>
    </xf>
    <xf numFmtId="219" fontId="194" fillId="0" borderId="49" xfId="1880" applyNumberFormat="1" applyFont="1" applyFill="1" applyBorder="1" applyAlignment="1">
      <alignment horizontal="center" vertical="center"/>
    </xf>
    <xf numFmtId="219" fontId="194" fillId="0" borderId="67" xfId="1880" applyNumberFormat="1" applyFont="1" applyFill="1" applyBorder="1" applyAlignment="1">
      <alignment horizontal="center" vertical="center"/>
    </xf>
    <xf numFmtId="49" fontId="195" fillId="0" borderId="58" xfId="0" applyNumberFormat="1" applyFont="1" applyFill="1" applyBorder="1" applyAlignment="1">
      <alignment horizontal="center" vertical="center"/>
    </xf>
    <xf numFmtId="0" fontId="195" fillId="0" borderId="58" xfId="0" applyFont="1" applyFill="1" applyBorder="1" applyAlignment="1">
      <alignment vertical="center" wrapText="1"/>
    </xf>
    <xf numFmtId="0" fontId="194" fillId="0" borderId="58" xfId="0" applyFont="1" applyFill="1" applyBorder="1" applyAlignment="1">
      <alignment horizontal="center" vertical="center"/>
    </xf>
    <xf numFmtId="170" fontId="194" fillId="0" borderId="68" xfId="1783" applyNumberFormat="1" applyFont="1" applyFill="1" applyBorder="1" applyAlignment="1">
      <alignment horizontal="center" vertical="center"/>
    </xf>
    <xf numFmtId="170" fontId="194" fillId="0" borderId="57" xfId="1783" applyNumberFormat="1" applyFont="1" applyFill="1" applyBorder="1" applyAlignment="1">
      <alignment horizontal="center" vertical="center"/>
    </xf>
    <xf numFmtId="170" fontId="194" fillId="0" borderId="56" xfId="1783" applyNumberFormat="1" applyFont="1" applyFill="1" applyBorder="1" applyAlignment="1">
      <alignment horizontal="center" vertical="center"/>
    </xf>
    <xf numFmtId="170" fontId="194" fillId="0" borderId="69" xfId="1783" applyNumberFormat="1" applyFont="1" applyFill="1" applyBorder="1" applyAlignment="1">
      <alignment horizontal="center" vertical="center"/>
    </xf>
    <xf numFmtId="9" fontId="194" fillId="0" borderId="58" xfId="1783" applyFont="1" applyFill="1" applyBorder="1" applyAlignment="1">
      <alignment horizontal="center" vertical="center"/>
    </xf>
    <xf numFmtId="0" fontId="196" fillId="0" borderId="63" xfId="0" applyFont="1" applyFill="1" applyBorder="1" applyAlignment="1">
      <alignment horizontal="center" vertical="center"/>
    </xf>
    <xf numFmtId="0" fontId="196" fillId="59" borderId="63" xfId="0" applyFont="1" applyFill="1" applyBorder="1" applyAlignment="1">
      <alignment horizontal="center" vertical="center"/>
    </xf>
    <xf numFmtId="0" fontId="194" fillId="0" borderId="0" xfId="0" applyFont="1" applyFill="1"/>
    <xf numFmtId="0" fontId="30" fillId="0" borderId="70" xfId="1581" applyNumberFormat="1" applyFont="1" applyFill="1" applyBorder="1" applyAlignment="1" applyProtection="1">
      <alignment horizontal="center" vertical="center"/>
    </xf>
    <xf numFmtId="0" fontId="30" fillId="0" borderId="71" xfId="1581" applyNumberFormat="1" applyFont="1" applyFill="1" applyBorder="1" applyAlignment="1" applyProtection="1">
      <alignment horizontal="center" vertical="center"/>
    </xf>
    <xf numFmtId="0" fontId="194" fillId="0" borderId="63" xfId="0" applyFont="1" applyFill="1" applyBorder="1" applyAlignment="1">
      <alignment horizontal="center"/>
    </xf>
    <xf numFmtId="0" fontId="194" fillId="0" borderId="63" xfId="0" applyFont="1" applyFill="1" applyBorder="1" applyAlignment="1">
      <alignment horizontal="center" wrapText="1"/>
    </xf>
    <xf numFmtId="0" fontId="194" fillId="0" borderId="66" xfId="0" applyFont="1" applyFill="1" applyBorder="1" applyAlignment="1">
      <alignment horizontal="center" vertical="top"/>
    </xf>
    <xf numFmtId="0" fontId="194" fillId="0" borderId="65" xfId="0" applyFont="1" applyFill="1" applyBorder="1" applyAlignment="1">
      <alignment horizontal="center" vertical="top"/>
    </xf>
    <xf numFmtId="0" fontId="194" fillId="0" borderId="28" xfId="0" applyFont="1" applyFill="1" applyBorder="1" applyAlignment="1">
      <alignment horizontal="center" vertical="top"/>
    </xf>
    <xf numFmtId="0" fontId="194" fillId="0" borderId="63" xfId="0" applyFont="1" applyFill="1" applyBorder="1" applyAlignment="1">
      <alignment horizontal="center" vertical="top"/>
    </xf>
    <xf numFmtId="218" fontId="194" fillId="0" borderId="0" xfId="1880" applyNumberFormat="1" applyFont="1" applyFill="1"/>
    <xf numFmtId="49" fontId="194" fillId="0" borderId="58" xfId="0" applyNumberFormat="1" applyFont="1" applyFill="1" applyBorder="1" applyAlignment="1">
      <alignment horizontal="center" vertical="center"/>
    </xf>
    <xf numFmtId="0" fontId="194" fillId="0" borderId="58" xfId="0" applyFont="1" applyFill="1" applyBorder="1" applyAlignment="1">
      <alignment vertical="center" wrapText="1"/>
    </xf>
    <xf numFmtId="0" fontId="194" fillId="0" borderId="0" xfId="0" applyFont="1" applyFill="1" applyAlignment="1">
      <alignment horizontal="center"/>
    </xf>
    <xf numFmtId="0" fontId="194" fillId="0" borderId="0" xfId="0" applyFont="1" applyFill="1" applyBorder="1"/>
    <xf numFmtId="0" fontId="196" fillId="0" borderId="58" xfId="0" applyFont="1" applyFill="1" applyBorder="1" applyAlignment="1">
      <alignment horizontal="center" vertical="center"/>
    </xf>
    <xf numFmtId="0" fontId="197" fillId="0" borderId="6" xfId="0" applyFont="1" applyBorder="1" applyAlignment="1">
      <alignment horizontal="center" vertical="center" wrapText="1"/>
    </xf>
    <xf numFmtId="0" fontId="197" fillId="0" borderId="6" xfId="0" applyFont="1" applyFill="1" applyBorder="1" applyAlignment="1">
      <alignment horizontal="center" vertical="center" wrapText="1"/>
    </xf>
    <xf numFmtId="0" fontId="197" fillId="0" borderId="6" xfId="0" applyFont="1" applyBorder="1" applyAlignment="1">
      <alignment vertical="center" wrapText="1"/>
    </xf>
    <xf numFmtId="2" fontId="197" fillId="0" borderId="6" xfId="0" applyNumberFormat="1" applyFont="1" applyBorder="1" applyAlignment="1">
      <alignment horizontal="center" vertical="center" wrapText="1"/>
    </xf>
    <xf numFmtId="1" fontId="197" fillId="0" borderId="6" xfId="0" applyNumberFormat="1" applyFont="1" applyBorder="1" applyAlignment="1">
      <alignment horizontal="center" vertical="center" wrapText="1"/>
    </xf>
    <xf numFmtId="188" fontId="197" fillId="0" borderId="6" xfId="0" applyNumberFormat="1" applyFont="1" applyBorder="1" applyAlignment="1">
      <alignment horizontal="center" vertical="center" wrapText="1"/>
    </xf>
    <xf numFmtId="208" fontId="197" fillId="0" borderId="6" xfId="0" applyNumberFormat="1" applyFont="1" applyBorder="1" applyAlignment="1">
      <alignment horizontal="center" vertical="center" wrapText="1"/>
    </xf>
    <xf numFmtId="0" fontId="194" fillId="0" borderId="0" xfId="0" applyFont="1" applyAlignment="1">
      <alignment horizontal="left"/>
    </xf>
    <xf numFmtId="0" fontId="197" fillId="0" borderId="29" xfId="0" applyFont="1" applyBorder="1" applyAlignment="1">
      <alignment horizontal="center" vertical="center" wrapText="1"/>
    </xf>
    <xf numFmtId="0" fontId="197" fillId="0" borderId="29" xfId="0" applyFont="1" applyBorder="1" applyAlignment="1">
      <alignment horizontal="left" vertical="center" wrapText="1"/>
    </xf>
    <xf numFmtId="2" fontId="197" fillId="0" borderId="6" xfId="0" applyNumberFormat="1" applyFont="1" applyFill="1" applyBorder="1" applyAlignment="1">
      <alignment horizontal="center" vertical="center" wrapText="1"/>
    </xf>
    <xf numFmtId="0" fontId="197" fillId="0" borderId="29" xfId="0" applyFont="1" applyFill="1" applyBorder="1" applyAlignment="1">
      <alignment horizontal="center" vertical="center" wrapText="1"/>
    </xf>
    <xf numFmtId="1" fontId="197" fillId="0" borderId="29" xfId="0" applyNumberFormat="1" applyFont="1" applyBorder="1" applyAlignment="1">
      <alignment horizontal="center" vertical="center" wrapText="1"/>
    </xf>
    <xf numFmtId="0" fontId="198" fillId="0" borderId="0" xfId="0" applyFont="1" applyBorder="1" applyAlignment="1">
      <alignment vertical="center" wrapText="1"/>
    </xf>
    <xf numFmtId="0" fontId="198" fillId="0" borderId="0" xfId="0" applyFont="1" applyBorder="1" applyAlignment="1">
      <alignment horizontal="center" vertical="center" wrapText="1"/>
    </xf>
    <xf numFmtId="0" fontId="199" fillId="0" borderId="0" xfId="0" applyFont="1"/>
    <xf numFmtId="0" fontId="194" fillId="0" borderId="0" xfId="0" applyFont="1"/>
    <xf numFmtId="4" fontId="30" fillId="0" borderId="6" xfId="0" applyNumberFormat="1" applyFont="1" applyBorder="1" applyAlignment="1">
      <alignment horizontal="center" vertical="center" wrapText="1"/>
    </xf>
    <xf numFmtId="0" fontId="10" fillId="0" borderId="0" xfId="0" applyFont="1" applyAlignment="1">
      <alignment wrapText="1"/>
    </xf>
    <xf numFmtId="0" fontId="1" fillId="0" borderId="6" xfId="0" applyFont="1" applyBorder="1" applyAlignment="1">
      <alignment horizontal="center" wrapText="1"/>
    </xf>
    <xf numFmtId="3" fontId="1" fillId="0" borderId="6" xfId="0" applyNumberFormat="1" applyFont="1" applyBorder="1" applyAlignment="1">
      <alignment horizontal="center" vertical="center"/>
    </xf>
    <xf numFmtId="0" fontId="1" fillId="0" borderId="6" xfId="0" applyFont="1" applyBorder="1" applyAlignment="1">
      <alignment horizontal="center" vertical="center" wrapText="1"/>
    </xf>
    <xf numFmtId="3" fontId="30" fillId="0" borderId="6" xfId="0" applyNumberFormat="1" applyFont="1" applyBorder="1" applyAlignment="1">
      <alignment horizontal="center" vertical="center" wrapText="1"/>
    </xf>
    <xf numFmtId="3" fontId="28" fillId="0" borderId="6" xfId="0" applyNumberFormat="1" applyFont="1" applyBorder="1" applyAlignment="1">
      <alignment horizontal="center" vertical="center" wrapText="1"/>
    </xf>
    <xf numFmtId="214" fontId="30" fillId="0" borderId="6" xfId="0" applyNumberFormat="1" applyFont="1" applyBorder="1" applyAlignment="1">
      <alignment horizontal="center" vertical="center" wrapText="1"/>
    </xf>
    <xf numFmtId="0" fontId="30" fillId="0" borderId="0" xfId="0" applyFont="1"/>
    <xf numFmtId="167" fontId="191" fillId="0" borderId="0" xfId="1880" applyFont="1"/>
    <xf numFmtId="0" fontId="1" fillId="54" borderId="41" xfId="0" applyFont="1" applyFill="1" applyBorder="1" applyAlignment="1">
      <alignment horizontal="left" vertical="center" wrapText="1"/>
    </xf>
    <xf numFmtId="0" fontId="1" fillId="54" borderId="16" xfId="0" applyFont="1" applyFill="1" applyBorder="1" applyAlignment="1">
      <alignment horizontal="left" vertical="center" wrapText="1"/>
    </xf>
    <xf numFmtId="0" fontId="1" fillId="54" borderId="51" xfId="0" applyFont="1" applyFill="1" applyBorder="1" applyAlignment="1">
      <alignment horizontal="left" vertical="center" wrapText="1"/>
    </xf>
    <xf numFmtId="0" fontId="195" fillId="0" borderId="63" xfId="0" applyFont="1" applyFill="1" applyBorder="1" applyAlignment="1">
      <alignment horizontal="justify" vertical="center"/>
    </xf>
    <xf numFmtId="219" fontId="194" fillId="0" borderId="64" xfId="1880" applyNumberFormat="1" applyFont="1" applyFill="1" applyBorder="1" applyAlignment="1">
      <alignment horizontal="center" vertical="center"/>
    </xf>
    <xf numFmtId="219" fontId="194" fillId="0" borderId="65" xfId="1880" applyNumberFormat="1" applyFont="1" applyFill="1" applyBorder="1" applyAlignment="1">
      <alignment horizontal="center" vertical="center"/>
    </xf>
    <xf numFmtId="219" fontId="194" fillId="0" borderId="66" xfId="1880" applyNumberFormat="1" applyFont="1" applyFill="1" applyBorder="1" applyAlignment="1">
      <alignment horizontal="center" vertical="center"/>
    </xf>
    <xf numFmtId="219" fontId="194" fillId="0" borderId="28" xfId="1880" applyNumberFormat="1" applyFont="1" applyFill="1" applyBorder="1" applyAlignment="1">
      <alignment horizontal="center" vertical="center"/>
    </xf>
    <xf numFmtId="219" fontId="194" fillId="0" borderId="63" xfId="1880" applyNumberFormat="1" applyFont="1" applyFill="1" applyBorder="1" applyAlignment="1">
      <alignment horizontal="center" vertical="center"/>
    </xf>
    <xf numFmtId="208" fontId="194" fillId="0" borderId="64" xfId="0" applyNumberFormat="1" applyFont="1" applyFill="1" applyBorder="1" applyAlignment="1">
      <alignment horizontal="center" vertical="center"/>
    </xf>
    <xf numFmtId="208" fontId="194" fillId="0" borderId="65" xfId="0" applyNumberFormat="1" applyFont="1" applyFill="1" applyBorder="1" applyAlignment="1">
      <alignment horizontal="center" vertical="center"/>
    </xf>
    <xf numFmtId="208" fontId="194" fillId="0" borderId="66" xfId="0" applyNumberFormat="1" applyFont="1" applyFill="1" applyBorder="1" applyAlignment="1">
      <alignment horizontal="center" vertical="center"/>
    </xf>
    <xf numFmtId="208" fontId="194" fillId="0" borderId="28" xfId="0" applyNumberFormat="1" applyFont="1" applyFill="1" applyBorder="1" applyAlignment="1">
      <alignment horizontal="center" vertical="center"/>
    </xf>
    <xf numFmtId="208" fontId="194" fillId="0" borderId="63" xfId="0" applyNumberFormat="1" applyFont="1" applyFill="1" applyBorder="1" applyAlignment="1">
      <alignment horizontal="center" vertical="center"/>
    </xf>
    <xf numFmtId="0" fontId="194" fillId="0" borderId="64" xfId="0" applyFont="1" applyFill="1" applyBorder="1" applyAlignment="1">
      <alignment horizontal="center" vertical="center"/>
    </xf>
    <xf numFmtId="0" fontId="194" fillId="0" borderId="65" xfId="0" applyFont="1" applyFill="1" applyBorder="1" applyAlignment="1">
      <alignment horizontal="center" vertical="center"/>
    </xf>
    <xf numFmtId="0" fontId="194" fillId="0" borderId="28" xfId="0" applyFont="1" applyFill="1" applyBorder="1" applyAlignment="1">
      <alignment horizontal="center" vertical="center"/>
    </xf>
    <xf numFmtId="0" fontId="194" fillId="0" borderId="63" xfId="0" applyFont="1" applyFill="1" applyBorder="1" applyAlignment="1">
      <alignment horizontal="center" vertical="center"/>
    </xf>
    <xf numFmtId="0" fontId="194" fillId="0" borderId="66" xfId="0" applyFont="1" applyFill="1" applyBorder="1" applyAlignment="1">
      <alignment horizontal="center" vertical="center"/>
    </xf>
    <xf numFmtId="208" fontId="194" fillId="0" borderId="66" xfId="0" applyNumberFormat="1" applyFont="1" applyFill="1" applyBorder="1" applyAlignment="1">
      <alignment horizontal="center" vertical="top"/>
    </xf>
    <xf numFmtId="208" fontId="194" fillId="0" borderId="28" xfId="0" applyNumberFormat="1" applyFont="1" applyFill="1" applyBorder="1" applyAlignment="1">
      <alignment horizontal="center" vertical="top"/>
    </xf>
    <xf numFmtId="208" fontId="194" fillId="0" borderId="63" xfId="0" applyNumberFormat="1" applyFont="1" applyFill="1" applyBorder="1" applyAlignment="1">
      <alignment horizontal="center" vertical="top"/>
    </xf>
    <xf numFmtId="219" fontId="194" fillId="0" borderId="49" xfId="1880" applyNumberFormat="1" applyFont="1" applyFill="1" applyBorder="1" applyAlignment="1">
      <alignment horizontal="center" vertical="center"/>
    </xf>
    <xf numFmtId="219" fontId="194" fillId="0" borderId="48" xfId="1880" applyNumberFormat="1" applyFont="1" applyFill="1" applyBorder="1" applyAlignment="1">
      <alignment horizontal="center" vertical="center"/>
    </xf>
    <xf numFmtId="219" fontId="194" fillId="0" borderId="66" xfId="1880" applyNumberFormat="1" applyFont="1" applyFill="1" applyBorder="1" applyAlignment="1">
      <alignment horizontal="center" vertical="top"/>
    </xf>
    <xf numFmtId="219" fontId="194" fillId="0" borderId="48" xfId="1880" applyNumberFormat="1" applyFont="1" applyFill="1" applyBorder="1" applyAlignment="1">
      <alignment horizontal="center" vertical="top"/>
    </xf>
    <xf numFmtId="219" fontId="194" fillId="0" borderId="63" xfId="0" applyNumberFormat="1" applyFont="1" applyFill="1" applyBorder="1" applyAlignment="1">
      <alignment horizontal="center" vertical="center"/>
    </xf>
    <xf numFmtId="207" fontId="194" fillId="0" borderId="64" xfId="0" applyNumberFormat="1" applyFont="1" applyFill="1" applyBorder="1" applyAlignment="1">
      <alignment horizontal="center" vertical="center"/>
    </xf>
    <xf numFmtId="207" fontId="194" fillId="0" borderId="65" xfId="0" applyNumberFormat="1" applyFont="1" applyFill="1" applyBorder="1" applyAlignment="1">
      <alignment horizontal="center" vertical="center"/>
    </xf>
    <xf numFmtId="207" fontId="194" fillId="0" borderId="28" xfId="0" applyNumberFormat="1" applyFont="1" applyFill="1" applyBorder="1" applyAlignment="1">
      <alignment horizontal="center" vertical="center"/>
    </xf>
    <xf numFmtId="207" fontId="194" fillId="0" borderId="63" xfId="0" applyNumberFormat="1" applyFont="1" applyFill="1" applyBorder="1" applyAlignment="1">
      <alignment horizontal="center" vertical="center"/>
    </xf>
    <xf numFmtId="207" fontId="194" fillId="0" borderId="68" xfId="0" applyNumberFormat="1" applyFont="1" applyFill="1" applyBorder="1" applyAlignment="1">
      <alignment horizontal="center" vertical="center"/>
    </xf>
    <xf numFmtId="207" fontId="194" fillId="0" borderId="57" xfId="0" applyNumberFormat="1" applyFont="1" applyFill="1" applyBorder="1" applyAlignment="1">
      <alignment horizontal="center" vertical="center"/>
    </xf>
    <xf numFmtId="207" fontId="194" fillId="0" borderId="56" xfId="0" applyNumberFormat="1" applyFont="1" applyFill="1" applyBorder="1" applyAlignment="1">
      <alignment horizontal="center" vertical="center"/>
    </xf>
    <xf numFmtId="207" fontId="194" fillId="0" borderId="72" xfId="0" applyNumberFormat="1" applyFont="1" applyFill="1" applyBorder="1" applyAlignment="1">
      <alignment horizontal="center" vertical="center"/>
    </xf>
    <xf numFmtId="10" fontId="194" fillId="0" borderId="58" xfId="1783" applyNumberFormat="1" applyFont="1" applyFill="1" applyBorder="1" applyAlignment="1">
      <alignment horizontal="center" vertical="center"/>
    </xf>
    <xf numFmtId="0" fontId="200" fillId="0" borderId="0" xfId="0" applyFont="1"/>
    <xf numFmtId="0" fontId="200" fillId="54" borderId="0" xfId="0" applyFont="1" applyFill="1" applyAlignment="1"/>
    <xf numFmtId="49" fontId="200" fillId="54" borderId="0" xfId="0" applyNumberFormat="1" applyFont="1" applyFill="1" applyAlignment="1">
      <alignment horizontal="center" vertical="center"/>
    </xf>
    <xf numFmtId="0" fontId="9" fillId="54" borderId="0" xfId="0" applyFont="1" applyFill="1" applyAlignment="1">
      <alignment horizontal="left" wrapText="1"/>
    </xf>
    <xf numFmtId="0" fontId="12" fillId="54" borderId="41" xfId="0" applyFont="1" applyFill="1" applyBorder="1" applyAlignment="1">
      <alignment horizontal="center" vertical="center" wrapText="1"/>
    </xf>
    <xf numFmtId="0" fontId="12" fillId="54" borderId="51" xfId="0" applyFont="1" applyFill="1" applyBorder="1" applyAlignment="1">
      <alignment horizontal="center" vertical="center" wrapText="1"/>
    </xf>
    <xf numFmtId="216" fontId="12" fillId="54" borderId="41" xfId="0" applyNumberFormat="1" applyFont="1" applyFill="1" applyBorder="1" applyAlignment="1">
      <alignment horizontal="center" vertical="center" wrapText="1"/>
    </xf>
    <xf numFmtId="216" fontId="12" fillId="54" borderId="51" xfId="0" applyNumberFormat="1" applyFont="1" applyFill="1" applyBorder="1" applyAlignment="1">
      <alignment horizontal="center" vertical="center" wrapText="1"/>
    </xf>
    <xf numFmtId="0" fontId="1" fillId="54" borderId="6" xfId="0" applyFont="1" applyFill="1" applyBorder="1" applyAlignment="1">
      <alignment horizontal="center" vertical="center" wrapText="1"/>
    </xf>
    <xf numFmtId="0" fontId="1" fillId="54" borderId="29" xfId="0" applyFont="1" applyFill="1" applyBorder="1" applyAlignment="1">
      <alignment horizontal="center" vertical="center" wrapText="1"/>
    </xf>
    <xf numFmtId="0" fontId="200" fillId="54" borderId="6" xfId="0" applyFont="1" applyFill="1" applyBorder="1"/>
    <xf numFmtId="49" fontId="200" fillId="54" borderId="6" xfId="0" applyNumberFormat="1" applyFont="1" applyFill="1" applyBorder="1" applyAlignment="1">
      <alignment horizontal="center" vertical="center"/>
    </xf>
    <xf numFmtId="49" fontId="1" fillId="54" borderId="6" xfId="0" applyNumberFormat="1" applyFont="1" applyFill="1" applyBorder="1" applyAlignment="1">
      <alignment horizontal="center" vertical="center" wrapText="1"/>
    </xf>
    <xf numFmtId="0" fontId="1" fillId="54" borderId="6" xfId="0" applyFont="1" applyFill="1" applyBorder="1" applyAlignment="1">
      <alignment horizontal="center" vertical="center"/>
    </xf>
    <xf numFmtId="0" fontId="1" fillId="54" borderId="26" xfId="0" applyFont="1" applyFill="1" applyBorder="1" applyAlignment="1">
      <alignment horizontal="center" vertical="center"/>
    </xf>
    <xf numFmtId="2" fontId="1" fillId="54" borderId="26" xfId="0" applyNumberFormat="1" applyFont="1" applyFill="1" applyBorder="1" applyAlignment="1">
      <alignment horizontal="center" vertical="center"/>
    </xf>
    <xf numFmtId="4" fontId="12" fillId="54" borderId="28" xfId="0" applyNumberFormat="1" applyFont="1" applyFill="1" applyBorder="1" applyAlignment="1">
      <alignment horizontal="center" vertical="center" wrapText="1"/>
    </xf>
    <xf numFmtId="0" fontId="1" fillId="54" borderId="6" xfId="0" applyFont="1" applyFill="1" applyBorder="1" applyAlignment="1"/>
    <xf numFmtId="49" fontId="1" fillId="54" borderId="41" xfId="0" applyNumberFormat="1" applyFont="1" applyFill="1" applyBorder="1" applyAlignment="1">
      <alignment horizontal="left" vertical="center" wrapText="1"/>
    </xf>
    <xf numFmtId="49" fontId="1" fillId="54" borderId="16" xfId="0" applyNumberFormat="1" applyFont="1" applyFill="1" applyBorder="1" applyAlignment="1">
      <alignment horizontal="left" vertical="center" wrapText="1"/>
    </xf>
    <xf numFmtId="0" fontId="1" fillId="54" borderId="6" xfId="0" applyFont="1" applyFill="1" applyBorder="1" applyAlignment="1">
      <alignment horizontal="center"/>
    </xf>
    <xf numFmtId="216" fontId="1" fillId="54" borderId="6" xfId="0" applyNumberFormat="1" applyFont="1" applyFill="1" applyBorder="1" applyAlignment="1"/>
    <xf numFmtId="4" fontId="1" fillId="54" borderId="6" xfId="0" applyNumberFormat="1" applyFont="1" applyFill="1" applyBorder="1" applyAlignment="1">
      <alignment horizontal="center" vertical="center"/>
    </xf>
    <xf numFmtId="2" fontId="1" fillId="54" borderId="6" xfId="0" applyNumberFormat="1" applyFont="1" applyFill="1" applyBorder="1" applyAlignment="1">
      <alignment horizontal="center" vertical="center" wrapText="1"/>
    </xf>
    <xf numFmtId="0" fontId="1" fillId="54" borderId="6" xfId="0" applyFont="1" applyFill="1" applyBorder="1" applyAlignment="1">
      <alignment vertical="center" wrapText="1"/>
    </xf>
    <xf numFmtId="0" fontId="1" fillId="54" borderId="6" xfId="0" applyFont="1" applyFill="1" applyBorder="1" applyAlignment="1">
      <alignment horizontal="center" wrapText="1"/>
    </xf>
    <xf numFmtId="207" fontId="12" fillId="54" borderId="6" xfId="0" applyNumberFormat="1" applyFont="1" applyFill="1" applyBorder="1" applyAlignment="1">
      <alignment horizontal="center" vertical="center"/>
    </xf>
    <xf numFmtId="4" fontId="1" fillId="54" borderId="28" xfId="0" applyNumberFormat="1" applyFont="1" applyFill="1" applyBorder="1" applyAlignment="1">
      <alignment horizontal="center" vertical="center"/>
    </xf>
    <xf numFmtId="4" fontId="12" fillId="54" borderId="6" xfId="0" applyNumberFormat="1" applyFont="1" applyFill="1" applyBorder="1" applyAlignment="1">
      <alignment horizontal="center"/>
    </xf>
    <xf numFmtId="216" fontId="1" fillId="54" borderId="28" xfId="0" applyNumberFormat="1" applyFont="1" applyFill="1" applyBorder="1" applyAlignment="1"/>
    <xf numFmtId="4" fontId="1" fillId="54" borderId="26" xfId="0" applyNumberFormat="1" applyFont="1" applyFill="1" applyBorder="1" applyAlignment="1">
      <alignment horizontal="center" vertical="center"/>
    </xf>
    <xf numFmtId="214" fontId="12" fillId="54" borderId="6" xfId="0" applyNumberFormat="1" applyFont="1" applyFill="1" applyBorder="1" applyAlignment="1">
      <alignment horizontal="center" vertical="center"/>
    </xf>
    <xf numFmtId="4" fontId="1" fillId="54" borderId="6" xfId="0" applyNumberFormat="1" applyFont="1" applyFill="1" applyBorder="1" applyAlignment="1"/>
    <xf numFmtId="2" fontId="12" fillId="54" borderId="6" xfId="0" applyNumberFormat="1" applyFont="1" applyFill="1" applyBorder="1" applyAlignment="1"/>
    <xf numFmtId="4" fontId="1" fillId="54" borderId="6" xfId="0" applyNumberFormat="1" applyFont="1" applyFill="1" applyBorder="1" applyAlignment="1">
      <alignment horizontal="center" vertical="center" wrapText="1"/>
    </xf>
    <xf numFmtId="0" fontId="1" fillId="54" borderId="0" xfId="0" applyFont="1" applyFill="1" applyBorder="1" applyAlignment="1">
      <alignment horizontal="left" vertical="center" wrapText="1"/>
    </xf>
    <xf numFmtId="0" fontId="1" fillId="54" borderId="17" xfId="0" applyFont="1" applyFill="1" applyBorder="1" applyAlignment="1">
      <alignment horizontal="left" vertical="center" wrapText="1"/>
    </xf>
    <xf numFmtId="0" fontId="12" fillId="54" borderId="6" xfId="0" applyFont="1" applyFill="1" applyBorder="1" applyAlignment="1"/>
    <xf numFmtId="207" fontId="1" fillId="54" borderId="6" xfId="0" applyNumberFormat="1" applyFont="1" applyFill="1" applyBorder="1" applyAlignment="1"/>
    <xf numFmtId="0" fontId="1" fillId="54" borderId="21" xfId="0" applyFont="1" applyFill="1" applyBorder="1" applyAlignment="1">
      <alignment horizontal="left" vertical="center"/>
    </xf>
    <xf numFmtId="0" fontId="200" fillId="54" borderId="0" xfId="0" applyFont="1" applyFill="1" applyBorder="1" applyAlignment="1">
      <alignment horizontal="left" vertical="center"/>
    </xf>
    <xf numFmtId="0" fontId="1" fillId="54" borderId="0" xfId="0" applyFont="1" applyFill="1" applyBorder="1" applyAlignment="1">
      <alignment horizontal="left" vertical="center"/>
    </xf>
    <xf numFmtId="2" fontId="1" fillId="54" borderId="6" xfId="0" applyNumberFormat="1" applyFont="1" applyFill="1" applyBorder="1" applyAlignment="1">
      <alignment horizontal="center" vertical="center"/>
    </xf>
    <xf numFmtId="49" fontId="1" fillId="54" borderId="28" xfId="0" applyNumberFormat="1" applyFont="1" applyFill="1" applyBorder="1" applyAlignment="1">
      <alignment horizontal="center" vertical="center" wrapText="1"/>
    </xf>
    <xf numFmtId="4" fontId="12" fillId="54" borderId="6" xfId="0" applyNumberFormat="1" applyFont="1" applyFill="1" applyBorder="1" applyAlignment="1">
      <alignment horizontal="center" vertical="center" wrapText="1"/>
    </xf>
    <xf numFmtId="4" fontId="1" fillId="54" borderId="6" xfId="0" applyNumberFormat="1" applyFont="1" applyFill="1" applyBorder="1" applyAlignment="1">
      <alignment vertical="center"/>
    </xf>
    <xf numFmtId="2" fontId="1" fillId="54" borderId="6" xfId="0" applyNumberFormat="1" applyFont="1" applyFill="1" applyBorder="1" applyAlignment="1">
      <alignment vertical="center" wrapText="1"/>
    </xf>
    <xf numFmtId="0" fontId="1" fillId="54" borderId="6" xfId="0" applyFont="1" applyFill="1" applyBorder="1" applyAlignment="1">
      <alignment vertical="center"/>
    </xf>
    <xf numFmtId="0" fontId="200" fillId="54" borderId="0" xfId="0" applyFont="1" applyFill="1" applyBorder="1"/>
    <xf numFmtId="0" fontId="1" fillId="54" borderId="0" xfId="0" applyFont="1" applyFill="1" applyBorder="1" applyAlignment="1"/>
    <xf numFmtId="4" fontId="1" fillId="54" borderId="26" xfId="0" applyNumberFormat="1" applyFont="1" applyFill="1" applyBorder="1" applyAlignment="1">
      <alignment vertical="center"/>
    </xf>
    <xf numFmtId="0" fontId="1" fillId="54" borderId="28" xfId="0" applyFont="1" applyFill="1" applyBorder="1" applyAlignment="1">
      <alignment horizontal="center" vertical="center" wrapText="1"/>
    </xf>
    <xf numFmtId="216" fontId="1" fillId="54" borderId="6" xfId="0" applyNumberFormat="1" applyFont="1" applyFill="1" applyBorder="1" applyAlignment="1">
      <alignment horizontal="center" vertical="center"/>
    </xf>
    <xf numFmtId="0" fontId="1" fillId="54" borderId="29" xfId="0" applyFont="1" applyFill="1" applyBorder="1" applyAlignment="1">
      <alignment horizontal="center" vertical="center"/>
    </xf>
    <xf numFmtId="0" fontId="200" fillId="54" borderId="6" xfId="0" applyFont="1" applyFill="1" applyBorder="1" applyAlignment="1">
      <alignment horizontal="center" vertical="center"/>
    </xf>
    <xf numFmtId="0" fontId="200" fillId="54" borderId="28" xfId="0" applyFont="1" applyFill="1" applyBorder="1" applyAlignment="1">
      <alignment horizontal="center" vertical="center"/>
    </xf>
    <xf numFmtId="49" fontId="200" fillId="54" borderId="0" xfId="0" applyNumberFormat="1" applyFont="1" applyFill="1"/>
    <xf numFmtId="0" fontId="200" fillId="54" borderId="0" xfId="0" applyFont="1" applyFill="1"/>
    <xf numFmtId="0" fontId="200" fillId="54" borderId="0" xfId="0" applyFont="1" applyFill="1" applyAlignment="1">
      <alignment vertical="center"/>
    </xf>
    <xf numFmtId="4" fontId="183" fillId="54" borderId="0" xfId="0" applyNumberFormat="1" applyFont="1" applyFill="1" applyBorder="1" applyAlignment="1">
      <alignment horizontal="center" vertical="center"/>
    </xf>
    <xf numFmtId="0" fontId="1" fillId="54" borderId="0" xfId="0" applyFont="1" applyFill="1" applyAlignment="1">
      <alignment vertical="center"/>
    </xf>
    <xf numFmtId="2" fontId="1" fillId="54" borderId="0" xfId="0" applyNumberFormat="1" applyFont="1" applyFill="1" applyAlignment="1">
      <alignment vertical="center"/>
    </xf>
    <xf numFmtId="49" fontId="200" fillId="54" borderId="0" xfId="0" applyNumberFormat="1" applyFont="1" applyFill="1" applyAlignment="1">
      <alignment vertical="center"/>
    </xf>
    <xf numFmtId="4" fontId="1" fillId="54" borderId="0" xfId="0" applyNumberFormat="1" applyFont="1" applyFill="1" applyBorder="1" applyAlignment="1">
      <alignment horizontal="center" vertical="center"/>
    </xf>
    <xf numFmtId="0" fontId="0" fillId="0" borderId="0" xfId="0" applyBorder="1"/>
    <xf numFmtId="2" fontId="29" fillId="54" borderId="17" xfId="1628" applyNumberFormat="1" applyFont="1" applyFill="1" applyBorder="1" applyAlignment="1">
      <alignment horizontal="center" vertical="center" wrapText="1"/>
    </xf>
    <xf numFmtId="49" fontId="28" fillId="0" borderId="6" xfId="930" applyNumberFormat="1" applyFont="1" applyFill="1" applyBorder="1" applyAlignment="1">
      <alignment horizontal="center" vertical="center"/>
    </xf>
    <xf numFmtId="14" fontId="43" fillId="0" borderId="6" xfId="932" applyNumberFormat="1" applyFont="1" applyFill="1" applyBorder="1" applyAlignment="1">
      <alignment horizontal="center" vertical="center"/>
    </xf>
    <xf numFmtId="49" fontId="2" fillId="0" borderId="6" xfId="0" applyNumberFormat="1" applyFont="1" applyFill="1" applyBorder="1" applyAlignment="1">
      <alignment horizontal="center" vertical="center" wrapText="1"/>
    </xf>
    <xf numFmtId="49" fontId="29" fillId="0" borderId="6" xfId="0" applyNumberFormat="1" applyFont="1" applyFill="1" applyBorder="1" applyAlignment="1">
      <alignment horizontal="center" vertical="center"/>
    </xf>
    <xf numFmtId="14" fontId="29" fillId="0" borderId="6" xfId="0" applyNumberFormat="1" applyFont="1" applyFill="1" applyBorder="1" applyAlignment="1">
      <alignment horizontal="center" vertical="center"/>
    </xf>
    <xf numFmtId="14" fontId="29" fillId="0" borderId="6" xfId="1628" applyNumberFormat="1" applyFont="1" applyFill="1" applyBorder="1" applyAlignment="1" applyProtection="1">
      <alignment horizontal="center" vertical="center"/>
    </xf>
    <xf numFmtId="14" fontId="2" fillId="0" borderId="6" xfId="0" applyNumberFormat="1" applyFont="1" applyFill="1" applyBorder="1" applyAlignment="1">
      <alignment horizontal="center" vertical="center"/>
    </xf>
    <xf numFmtId="49" fontId="43" fillId="0" borderId="6" xfId="930" applyNumberFormat="1" applyFont="1" applyFill="1" applyBorder="1" applyAlignment="1">
      <alignment horizontal="center" vertical="center"/>
    </xf>
    <xf numFmtId="14" fontId="43" fillId="0" borderId="6" xfId="930" applyNumberFormat="1" applyFont="1" applyFill="1" applyBorder="1" applyAlignment="1">
      <alignment horizontal="center" vertical="center"/>
    </xf>
    <xf numFmtId="2" fontId="41" fillId="54" borderId="17" xfId="1628"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49" fontId="204" fillId="0" borderId="0" xfId="0" applyNumberFormat="1" applyFont="1" applyFill="1" applyBorder="1" applyAlignment="1">
      <alignment horizontal="right" vertical="center" wrapText="1"/>
    </xf>
    <xf numFmtId="49" fontId="204" fillId="0" borderId="0" xfId="0" applyNumberFormat="1" applyFont="1" applyFill="1" applyBorder="1" applyAlignment="1">
      <alignment horizontal="left" vertical="center" wrapText="1"/>
    </xf>
    <xf numFmtId="0" fontId="204" fillId="0" borderId="0" xfId="0" applyFont="1" applyFill="1" applyBorder="1" applyAlignment="1">
      <alignment vertical="center" wrapText="1"/>
    </xf>
    <xf numFmtId="0" fontId="204" fillId="0" borderId="0" xfId="0" applyFont="1" applyFill="1" applyBorder="1" applyAlignment="1">
      <alignment vertical="center"/>
    </xf>
    <xf numFmtId="0" fontId="2" fillId="0" borderId="16" xfId="0" applyFont="1" applyFill="1" applyBorder="1" applyAlignment="1">
      <alignment horizontal="righ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51" xfId="0" applyFont="1" applyFill="1" applyBorder="1" applyAlignment="1">
      <alignment vertical="center" wrapText="1"/>
    </xf>
    <xf numFmtId="2" fontId="29" fillId="54" borderId="29" xfId="1628" applyNumberFormat="1" applyFont="1" applyFill="1" applyBorder="1" applyAlignment="1">
      <alignment horizontal="center" vertical="center" wrapText="1"/>
    </xf>
    <xf numFmtId="49" fontId="204" fillId="0" borderId="21" xfId="0" applyNumberFormat="1" applyFont="1" applyFill="1" applyBorder="1" applyAlignment="1">
      <alignment horizontal="right" vertical="center" wrapText="1"/>
    </xf>
    <xf numFmtId="0" fontId="2" fillId="0" borderId="21" xfId="0" applyFont="1" applyFill="1" applyBorder="1" applyAlignment="1">
      <alignment horizontal="right" vertical="center" wrapText="1"/>
    </xf>
    <xf numFmtId="0" fontId="197" fillId="0" borderId="17" xfId="0" applyFont="1" applyFill="1" applyBorder="1" applyAlignment="1">
      <alignment horizontal="justify" vertical="center"/>
    </xf>
    <xf numFmtId="0" fontId="204" fillId="0" borderId="17" xfId="0" applyFont="1" applyFill="1" applyBorder="1" applyAlignment="1">
      <alignment horizontal="left" vertical="center"/>
    </xf>
    <xf numFmtId="0" fontId="205" fillId="0" borderId="17" xfId="0" applyFont="1" applyFill="1" applyBorder="1" applyAlignment="1">
      <alignment vertical="center"/>
    </xf>
    <xf numFmtId="0" fontId="197" fillId="0" borderId="17" xfId="0" applyFont="1" applyFill="1" applyBorder="1" applyAlignment="1">
      <alignment horizontal="justify" vertical="center" wrapText="1"/>
    </xf>
    <xf numFmtId="0" fontId="2" fillId="0" borderId="41" xfId="0" applyFont="1" applyFill="1" applyBorder="1" applyAlignment="1">
      <alignment horizontal="right" vertical="center" wrapText="1"/>
    </xf>
    <xf numFmtId="2" fontId="29" fillId="54" borderId="51" xfId="1628" applyNumberFormat="1" applyFont="1" applyFill="1" applyBorder="1" applyAlignment="1">
      <alignment horizontal="center" vertical="center" wrapText="1"/>
    </xf>
    <xf numFmtId="49" fontId="204" fillId="0" borderId="41" xfId="0" applyNumberFormat="1" applyFont="1" applyFill="1" applyBorder="1" applyAlignment="1">
      <alignment horizontal="right" vertical="center" wrapText="1"/>
    </xf>
    <xf numFmtId="49" fontId="204" fillId="0" borderId="16" xfId="0" applyNumberFormat="1" applyFont="1" applyFill="1" applyBorder="1" applyAlignment="1">
      <alignment horizontal="left" vertical="center" wrapText="1"/>
    </xf>
    <xf numFmtId="0" fontId="204" fillId="0" borderId="51" xfId="0" applyFont="1" applyFill="1" applyBorder="1" applyAlignment="1">
      <alignment horizontal="justify" vertical="center"/>
    </xf>
    <xf numFmtId="0" fontId="197" fillId="0" borderId="51" xfId="0" applyFont="1" applyFill="1" applyBorder="1" applyAlignment="1">
      <alignment horizontal="justify" vertical="center" wrapText="1"/>
    </xf>
    <xf numFmtId="49" fontId="204" fillId="0" borderId="16" xfId="0" applyNumberFormat="1" applyFont="1" applyFill="1" applyBorder="1" applyAlignment="1">
      <alignment horizontal="right" vertical="center" wrapText="1"/>
    </xf>
    <xf numFmtId="1" fontId="204" fillId="0" borderId="16" xfId="0" applyNumberFormat="1" applyFont="1" applyFill="1" applyBorder="1" applyAlignment="1">
      <alignment horizontal="left" vertical="center" wrapText="1"/>
    </xf>
    <xf numFmtId="0" fontId="204" fillId="0" borderId="79" xfId="0" applyFont="1" applyFill="1" applyBorder="1" applyAlignment="1">
      <alignment vertical="center"/>
    </xf>
    <xf numFmtId="0" fontId="205" fillId="0" borderId="52" xfId="0" applyFont="1" applyFill="1" applyBorder="1" applyAlignment="1">
      <alignment vertical="center"/>
    </xf>
    <xf numFmtId="0" fontId="197" fillId="0" borderId="51" xfId="0" applyFont="1" applyFill="1" applyBorder="1" applyAlignment="1">
      <alignment horizontal="justify" vertical="center"/>
    </xf>
    <xf numFmtId="0" fontId="196" fillId="0" borderId="17" xfId="0" applyFont="1" applyFill="1" applyBorder="1" applyAlignment="1">
      <alignment horizontal="left" vertical="center" wrapText="1"/>
    </xf>
    <xf numFmtId="0" fontId="196" fillId="0" borderId="51" xfId="0" applyFont="1" applyFill="1" applyBorder="1" applyAlignment="1">
      <alignment horizontal="left" vertical="center" wrapText="1"/>
    </xf>
    <xf numFmtId="2" fontId="41" fillId="54" borderId="26" xfId="1628" applyNumberFormat="1" applyFont="1" applyFill="1" applyBorder="1" applyAlignment="1">
      <alignment horizontal="center" vertical="center" wrapText="1"/>
    </xf>
    <xf numFmtId="2" fontId="41" fillId="54" borderId="6" xfId="1628" applyNumberFormat="1" applyFont="1" applyFill="1" applyBorder="1" applyAlignment="1">
      <alignment horizontal="center" vertical="center" wrapText="1"/>
    </xf>
    <xf numFmtId="2" fontId="29" fillId="54" borderId="6" xfId="1628"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0" fillId="0" borderId="0" xfId="0" applyFill="1" applyBorder="1"/>
    <xf numFmtId="0" fontId="6" fillId="0" borderId="28"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0" xfId="0" applyFont="1" applyFill="1" applyBorder="1" applyAlignment="1">
      <alignment horizontal="center" vertical="center"/>
    </xf>
    <xf numFmtId="0" fontId="29" fillId="0" borderId="33" xfId="929" applyFont="1" applyFill="1" applyBorder="1" applyAlignment="1">
      <alignment horizontal="center" vertical="center" wrapText="1"/>
    </xf>
    <xf numFmtId="0" fontId="29" fillId="0" borderId="27" xfId="929" applyFont="1" applyFill="1" applyBorder="1" applyAlignment="1">
      <alignment horizontal="center" vertical="center" wrapText="1"/>
    </xf>
    <xf numFmtId="0" fontId="29" fillId="0" borderId="16" xfId="929" applyFont="1" applyFill="1" applyBorder="1" applyAlignment="1">
      <alignment horizontal="center" vertical="center" wrapText="1"/>
    </xf>
    <xf numFmtId="0" fontId="29" fillId="0" borderId="87" xfId="929" applyFont="1" applyFill="1" applyBorder="1" applyAlignment="1">
      <alignment horizontal="center" vertical="center" wrapText="1"/>
    </xf>
    <xf numFmtId="0" fontId="29" fillId="0" borderId="87" xfId="0" applyFont="1" applyFill="1" applyBorder="1" applyAlignment="1">
      <alignment vertical="top" wrapText="1"/>
    </xf>
    <xf numFmtId="0" fontId="29" fillId="0" borderId="16" xfId="0" applyFont="1" applyFill="1" applyBorder="1" applyAlignment="1">
      <alignment vertical="top" wrapText="1"/>
    </xf>
    <xf numFmtId="0" fontId="29" fillId="0" borderId="16" xfId="0" applyFont="1" applyFill="1" applyBorder="1" applyAlignment="1">
      <alignment horizontal="center" vertical="top" wrapText="1"/>
    </xf>
    <xf numFmtId="0" fontId="29" fillId="0" borderId="51" xfId="0" applyFont="1" applyFill="1" applyBorder="1" applyAlignment="1">
      <alignment vertical="top" wrapText="1"/>
    </xf>
    <xf numFmtId="0" fontId="29" fillId="0" borderId="87"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51" xfId="0" applyFont="1" applyFill="1" applyBorder="1" applyAlignment="1">
      <alignment horizontal="left" vertical="top" wrapText="1"/>
    </xf>
    <xf numFmtId="0" fontId="29" fillId="0" borderId="41" xfId="0" applyFont="1" applyFill="1" applyBorder="1" applyAlignment="1">
      <alignment vertical="top" wrapText="1"/>
    </xf>
    <xf numFmtId="0" fontId="0" fillId="0" borderId="27" xfId="0" applyFill="1" applyBorder="1" applyAlignment="1"/>
    <xf numFmtId="49" fontId="29" fillId="0" borderId="6" xfId="928" applyNumberFormat="1" applyFont="1" applyFill="1" applyBorder="1" applyAlignment="1">
      <alignment horizontal="center" vertical="center" wrapText="1"/>
    </xf>
    <xf numFmtId="0" fontId="28" fillId="0" borderId="31" xfId="928" applyFont="1" applyFill="1" applyBorder="1" applyAlignment="1">
      <alignment horizontal="left" vertical="center"/>
    </xf>
    <xf numFmtId="14" fontId="45" fillId="0" borderId="6" xfId="928" applyNumberFormat="1" applyFont="1" applyFill="1" applyBorder="1" applyAlignment="1">
      <alignment horizontal="center" vertical="center"/>
    </xf>
    <xf numFmtId="14" fontId="45" fillId="0" borderId="42" xfId="928" applyNumberFormat="1" applyFont="1" applyFill="1" applyBorder="1" applyAlignment="1">
      <alignment horizontal="center" vertical="center"/>
    </xf>
    <xf numFmtId="4" fontId="28" fillId="0" borderId="42" xfId="927" applyNumberFormat="1" applyFont="1" applyFill="1" applyBorder="1" applyAlignment="1">
      <alignment horizontal="center" vertical="center"/>
    </xf>
    <xf numFmtId="14" fontId="2" fillId="0" borderId="42" xfId="0" applyNumberFormat="1" applyFont="1" applyFill="1" applyBorder="1" applyAlignment="1">
      <alignment horizontal="center" vertical="center" wrapText="1"/>
    </xf>
    <xf numFmtId="14" fontId="29" fillId="0" borderId="42" xfId="928" applyNumberFormat="1" applyFont="1" applyFill="1" applyBorder="1" applyAlignment="1">
      <alignment horizontal="center" vertical="center"/>
    </xf>
    <xf numFmtId="4" fontId="42" fillId="0" borderId="42" xfId="927" applyNumberFormat="1" applyFont="1" applyFill="1" applyBorder="1" applyAlignment="1">
      <alignment horizontal="center" vertical="center"/>
    </xf>
    <xf numFmtId="14" fontId="45" fillId="0" borderId="42" xfId="928" applyNumberFormat="1" applyFont="1" applyFill="1" applyBorder="1" applyAlignment="1">
      <alignment horizontal="center" vertical="center" wrapText="1"/>
    </xf>
    <xf numFmtId="14" fontId="3" fillId="0" borderId="42" xfId="927" applyNumberFormat="1" applyFont="1" applyFill="1" applyBorder="1" applyAlignment="1">
      <alignment horizontal="center" vertical="center"/>
    </xf>
    <xf numFmtId="14" fontId="3" fillId="0" borderId="42" xfId="928" applyNumberFormat="1" applyFont="1" applyFill="1" applyBorder="1" applyAlignment="1">
      <alignment horizontal="center" vertical="center"/>
    </xf>
    <xf numFmtId="4" fontId="29" fillId="0" borderId="42" xfId="928" applyNumberFormat="1" applyFont="1" applyFill="1" applyBorder="1" applyAlignment="1">
      <alignment horizontal="center" vertical="center" wrapText="1"/>
    </xf>
    <xf numFmtId="14" fontId="29" fillId="0" borderId="42" xfId="928" applyNumberFormat="1" applyFont="1" applyFill="1" applyBorder="1" applyAlignment="1">
      <alignment horizontal="center" vertical="center" wrapText="1"/>
    </xf>
    <xf numFmtId="14" fontId="29" fillId="0" borderId="45" xfId="928" applyNumberFormat="1" applyFont="1" applyFill="1" applyBorder="1" applyAlignment="1">
      <alignment horizontal="center" vertical="center" wrapText="1"/>
    </xf>
    <xf numFmtId="4" fontId="28" fillId="0" borderId="42" xfId="928" applyNumberFormat="1" applyFont="1" applyFill="1" applyBorder="1" applyAlignment="1">
      <alignment horizontal="center" vertical="center" wrapText="1"/>
    </xf>
    <xf numFmtId="14" fontId="29" fillId="0" borderId="44" xfId="928" applyNumberFormat="1" applyFont="1" applyFill="1" applyBorder="1" applyAlignment="1">
      <alignment horizontal="center" vertical="center" wrapText="1"/>
    </xf>
    <xf numFmtId="2" fontId="6" fillId="0" borderId="17" xfId="0" applyNumberFormat="1" applyFont="1" applyFill="1" applyBorder="1" applyAlignment="1">
      <alignment horizontal="center"/>
    </xf>
    <xf numFmtId="2" fontId="29" fillId="0" borderId="44" xfId="927" applyNumberFormat="1" applyFont="1" applyFill="1" applyBorder="1" applyAlignment="1">
      <alignment horizontal="center" wrapText="1"/>
    </xf>
    <xf numFmtId="2" fontId="28" fillId="0" borderId="44" xfId="928" applyNumberFormat="1" applyFont="1" applyFill="1" applyBorder="1" applyAlignment="1">
      <alignment horizontal="center"/>
    </xf>
    <xf numFmtId="2" fontId="29" fillId="0" borderId="44" xfId="928" applyNumberFormat="1" applyFont="1" applyFill="1" applyBorder="1" applyAlignment="1">
      <alignment horizontal="center" wrapText="1"/>
    </xf>
    <xf numFmtId="2" fontId="28" fillId="0" borderId="44" xfId="928" applyNumberFormat="1" applyFont="1" applyFill="1" applyBorder="1" applyAlignment="1">
      <alignment horizontal="center" wrapText="1"/>
    </xf>
    <xf numFmtId="2" fontId="45" fillId="0" borderId="44" xfId="927" applyNumberFormat="1" applyFont="1" applyFill="1" applyBorder="1" applyAlignment="1">
      <alignment horizontal="center" wrapText="1"/>
    </xf>
    <xf numFmtId="2" fontId="29" fillId="0" borderId="44" xfId="929" applyNumberFormat="1" applyFont="1" applyFill="1" applyBorder="1" applyAlignment="1">
      <alignment horizontal="center" wrapText="1"/>
    </xf>
    <xf numFmtId="2" fontId="28" fillId="0" borderId="77" xfId="928" applyNumberFormat="1" applyFont="1" applyFill="1" applyBorder="1" applyAlignment="1">
      <alignment horizontal="center" wrapText="1"/>
    </xf>
    <xf numFmtId="2" fontId="45" fillId="0" borderId="6" xfId="928" applyNumberFormat="1" applyFont="1" applyFill="1" applyBorder="1" applyAlignment="1">
      <alignment horizontal="center" wrapText="1"/>
    </xf>
    <xf numFmtId="2" fontId="42" fillId="0" borderId="29" xfId="929" applyNumberFormat="1" applyFont="1" applyFill="1" applyBorder="1" applyAlignment="1">
      <alignment horizontal="left" vertical="center" wrapText="1"/>
    </xf>
    <xf numFmtId="0" fontId="28" fillId="0" borderId="106" xfId="928" applyFont="1" applyFill="1" applyBorder="1" applyAlignment="1">
      <alignment vertical="center"/>
    </xf>
    <xf numFmtId="49" fontId="29" fillId="0" borderId="98" xfId="929" applyNumberFormat="1" applyFont="1" applyFill="1" applyBorder="1" applyAlignment="1">
      <alignment horizontal="center" vertical="center" wrapText="1"/>
    </xf>
    <xf numFmtId="14" fontId="45" fillId="0" borderId="36" xfId="928" applyNumberFormat="1" applyFont="1" applyFill="1" applyBorder="1" applyAlignment="1">
      <alignment horizontal="center" vertical="center"/>
    </xf>
    <xf numFmtId="0" fontId="28" fillId="0" borderId="98" xfId="928" applyFont="1" applyFill="1" applyBorder="1" applyAlignment="1">
      <alignment horizontal="left" vertical="center"/>
    </xf>
    <xf numFmtId="14" fontId="28" fillId="0" borderId="36" xfId="927" applyNumberFormat="1" applyFont="1" applyFill="1" applyBorder="1" applyAlignment="1">
      <alignment horizontal="center" vertical="center"/>
    </xf>
    <xf numFmtId="14" fontId="2" fillId="0" borderId="36" xfId="0" applyNumberFormat="1" applyFont="1" applyFill="1" applyBorder="1" applyAlignment="1">
      <alignment horizontal="center" vertical="center" wrapText="1"/>
    </xf>
    <xf numFmtId="14" fontId="29" fillId="0" borderId="36" xfId="928" applyNumberFormat="1" applyFont="1" applyFill="1" applyBorder="1" applyAlignment="1">
      <alignment horizontal="center" vertical="center"/>
    </xf>
    <xf numFmtId="14" fontId="42" fillId="0" borderId="36" xfId="927" applyNumberFormat="1" applyFont="1" applyFill="1" applyBorder="1" applyAlignment="1">
      <alignment horizontal="center" vertical="center"/>
    </xf>
    <xf numFmtId="14" fontId="3" fillId="0" borderId="36" xfId="927" applyNumberFormat="1" applyFont="1" applyFill="1" applyBorder="1" applyAlignment="1">
      <alignment horizontal="center" vertical="center"/>
    </xf>
    <xf numFmtId="14" fontId="3" fillId="0" borderId="36" xfId="928" applyNumberFormat="1" applyFont="1" applyFill="1" applyBorder="1" applyAlignment="1">
      <alignment horizontal="center" vertical="center"/>
    </xf>
    <xf numFmtId="49" fontId="29" fillId="0" borderId="107" xfId="928" applyNumberFormat="1" applyFont="1" applyFill="1" applyBorder="1" applyAlignment="1">
      <alignment horizontal="center" vertical="center" wrapText="1"/>
    </xf>
    <xf numFmtId="14" fontId="29" fillId="0" borderId="36" xfId="928" applyNumberFormat="1" applyFont="1" applyFill="1" applyBorder="1" applyAlignment="1">
      <alignment horizontal="center" vertical="center" wrapText="1"/>
    </xf>
    <xf numFmtId="14" fontId="29" fillId="0" borderId="30" xfId="928" applyNumberFormat="1" applyFont="1" applyFill="1" applyBorder="1" applyAlignment="1">
      <alignment horizontal="center" vertical="center" wrapText="1"/>
    </xf>
    <xf numFmtId="14" fontId="28" fillId="0" borderId="36" xfId="928" applyNumberFormat="1" applyFont="1" applyFill="1" applyBorder="1" applyAlignment="1">
      <alignment horizontal="center" vertical="center" wrapText="1"/>
    </xf>
    <xf numFmtId="0" fontId="29" fillId="0" borderId="51" xfId="929" applyFont="1" applyFill="1" applyBorder="1" applyAlignment="1">
      <alignment horizontal="left" vertical="center" wrapText="1"/>
    </xf>
    <xf numFmtId="0" fontId="29" fillId="0" borderId="38" xfId="929" applyFont="1" applyFill="1" applyBorder="1" applyAlignment="1">
      <alignment horizontal="left" vertical="center" wrapText="1"/>
    </xf>
    <xf numFmtId="0" fontId="0" fillId="0" borderId="38" xfId="0" applyFill="1" applyBorder="1" applyAlignment="1"/>
    <xf numFmtId="0" fontId="29" fillId="0" borderId="51" xfId="0" applyFont="1" applyFill="1" applyBorder="1" applyAlignment="1">
      <alignment horizontal="left" vertical="top"/>
    </xf>
    <xf numFmtId="0" fontId="29" fillId="0" borderId="51" xfId="0" applyFont="1" applyFill="1" applyBorder="1" applyAlignment="1">
      <alignment vertical="top"/>
    </xf>
    <xf numFmtId="0" fontId="28" fillId="0" borderId="108" xfId="928" applyFont="1" applyFill="1" applyBorder="1" applyAlignment="1">
      <alignment horizontal="left" vertical="center"/>
    </xf>
    <xf numFmtId="2" fontId="45" fillId="0" borderId="48" xfId="928" applyNumberFormat="1" applyFont="1" applyFill="1" applyBorder="1" applyAlignment="1">
      <alignment horizontal="center" wrapText="1"/>
    </xf>
    <xf numFmtId="49" fontId="37" fillId="54" borderId="6" xfId="0" applyNumberFormat="1" applyFont="1" applyFill="1" applyBorder="1" applyAlignment="1">
      <alignment horizontal="center" vertical="center" wrapText="1"/>
    </xf>
    <xf numFmtId="0" fontId="37" fillId="55" borderId="0" xfId="0" applyFont="1" applyFill="1" applyBorder="1" applyAlignment="1">
      <alignment horizontal="left" vertical="center" wrapText="1"/>
    </xf>
    <xf numFmtId="49" fontId="0" fillId="54" borderId="29" xfId="0" applyNumberFormat="1" applyFill="1" applyBorder="1" applyAlignment="1">
      <alignment horizontal="center" vertical="center"/>
    </xf>
    <xf numFmtId="0" fontId="9" fillId="0" borderId="0" xfId="0" applyFont="1"/>
    <xf numFmtId="2" fontId="0" fillId="0" borderId="0" xfId="0" applyNumberFormat="1" applyAlignment="1">
      <alignment horizontal="center"/>
    </xf>
    <xf numFmtId="4" fontId="35" fillId="54" borderId="36" xfId="0" applyNumberFormat="1" applyFont="1" applyFill="1" applyBorder="1" applyAlignment="1">
      <alignment horizontal="center" vertical="center"/>
    </xf>
    <xf numFmtId="2" fontId="42" fillId="54" borderId="29" xfId="1628" applyNumberFormat="1" applyFont="1" applyFill="1" applyBorder="1" applyAlignment="1">
      <alignment horizontal="center" vertical="center" wrapText="1"/>
    </xf>
    <xf numFmtId="49" fontId="29" fillId="54" borderId="32" xfId="929" applyNumberFormat="1" applyFont="1" applyFill="1" applyBorder="1" applyAlignment="1">
      <alignment horizontal="center" vertical="center" wrapText="1"/>
    </xf>
    <xf numFmtId="49" fontId="29" fillId="54" borderId="42" xfId="928" applyNumberFormat="1" applyFont="1" applyFill="1" applyBorder="1" applyAlignment="1">
      <alignment horizontal="center" vertical="center" wrapText="1"/>
    </xf>
    <xf numFmtId="0" fontId="197" fillId="0" borderId="6" xfId="0" applyFont="1" applyBorder="1" applyAlignment="1">
      <alignment horizontal="center" vertical="center" wrapText="1"/>
    </xf>
    <xf numFmtId="0" fontId="197" fillId="0" borderId="6" xfId="0" applyFont="1" applyFill="1" applyBorder="1" applyAlignment="1">
      <alignment vertical="center" wrapText="1"/>
    </xf>
    <xf numFmtId="1" fontId="197" fillId="0" borderId="6" xfId="0" applyNumberFormat="1" applyFont="1" applyFill="1" applyBorder="1" applyAlignment="1">
      <alignment horizontal="center" vertical="center" wrapText="1"/>
    </xf>
    <xf numFmtId="0" fontId="37" fillId="55" borderId="0" xfId="0" applyFont="1" applyFill="1" applyBorder="1" applyAlignment="1">
      <alignment horizontal="left" vertical="center" wrapText="1"/>
    </xf>
    <xf numFmtId="0" fontId="2" fillId="54" borderId="16" xfId="0" applyFont="1" applyFill="1" applyBorder="1" applyAlignment="1">
      <alignment horizontal="left" vertical="center" wrapText="1"/>
    </xf>
    <xf numFmtId="0" fontId="28" fillId="54" borderId="28" xfId="0" applyFont="1" applyFill="1" applyBorder="1" applyAlignment="1">
      <alignment horizontal="center" vertical="center" wrapText="1"/>
    </xf>
    <xf numFmtId="0" fontId="2" fillId="54" borderId="0" xfId="0" applyFont="1" applyFill="1" applyBorder="1" applyAlignment="1">
      <alignment horizontal="right" vertical="center" wrapText="1"/>
    </xf>
    <xf numFmtId="0" fontId="2" fillId="54" borderId="0" xfId="0" applyFont="1" applyFill="1" applyBorder="1" applyAlignment="1">
      <alignment horizontal="left" vertical="center" wrapText="1"/>
    </xf>
    <xf numFmtId="0" fontId="2" fillId="55" borderId="0" xfId="0" applyFont="1" applyFill="1" applyBorder="1" applyAlignment="1">
      <alignment horizontal="right" vertical="center" wrapText="1"/>
    </xf>
    <xf numFmtId="0" fontId="2" fillId="55" borderId="0" xfId="0" applyFont="1" applyFill="1" applyBorder="1" applyAlignment="1">
      <alignment horizontal="left" vertical="center" wrapText="1"/>
    </xf>
    <xf numFmtId="0" fontId="2" fillId="55" borderId="17" xfId="0" applyFont="1" applyFill="1" applyBorder="1" applyAlignment="1">
      <alignment vertical="center" wrapText="1"/>
    </xf>
    <xf numFmtId="0" fontId="2" fillId="54" borderId="41" xfId="0" applyFont="1" applyFill="1" applyBorder="1" applyAlignment="1">
      <alignment horizontal="right" vertical="center" wrapText="1"/>
    </xf>
    <xf numFmtId="0" fontId="2" fillId="55" borderId="16" xfId="0" applyFont="1" applyFill="1" applyBorder="1" applyAlignment="1">
      <alignment horizontal="right" vertical="center" wrapText="1"/>
    </xf>
    <xf numFmtId="0" fontId="2" fillId="55" borderId="16" xfId="0" applyFont="1" applyFill="1" applyBorder="1" applyAlignment="1">
      <alignment horizontal="left" vertical="center" wrapText="1"/>
    </xf>
    <xf numFmtId="0" fontId="2" fillId="55" borderId="51" xfId="0" applyFont="1" applyFill="1" applyBorder="1" applyAlignment="1">
      <alignment vertical="center" wrapText="1"/>
    </xf>
    <xf numFmtId="0" fontId="2" fillId="59" borderId="41" xfId="0" applyFont="1" applyFill="1" applyBorder="1" applyAlignment="1">
      <alignment horizontal="right" vertical="center" wrapText="1"/>
    </xf>
    <xf numFmtId="0" fontId="2" fillId="59" borderId="16" xfId="0" applyFont="1" applyFill="1" applyBorder="1" applyAlignment="1">
      <alignment horizontal="left" vertical="center" wrapText="1"/>
    </xf>
    <xf numFmtId="0" fontId="2" fillId="61" borderId="16" xfId="0" applyFont="1" applyFill="1" applyBorder="1" applyAlignment="1">
      <alignment horizontal="right" vertical="center" wrapText="1"/>
    </xf>
    <xf numFmtId="0" fontId="2" fillId="61" borderId="16" xfId="0" applyFont="1" applyFill="1" applyBorder="1" applyAlignment="1">
      <alignment horizontal="left" vertical="center" wrapText="1"/>
    </xf>
    <xf numFmtId="0" fontId="2" fillId="61" borderId="51" xfId="0" applyFont="1" applyFill="1" applyBorder="1" applyAlignment="1">
      <alignment vertical="center" wrapText="1"/>
    </xf>
    <xf numFmtId="4" fontId="41" fillId="0" borderId="6" xfId="0" applyNumberFormat="1" applyFont="1" applyFill="1" applyBorder="1" applyAlignment="1">
      <alignment horizontal="center" vertical="center"/>
    </xf>
    <xf numFmtId="4" fontId="42" fillId="0" borderId="6" xfId="0" applyNumberFormat="1"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wrapText="1"/>
    </xf>
    <xf numFmtId="0" fontId="26" fillId="0" borderId="0" xfId="0" applyFont="1" applyAlignment="1">
      <alignment horizontal="center" wrapText="1"/>
    </xf>
    <xf numFmtId="0" fontId="24" fillId="0" borderId="0" xfId="0" applyFont="1" applyAlignment="1">
      <alignment horizontal="left" wrapText="1"/>
    </xf>
    <xf numFmtId="0" fontId="25" fillId="0" borderId="0" xfId="0" applyFont="1" applyAlignment="1">
      <alignment horizontal="left" wrapText="1"/>
    </xf>
    <xf numFmtId="0" fontId="5" fillId="0" borderId="0" xfId="0" applyFont="1" applyAlignment="1">
      <alignment horizontal="left" vertical="top" wrapText="1"/>
    </xf>
    <xf numFmtId="0" fontId="20" fillId="0" borderId="0" xfId="0" applyFont="1" applyAlignment="1">
      <alignment horizontal="left" vertical="top" wrapText="1"/>
    </xf>
    <xf numFmtId="0" fontId="6" fillId="0" borderId="0" xfId="0" applyFont="1" applyAlignment="1">
      <alignment horizontal="center" vertical="center" wrapText="1"/>
    </xf>
    <xf numFmtId="0" fontId="9" fillId="0" borderId="0" xfId="0" applyFont="1" applyAlignment="1">
      <alignment horizontal="left" vertical="top" wrapText="1"/>
    </xf>
    <xf numFmtId="0" fontId="5" fillId="0" borderId="0" xfId="0" applyFont="1" applyAlignment="1">
      <alignment horizontal="center" vertical="top" wrapText="1"/>
    </xf>
    <xf numFmtId="0" fontId="24" fillId="0" borderId="0" xfId="0" applyFont="1" applyAlignment="1">
      <alignment horizontal="center" wrapText="1"/>
    </xf>
    <xf numFmtId="0" fontId="28" fillId="0" borderId="0" xfId="0" applyFont="1" applyFill="1" applyAlignment="1">
      <alignment horizontal="left" wrapText="1" indent="3"/>
    </xf>
    <xf numFmtId="0" fontId="28" fillId="0" borderId="12" xfId="0" applyFont="1" applyFill="1" applyBorder="1" applyAlignment="1"/>
    <xf numFmtId="0" fontId="194" fillId="0" borderId="73" xfId="0" applyFont="1" applyFill="1" applyBorder="1" applyAlignment="1">
      <alignment horizontal="center" vertical="center" wrapText="1"/>
    </xf>
    <xf numFmtId="0" fontId="194" fillId="0" borderId="74" xfId="0" applyFont="1" applyFill="1" applyBorder="1" applyAlignment="1">
      <alignment horizontal="center"/>
    </xf>
    <xf numFmtId="0" fontId="194" fillId="0" borderId="74" xfId="0" applyFont="1" applyFill="1" applyBorder="1" applyAlignment="1">
      <alignment horizontal="center" wrapText="1"/>
    </xf>
    <xf numFmtId="0" fontId="194" fillId="0" borderId="24" xfId="0" applyFont="1" applyFill="1" applyBorder="1" applyAlignment="1">
      <alignment horizontal="center" vertical="center" wrapText="1"/>
    </xf>
    <xf numFmtId="0" fontId="194" fillId="0" borderId="75" xfId="0" applyFont="1" applyFill="1" applyBorder="1" applyAlignment="1">
      <alignment horizontal="center" vertical="center" wrapText="1"/>
    </xf>
    <xf numFmtId="0" fontId="28" fillId="0" borderId="0" xfId="0" applyFont="1" applyAlignment="1">
      <alignment horizontal="left" wrapText="1" indent="3"/>
    </xf>
    <xf numFmtId="0" fontId="9" fillId="0" borderId="0" xfId="0" applyFont="1"/>
    <xf numFmtId="1" fontId="28" fillId="54" borderId="0" xfId="0" applyNumberFormat="1" applyFont="1" applyFill="1" applyBorder="1" applyAlignment="1">
      <alignment horizontal="left" vertical="center" wrapText="1"/>
    </xf>
    <xf numFmtId="0" fontId="9" fillId="0" borderId="0" xfId="0" applyFont="1" applyAlignment="1"/>
    <xf numFmtId="4" fontId="32" fillId="0" borderId="32" xfId="0" applyNumberFormat="1" applyFont="1" applyBorder="1" applyAlignment="1">
      <alignment horizontal="center" vertical="center" wrapText="1"/>
    </xf>
    <xf numFmtId="4" fontId="32" fillId="0" borderId="35" xfId="0" applyNumberFormat="1" applyFont="1" applyBorder="1" applyAlignment="1">
      <alignment horizontal="center" vertical="center" wrapText="1"/>
    </xf>
    <xf numFmtId="0" fontId="32" fillId="54" borderId="28" xfId="0" applyFont="1" applyFill="1" applyBorder="1" applyAlignment="1">
      <alignment horizontal="center" vertical="center" wrapText="1"/>
    </xf>
    <xf numFmtId="0" fontId="32" fillId="54" borderId="48" xfId="0" applyFont="1" applyFill="1" applyBorder="1" applyAlignment="1">
      <alignment horizontal="center" vertical="center" wrapText="1"/>
    </xf>
    <xf numFmtId="0" fontId="29" fillId="54" borderId="6" xfId="0" applyFont="1" applyFill="1" applyBorder="1" applyAlignment="1">
      <alignment horizontal="center" vertical="center"/>
    </xf>
    <xf numFmtId="2" fontId="30" fillId="0" borderId="42" xfId="0" applyNumberFormat="1" applyFont="1" applyBorder="1" applyAlignment="1">
      <alignment horizontal="center" vertical="center" wrapText="1"/>
    </xf>
    <xf numFmtId="2" fontId="30" fillId="0" borderId="46" xfId="0" applyNumberFormat="1" applyFont="1" applyBorder="1" applyAlignment="1">
      <alignment horizontal="center" vertical="center" wrapText="1"/>
    </xf>
    <xf numFmtId="0" fontId="30" fillId="0" borderId="35" xfId="0" applyFont="1" applyBorder="1" applyAlignment="1">
      <alignment horizontal="center" vertical="center"/>
    </xf>
    <xf numFmtId="0" fontId="30" fillId="0" borderId="40" xfId="0" applyFont="1" applyBorder="1" applyAlignment="1">
      <alignment horizontal="center" vertical="center"/>
    </xf>
    <xf numFmtId="0" fontId="30" fillId="0" borderId="77" xfId="0" applyFont="1" applyBorder="1" applyAlignment="1">
      <alignment horizontal="center" vertical="center"/>
    </xf>
    <xf numFmtId="0" fontId="30" fillId="0" borderId="47" xfId="0" applyFont="1" applyBorder="1" applyAlignment="1">
      <alignment horizontal="center" vertical="center"/>
    </xf>
    <xf numFmtId="0" fontId="30" fillId="0" borderId="0" xfId="0" applyFont="1" applyBorder="1" applyAlignment="1">
      <alignment horizontal="center" vertical="center"/>
    </xf>
    <xf numFmtId="0" fontId="30" fillId="0" borderId="78" xfId="0" applyFont="1" applyBorder="1" applyAlignment="1">
      <alignment horizontal="center" vertical="center"/>
    </xf>
    <xf numFmtId="4" fontId="30" fillId="0" borderId="32" xfId="0" applyNumberFormat="1" applyFont="1" applyBorder="1" applyAlignment="1">
      <alignment horizontal="center" vertical="center" wrapText="1"/>
    </xf>
    <xf numFmtId="4" fontId="30" fillId="0" borderId="35" xfId="0" applyNumberFormat="1" applyFont="1" applyBorder="1" applyAlignment="1">
      <alignment horizontal="center" vertical="center" wrapText="1"/>
    </xf>
    <xf numFmtId="0" fontId="30" fillId="54" borderId="28" xfId="0" applyFont="1" applyFill="1" applyBorder="1" applyAlignment="1">
      <alignment horizontal="center" vertical="center" wrapText="1"/>
    </xf>
    <xf numFmtId="0" fontId="30" fillId="54" borderId="48" xfId="0" applyFont="1" applyFill="1" applyBorder="1" applyAlignment="1">
      <alignment horizontal="center" vertical="center" wrapText="1"/>
    </xf>
    <xf numFmtId="2" fontId="32" fillId="0" borderId="42" xfId="0" applyNumberFormat="1" applyFont="1" applyBorder="1" applyAlignment="1">
      <alignment horizontal="center" vertical="center" wrapText="1"/>
    </xf>
    <xf numFmtId="2" fontId="32" fillId="0" borderId="46" xfId="0" applyNumberFormat="1" applyFont="1" applyBorder="1" applyAlignment="1">
      <alignment horizontal="center" vertical="center" wrapText="1"/>
    </xf>
    <xf numFmtId="0" fontId="32" fillId="0" borderId="35" xfId="0" applyFont="1" applyBorder="1" applyAlignment="1">
      <alignment horizontal="center" vertical="center"/>
    </xf>
    <xf numFmtId="0" fontId="32" fillId="0" borderId="40" xfId="0" applyFont="1" applyBorder="1" applyAlignment="1">
      <alignment horizontal="center" vertical="center"/>
    </xf>
    <xf numFmtId="0" fontId="32" fillId="0" borderId="77" xfId="0" applyFont="1" applyBorder="1" applyAlignment="1">
      <alignment horizontal="center" vertical="center"/>
    </xf>
    <xf numFmtId="0" fontId="32" fillId="0" borderId="47" xfId="0" applyFont="1" applyBorder="1" applyAlignment="1">
      <alignment horizontal="center" vertical="center"/>
    </xf>
    <xf numFmtId="0" fontId="32" fillId="0" borderId="0" xfId="0" applyFont="1" applyBorder="1" applyAlignment="1">
      <alignment horizontal="center" vertical="center"/>
    </xf>
    <xf numFmtId="0" fontId="32" fillId="0" borderId="78" xfId="0" applyFont="1" applyBorder="1" applyAlignment="1">
      <alignment horizontal="center" vertical="center"/>
    </xf>
    <xf numFmtId="49" fontId="42" fillId="54" borderId="6" xfId="0" applyNumberFormat="1" applyFont="1" applyFill="1" applyBorder="1" applyAlignment="1">
      <alignment horizontal="center" vertical="center" wrapText="1"/>
    </xf>
    <xf numFmtId="0" fontId="28" fillId="54" borderId="6" xfId="931" applyFont="1" applyFill="1" applyBorder="1" applyAlignment="1">
      <alignment horizontal="left" vertical="center" wrapText="1"/>
    </xf>
    <xf numFmtId="0" fontId="11" fillId="0" borderId="6" xfId="0" applyFont="1" applyBorder="1"/>
    <xf numFmtId="49" fontId="29" fillId="56" borderId="28" xfId="930" applyNumberFormat="1" applyFont="1" applyFill="1" applyBorder="1" applyAlignment="1">
      <alignment horizontal="left" vertical="center" wrapText="1"/>
    </xf>
    <xf numFmtId="49" fontId="29" fillId="56" borderId="49" xfId="930" applyNumberFormat="1" applyFont="1" applyFill="1" applyBorder="1" applyAlignment="1">
      <alignment horizontal="left" vertical="center" wrapText="1"/>
    </xf>
    <xf numFmtId="49" fontId="29" fillId="56" borderId="48" xfId="930" applyNumberFormat="1" applyFont="1" applyFill="1" applyBorder="1" applyAlignment="1">
      <alignment horizontal="left" vertical="center" wrapText="1"/>
    </xf>
    <xf numFmtId="0" fontId="41" fillId="54" borderId="6" xfId="930" applyFont="1" applyFill="1" applyBorder="1" applyAlignment="1">
      <alignment horizontal="left" vertical="center" wrapText="1"/>
    </xf>
    <xf numFmtId="49" fontId="29" fillId="56" borderId="6" xfId="930" applyNumberFormat="1" applyFont="1" applyFill="1" applyBorder="1" applyAlignment="1">
      <alignment horizontal="left" vertical="center"/>
    </xf>
    <xf numFmtId="49" fontId="29" fillId="54" borderId="29" xfId="931" applyNumberFormat="1" applyFont="1" applyFill="1" applyBorder="1" applyAlignment="1">
      <alignment horizontal="left" vertical="center"/>
    </xf>
    <xf numFmtId="0" fontId="41" fillId="54" borderId="26" xfId="931" applyFont="1" applyFill="1" applyBorder="1" applyAlignment="1">
      <alignment horizontal="left" vertical="center" wrapText="1"/>
    </xf>
    <xf numFmtId="49" fontId="28" fillId="54" borderId="6" xfId="931" applyNumberFormat="1" applyFont="1" applyFill="1" applyBorder="1" applyAlignment="1">
      <alignment horizontal="left" vertical="center"/>
    </xf>
    <xf numFmtId="0" fontId="29" fillId="54" borderId="6" xfId="0" applyFont="1" applyFill="1" applyBorder="1" applyAlignment="1">
      <alignment vertical="center" wrapText="1"/>
    </xf>
    <xf numFmtId="0" fontId="28" fillId="54" borderId="6" xfId="0" applyFont="1" applyFill="1" applyBorder="1" applyAlignment="1">
      <alignment wrapText="1"/>
    </xf>
    <xf numFmtId="0" fontId="9" fillId="0" borderId="6" xfId="0" applyFont="1" applyBorder="1" applyAlignment="1"/>
    <xf numFmtId="0" fontId="29" fillId="54" borderId="26" xfId="0" applyFont="1" applyFill="1" applyBorder="1" applyAlignment="1">
      <alignment vertical="center" wrapText="1"/>
    </xf>
    <xf numFmtId="0" fontId="41" fillId="54" borderId="6" xfId="0" applyFont="1" applyFill="1" applyBorder="1" applyAlignment="1">
      <alignment vertical="center" wrapText="1"/>
    </xf>
    <xf numFmtId="0" fontId="41" fillId="54" borderId="26" xfId="0" applyFont="1" applyFill="1" applyBorder="1" applyAlignment="1">
      <alignment vertical="center" wrapText="1"/>
    </xf>
    <xf numFmtId="0" fontId="29" fillId="54" borderId="29" xfId="0" applyFont="1" applyFill="1" applyBorder="1" applyAlignment="1">
      <alignment vertical="center" wrapText="1"/>
    </xf>
    <xf numFmtId="49" fontId="42" fillId="54" borderId="28" xfId="0" applyNumberFormat="1" applyFont="1" applyFill="1" applyBorder="1" applyAlignment="1">
      <alignment horizontal="center" vertical="top" wrapText="1"/>
    </xf>
    <xf numFmtId="49" fontId="42" fillId="54" borderId="49" xfId="0" applyNumberFormat="1" applyFont="1" applyFill="1" applyBorder="1" applyAlignment="1">
      <alignment horizontal="center" vertical="top" wrapText="1"/>
    </xf>
    <xf numFmtId="49" fontId="42" fillId="54" borderId="48" xfId="0" applyNumberFormat="1" applyFont="1" applyFill="1" applyBorder="1" applyAlignment="1">
      <alignment horizontal="center" vertical="top" wrapText="1"/>
    </xf>
    <xf numFmtId="49" fontId="42" fillId="54" borderId="6" xfId="931" applyNumberFormat="1" applyFont="1" applyFill="1" applyBorder="1" applyAlignment="1">
      <alignment horizontal="center" vertical="center"/>
    </xf>
    <xf numFmtId="0" fontId="7" fillId="0" borderId="28" xfId="0" applyFont="1" applyBorder="1" applyAlignment="1">
      <alignment horizontal="left" vertical="center" wrapText="1"/>
    </xf>
    <xf numFmtId="0" fontId="7" fillId="0" borderId="49" xfId="0" applyFont="1" applyBorder="1" applyAlignment="1">
      <alignment horizontal="left" vertical="center" wrapText="1"/>
    </xf>
    <xf numFmtId="0" fontId="7" fillId="0" borderId="48" xfId="0" applyFont="1" applyBorder="1" applyAlignment="1">
      <alignment horizontal="left" vertical="center" wrapText="1"/>
    </xf>
    <xf numFmtId="0" fontId="41" fillId="54" borderId="6" xfId="931" applyFont="1" applyFill="1" applyBorder="1" applyAlignment="1">
      <alignment horizontal="left" vertical="center" wrapText="1"/>
    </xf>
    <xf numFmtId="49" fontId="28" fillId="54" borderId="47" xfId="931" applyNumberFormat="1" applyFont="1" applyFill="1" applyBorder="1" applyAlignment="1">
      <alignment horizontal="left" vertical="center"/>
    </xf>
    <xf numFmtId="49" fontId="28" fillId="54" borderId="0" xfId="931" applyNumberFormat="1" applyFont="1" applyFill="1" applyBorder="1" applyAlignment="1">
      <alignment horizontal="left" vertical="center"/>
    </xf>
    <xf numFmtId="0" fontId="42" fillId="54" borderId="6" xfId="0" applyFont="1" applyFill="1" applyBorder="1" applyAlignment="1">
      <alignment horizontal="center" wrapText="1"/>
    </xf>
    <xf numFmtId="0" fontId="18" fillId="0" borderId="6" xfId="0" applyFont="1" applyBorder="1" applyAlignment="1">
      <alignment horizontal="left" vertical="center" wrapText="1"/>
    </xf>
    <xf numFmtId="0" fontId="29" fillId="54" borderId="28" xfId="0" applyFont="1" applyFill="1" applyBorder="1" applyAlignment="1">
      <alignment vertical="center" wrapText="1"/>
    </xf>
    <xf numFmtId="0" fontId="29" fillId="54" borderId="49" xfId="0" applyFont="1" applyFill="1" applyBorder="1" applyAlignment="1">
      <alignment vertical="center" wrapText="1"/>
    </xf>
    <xf numFmtId="0" fontId="29" fillId="54" borderId="76" xfId="0" applyFont="1" applyFill="1" applyBorder="1" applyAlignment="1">
      <alignment vertical="center" wrapText="1"/>
    </xf>
    <xf numFmtId="0" fontId="42" fillId="54" borderId="28" xfId="0" applyFont="1" applyFill="1" applyBorder="1" applyAlignment="1">
      <alignment horizontal="center" wrapText="1"/>
    </xf>
    <xf numFmtId="0" fontId="42" fillId="54" borderId="49" xfId="0" applyFont="1" applyFill="1" applyBorder="1" applyAlignment="1">
      <alignment horizontal="center" wrapText="1"/>
    </xf>
    <xf numFmtId="0" fontId="42" fillId="54" borderId="48" xfId="0" applyFont="1" applyFill="1" applyBorder="1" applyAlignment="1">
      <alignment horizontal="center" wrapText="1"/>
    </xf>
    <xf numFmtId="0" fontId="48" fillId="54" borderId="28" xfId="0" applyFont="1" applyFill="1" applyBorder="1" applyAlignment="1">
      <alignment horizontal="left" vertical="center" wrapText="1"/>
    </xf>
    <xf numFmtId="0" fontId="48" fillId="54" borderId="49" xfId="0" applyFont="1" applyFill="1" applyBorder="1" applyAlignment="1">
      <alignment horizontal="left" vertical="center" wrapText="1"/>
    </xf>
    <xf numFmtId="0" fontId="48" fillId="54" borderId="76" xfId="0" applyFont="1" applyFill="1" applyBorder="1" applyAlignment="1">
      <alignment horizontal="left" vertical="center" wrapText="1"/>
    </xf>
    <xf numFmtId="0" fontId="28" fillId="54" borderId="28" xfId="0" applyFont="1" applyFill="1" applyBorder="1" applyAlignment="1">
      <alignment wrapText="1"/>
    </xf>
    <xf numFmtId="0" fontId="28" fillId="54" borderId="49" xfId="0" applyFont="1" applyFill="1" applyBorder="1" applyAlignment="1">
      <alignment wrapText="1"/>
    </xf>
    <xf numFmtId="0" fontId="28" fillId="54" borderId="76" xfId="0" applyFont="1" applyFill="1" applyBorder="1" applyAlignment="1">
      <alignment wrapText="1"/>
    </xf>
    <xf numFmtId="0" fontId="41" fillId="54" borderId="28" xfId="0" applyFont="1" applyFill="1" applyBorder="1" applyAlignment="1">
      <alignment vertical="center" wrapText="1"/>
    </xf>
    <xf numFmtId="0" fontId="41" fillId="54" borderId="49" xfId="0" applyFont="1" applyFill="1" applyBorder="1" applyAlignment="1">
      <alignment vertical="center" wrapText="1"/>
    </xf>
    <xf numFmtId="0" fontId="41" fillId="54" borderId="76" xfId="0" applyFont="1" applyFill="1" applyBorder="1" applyAlignment="1">
      <alignment vertical="center" wrapText="1"/>
    </xf>
    <xf numFmtId="0" fontId="28" fillId="54" borderId="48" xfId="0" applyFont="1" applyFill="1" applyBorder="1" applyAlignment="1">
      <alignment wrapText="1"/>
    </xf>
    <xf numFmtId="0" fontId="42" fillId="54" borderId="28" xfId="0" applyFont="1" applyFill="1" applyBorder="1" applyAlignment="1">
      <alignment wrapText="1"/>
    </xf>
    <xf numFmtId="0" fontId="42" fillId="54" borderId="49" xfId="0" applyFont="1" applyFill="1" applyBorder="1" applyAlignment="1">
      <alignment wrapText="1"/>
    </xf>
    <xf numFmtId="0" fontId="42" fillId="54" borderId="48" xfId="0" applyFont="1" applyFill="1" applyBorder="1" applyAlignment="1">
      <alignment wrapText="1"/>
    </xf>
    <xf numFmtId="0" fontId="37" fillId="55" borderId="32" xfId="0" applyFont="1" applyFill="1" applyBorder="1" applyAlignment="1">
      <alignment horizontal="left" vertical="center" wrapText="1"/>
    </xf>
    <xf numFmtId="0" fontId="37" fillId="55" borderId="31" xfId="0" applyFont="1" applyFill="1" applyBorder="1" applyAlignment="1">
      <alignment horizontal="left" vertical="center" wrapText="1"/>
    </xf>
    <xf numFmtId="0" fontId="37" fillId="55" borderId="44" xfId="0" applyFont="1" applyFill="1" applyBorder="1" applyAlignment="1">
      <alignment horizontal="left" vertical="center" wrapText="1"/>
    </xf>
    <xf numFmtId="0" fontId="29" fillId="0" borderId="28" xfId="0" applyFont="1" applyFill="1" applyBorder="1" applyAlignment="1">
      <alignment vertical="center" wrapText="1"/>
    </xf>
    <xf numFmtId="0" fontId="29" fillId="0" borderId="49" xfId="0" applyFont="1" applyFill="1" applyBorder="1" applyAlignment="1">
      <alignment vertical="center" wrapText="1"/>
    </xf>
    <xf numFmtId="0" fontId="29" fillId="0" borderId="76" xfId="0" applyFont="1" applyFill="1" applyBorder="1" applyAlignment="1">
      <alignment vertical="center" wrapText="1"/>
    </xf>
    <xf numFmtId="0" fontId="29" fillId="0" borderId="48" xfId="0" applyFont="1" applyFill="1" applyBorder="1" applyAlignment="1">
      <alignment vertical="center" wrapText="1"/>
    </xf>
    <xf numFmtId="49" fontId="37" fillId="54" borderId="26" xfId="0" applyNumberFormat="1" applyFont="1" applyFill="1" applyBorder="1" applyAlignment="1">
      <alignment horizontal="center" vertical="center" wrapText="1"/>
    </xf>
    <xf numFmtId="0" fontId="191" fillId="0" borderId="29" xfId="0" applyFont="1" applyBorder="1" applyAlignment="1">
      <alignment horizontal="center" vertical="center" wrapText="1"/>
    </xf>
    <xf numFmtId="0" fontId="37" fillId="55" borderId="21" xfId="0" applyFont="1" applyFill="1" applyBorder="1" applyAlignment="1">
      <alignment horizontal="left" vertical="center" wrapText="1"/>
    </xf>
    <xf numFmtId="0" fontId="37" fillId="55" borderId="0" xfId="0" applyFont="1" applyFill="1" applyBorder="1" applyAlignment="1">
      <alignment horizontal="left" vertical="center" wrapText="1"/>
    </xf>
    <xf numFmtId="0" fontId="37" fillId="55" borderId="17" xfId="0" applyFont="1" applyFill="1" applyBorder="1" applyAlignment="1">
      <alignment horizontal="left" vertical="center" wrapText="1"/>
    </xf>
    <xf numFmtId="4" fontId="37" fillId="0" borderId="35" xfId="0" applyNumberFormat="1" applyFont="1" applyFill="1" applyBorder="1" applyAlignment="1">
      <alignment horizontal="center" vertical="center"/>
    </xf>
    <xf numFmtId="4" fontId="37" fillId="0" borderId="33" xfId="0" applyNumberFormat="1" applyFont="1" applyFill="1" applyBorder="1" applyAlignment="1">
      <alignment horizontal="center" vertical="center"/>
    </xf>
    <xf numFmtId="14" fontId="29" fillId="54" borderId="26" xfId="0" applyNumberFormat="1" applyFont="1" applyFill="1" applyBorder="1" applyAlignment="1">
      <alignment horizontal="center" vertical="center" wrapText="1"/>
    </xf>
    <xf numFmtId="14" fontId="29" fillId="54" borderId="29" xfId="0" applyNumberFormat="1" applyFont="1" applyFill="1" applyBorder="1" applyAlignment="1">
      <alignment horizontal="center" vertical="center" wrapText="1"/>
    </xf>
    <xf numFmtId="0" fontId="37" fillId="55" borderId="50" xfId="0" applyFont="1" applyFill="1" applyBorder="1" applyAlignment="1">
      <alignment horizontal="left" vertical="center" wrapText="1"/>
    </xf>
    <xf numFmtId="0" fontId="37" fillId="55" borderId="79" xfId="0" applyFont="1" applyFill="1" applyBorder="1" applyAlignment="1">
      <alignment horizontal="left" vertical="center" wrapText="1"/>
    </xf>
    <xf numFmtId="0" fontId="37" fillId="55" borderId="52" xfId="0" applyFont="1" applyFill="1" applyBorder="1" applyAlignment="1">
      <alignment horizontal="left" vertical="center" wrapText="1"/>
    </xf>
    <xf numFmtId="49" fontId="191" fillId="0" borderId="29" xfId="0" applyNumberFormat="1" applyFont="1" applyBorder="1" applyAlignment="1">
      <alignment horizontal="center" vertical="center" wrapText="1"/>
    </xf>
    <xf numFmtId="49" fontId="37" fillId="54" borderId="46" xfId="0" applyNumberFormat="1" applyFont="1" applyFill="1" applyBorder="1" applyAlignment="1">
      <alignment horizontal="center" vertical="center" wrapText="1"/>
    </xf>
    <xf numFmtId="49" fontId="37" fillId="54" borderId="95" xfId="0" applyNumberFormat="1" applyFont="1" applyFill="1" applyBorder="1" applyAlignment="1">
      <alignment horizontal="center" vertical="center" wrapText="1"/>
    </xf>
    <xf numFmtId="49" fontId="37" fillId="54" borderId="45" xfId="0" applyNumberFormat="1" applyFont="1" applyFill="1" applyBorder="1" applyAlignment="1">
      <alignment horizontal="center" vertical="center" wrapText="1"/>
    </xf>
    <xf numFmtId="4" fontId="29" fillId="0" borderId="92"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4" fontId="29" fillId="0" borderId="93" xfId="0" applyNumberFormat="1" applyFont="1" applyFill="1" applyBorder="1" applyAlignment="1">
      <alignment horizontal="center" vertical="center"/>
    </xf>
    <xf numFmtId="14" fontId="29" fillId="54" borderId="1" xfId="0" applyNumberFormat="1" applyFont="1" applyFill="1" applyBorder="1" applyAlignment="1">
      <alignment horizontal="center" vertical="center" wrapText="1"/>
    </xf>
    <xf numFmtId="49" fontId="2" fillId="54" borderId="46" xfId="0" applyNumberFormat="1" applyFont="1" applyFill="1" applyBorder="1" applyAlignment="1">
      <alignment horizontal="center" vertical="center" wrapText="1"/>
    </xf>
    <xf numFmtId="49" fontId="2" fillId="54" borderId="95" xfId="0" applyNumberFormat="1" applyFont="1" applyFill="1" applyBorder="1" applyAlignment="1">
      <alignment horizontal="center" vertical="center" wrapText="1"/>
    </xf>
    <xf numFmtId="49" fontId="2" fillId="54" borderId="45" xfId="0" applyNumberFormat="1" applyFont="1" applyFill="1" applyBorder="1" applyAlignment="1">
      <alignment horizontal="center" vertical="center" wrapText="1"/>
    </xf>
    <xf numFmtId="0" fontId="2" fillId="55" borderId="50" xfId="0" applyFont="1" applyFill="1" applyBorder="1" applyAlignment="1">
      <alignment horizontal="left" vertical="center" wrapText="1"/>
    </xf>
    <xf numFmtId="0" fontId="2" fillId="55" borderId="79" xfId="0" applyFont="1" applyFill="1" applyBorder="1" applyAlignment="1">
      <alignment horizontal="left" vertical="center" wrapText="1"/>
    </xf>
    <xf numFmtId="0" fontId="2" fillId="55" borderId="52" xfId="0" applyFont="1" applyFill="1" applyBorder="1" applyAlignment="1">
      <alignment horizontal="left" vertical="center" wrapText="1"/>
    </xf>
    <xf numFmtId="4" fontId="37" fillId="0" borderId="6" xfId="0" applyNumberFormat="1" applyFont="1" applyFill="1" applyBorder="1" applyAlignment="1">
      <alignment horizontal="center" vertical="center"/>
    </xf>
    <xf numFmtId="49" fontId="37" fillId="54" borderId="39" xfId="0" applyNumberFormat="1" applyFont="1" applyFill="1" applyBorder="1" applyAlignment="1">
      <alignment horizontal="center" vertical="center" wrapText="1"/>
    </xf>
    <xf numFmtId="49" fontId="37" fillId="54" borderId="94" xfId="0" applyNumberFormat="1" applyFont="1" applyFill="1" applyBorder="1" applyAlignment="1">
      <alignment horizontal="center" vertical="center" wrapText="1"/>
    </xf>
    <xf numFmtId="49" fontId="37" fillId="54" borderId="30" xfId="0" applyNumberFormat="1" applyFont="1" applyFill="1" applyBorder="1" applyAlignment="1">
      <alignment horizontal="center" vertical="center" wrapText="1"/>
    </xf>
    <xf numFmtId="4" fontId="29" fillId="0" borderId="17" xfId="0" applyNumberFormat="1" applyFont="1" applyFill="1" applyBorder="1" applyAlignment="1">
      <alignment horizontal="center" vertical="center"/>
    </xf>
    <xf numFmtId="49" fontId="204" fillId="0" borderId="28" xfId="0" applyNumberFormat="1" applyFont="1" applyFill="1" applyBorder="1" applyAlignment="1">
      <alignment horizontal="center" vertical="center"/>
    </xf>
    <xf numFmtId="0" fontId="204" fillId="0" borderId="50" xfId="0" applyFont="1" applyFill="1" applyBorder="1" applyAlignment="1">
      <alignment horizontal="left" vertical="center"/>
    </xf>
    <xf numFmtId="0" fontId="204" fillId="0" borderId="79" xfId="0" applyFont="1" applyFill="1" applyBorder="1" applyAlignment="1">
      <alignment horizontal="left" vertical="center"/>
    </xf>
    <xf numFmtId="0" fontId="204" fillId="0" borderId="52" xfId="0" applyFont="1" applyFill="1" applyBorder="1" applyAlignment="1">
      <alignment horizontal="left" vertical="center"/>
    </xf>
    <xf numFmtId="49" fontId="196" fillId="0" borderId="6" xfId="0" applyNumberFormat="1" applyFont="1" applyFill="1" applyBorder="1" applyAlignment="1">
      <alignment horizontal="center" vertical="center"/>
    </xf>
    <xf numFmtId="14" fontId="196" fillId="0" borderId="6" xfId="0" applyNumberFormat="1" applyFont="1" applyFill="1" applyBorder="1" applyAlignment="1">
      <alignment horizontal="center" vertical="center"/>
    </xf>
    <xf numFmtId="49" fontId="196" fillId="0" borderId="28" xfId="0" applyNumberFormat="1" applyFont="1" applyFill="1" applyBorder="1" applyAlignment="1">
      <alignment horizontal="center" vertical="center" wrapText="1"/>
    </xf>
    <xf numFmtId="0" fontId="196" fillId="0" borderId="50" xfId="0" applyFont="1" applyFill="1" applyBorder="1" applyAlignment="1">
      <alignment horizontal="left" vertical="center" wrapText="1"/>
    </xf>
    <xf numFmtId="0" fontId="196" fillId="0" borderId="79" xfId="0" applyFont="1" applyFill="1" applyBorder="1" applyAlignment="1">
      <alignment horizontal="left" vertical="center" wrapText="1"/>
    </xf>
    <xf numFmtId="0" fontId="196" fillId="0" borderId="52" xfId="0" applyFont="1" applyFill="1" applyBorder="1" applyAlignment="1">
      <alignment horizontal="left" vertical="center" wrapText="1"/>
    </xf>
    <xf numFmtId="49" fontId="196" fillId="0" borderId="6" xfId="0" applyNumberFormat="1" applyFont="1" applyFill="1" applyBorder="1" applyAlignment="1">
      <alignment horizontal="center" vertical="center" wrapText="1"/>
    </xf>
    <xf numFmtId="0" fontId="196" fillId="0" borderId="0" xfId="0" applyFont="1" applyFill="1" applyBorder="1" applyAlignment="1">
      <alignment horizontal="left" vertical="center" wrapText="1"/>
    </xf>
    <xf numFmtId="0" fontId="196" fillId="0" borderId="17" xfId="0" applyFont="1" applyFill="1" applyBorder="1" applyAlignment="1">
      <alignment horizontal="left" vertical="center" wrapText="1"/>
    </xf>
    <xf numFmtId="3" fontId="29" fillId="54" borderId="91" xfId="1680" applyNumberFormat="1" applyFont="1" applyFill="1" applyBorder="1" applyAlignment="1" applyProtection="1">
      <alignment horizontal="left" vertical="center" wrapText="1"/>
    </xf>
    <xf numFmtId="3" fontId="29" fillId="54" borderId="85" xfId="1680" applyNumberFormat="1" applyFont="1" applyFill="1" applyBorder="1" applyAlignment="1" applyProtection="1">
      <alignment horizontal="left" vertical="center" wrapText="1"/>
    </xf>
    <xf numFmtId="3" fontId="29" fillId="54" borderId="86" xfId="1680" applyNumberFormat="1" applyFont="1" applyFill="1" applyBorder="1" applyAlignment="1" applyProtection="1">
      <alignment horizontal="left" vertical="center" wrapText="1"/>
    </xf>
    <xf numFmtId="3" fontId="29" fillId="54" borderId="28" xfId="1680" applyNumberFormat="1" applyFont="1" applyFill="1" applyBorder="1" applyAlignment="1" applyProtection="1">
      <alignment horizontal="left" vertical="center" wrapText="1"/>
    </xf>
    <xf numFmtId="3" fontId="29" fillId="54" borderId="49" xfId="1680" applyNumberFormat="1" applyFont="1" applyFill="1" applyBorder="1" applyAlignment="1" applyProtection="1">
      <alignment horizontal="left" vertical="center" wrapText="1"/>
    </xf>
    <xf numFmtId="3" fontId="29" fillId="54" borderId="48" xfId="1680" applyNumberFormat="1" applyFont="1" applyFill="1" applyBorder="1" applyAlignment="1" applyProtection="1">
      <alignment horizontal="left" vertical="center" wrapText="1"/>
    </xf>
    <xf numFmtId="0" fontId="0" fillId="0" borderId="49" xfId="0" applyBorder="1" applyAlignment="1">
      <alignment horizontal="left" vertical="center" wrapText="1"/>
    </xf>
    <xf numFmtId="0" fontId="0" fillId="0" borderId="48" xfId="0" applyBorder="1" applyAlignment="1">
      <alignment horizontal="left" vertical="center" wrapText="1"/>
    </xf>
    <xf numFmtId="49" fontId="42" fillId="62" borderId="41" xfId="931" applyNumberFormat="1" applyFont="1" applyFill="1" applyBorder="1" applyAlignment="1">
      <alignment horizontal="center" vertical="center"/>
    </xf>
    <xf numFmtId="49" fontId="42" fillId="62" borderId="16" xfId="931" applyNumberFormat="1" applyFont="1" applyFill="1" applyBorder="1" applyAlignment="1">
      <alignment horizontal="center" vertical="center"/>
    </xf>
    <xf numFmtId="49" fontId="42" fillId="62" borderId="51" xfId="931" applyNumberFormat="1" applyFont="1" applyFill="1" applyBorder="1" applyAlignment="1">
      <alignment horizontal="center" vertical="center"/>
    </xf>
    <xf numFmtId="0" fontId="42" fillId="59" borderId="6" xfId="931" applyFont="1" applyFill="1" applyBorder="1" applyAlignment="1">
      <alignment horizontal="left" vertical="center" wrapText="1"/>
    </xf>
    <xf numFmtId="49" fontId="28" fillId="60" borderId="6" xfId="931" applyNumberFormat="1" applyFont="1" applyFill="1" applyBorder="1" applyAlignment="1">
      <alignment horizontal="left" vertical="center"/>
    </xf>
    <xf numFmtId="49" fontId="204" fillId="0" borderId="6" xfId="0" applyNumberFormat="1" applyFont="1" applyFill="1" applyBorder="1" applyAlignment="1">
      <alignment horizontal="center" vertical="center"/>
    </xf>
    <xf numFmtId="0" fontId="204" fillId="0" borderId="50" xfId="0" applyFont="1" applyFill="1" applyBorder="1" applyAlignment="1">
      <alignment horizontal="left" vertical="center" wrapText="1"/>
    </xf>
    <xf numFmtId="0" fontId="204" fillId="0" borderId="79" xfId="0" applyFont="1" applyFill="1" applyBorder="1" applyAlignment="1">
      <alignment horizontal="left" vertical="center" wrapText="1"/>
    </xf>
    <xf numFmtId="0" fontId="204" fillId="0" borderId="52" xfId="0" applyFont="1" applyFill="1" applyBorder="1" applyAlignment="1">
      <alignment horizontal="left" vertical="center" wrapText="1"/>
    </xf>
    <xf numFmtId="0" fontId="204" fillId="0" borderId="0" xfId="0" applyFont="1" applyFill="1" applyBorder="1" applyAlignment="1">
      <alignment horizontal="left" vertical="center" wrapText="1"/>
    </xf>
    <xf numFmtId="49" fontId="2" fillId="0" borderId="6"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29" fillId="0" borderId="6" xfId="0" applyNumberFormat="1" applyFont="1" applyFill="1" applyBorder="1" applyAlignment="1">
      <alignment horizontal="center" vertical="center"/>
    </xf>
    <xf numFmtId="14" fontId="29" fillId="0" borderId="6" xfId="0" applyNumberFormat="1" applyFont="1" applyFill="1" applyBorder="1" applyAlignment="1">
      <alignment horizontal="center" vertical="center"/>
    </xf>
    <xf numFmtId="14" fontId="200" fillId="0" borderId="6" xfId="0" applyNumberFormat="1" applyFont="1" applyFill="1" applyBorder="1" applyAlignment="1">
      <alignment horizontal="center" vertical="center"/>
    </xf>
    <xf numFmtId="0" fontId="36" fillId="55" borderId="32" xfId="0" applyFont="1" applyFill="1" applyBorder="1" applyAlignment="1">
      <alignment horizontal="left" vertical="center" wrapText="1"/>
    </xf>
    <xf numFmtId="0" fontId="36" fillId="55" borderId="31" xfId="0" applyFont="1" applyFill="1" applyBorder="1" applyAlignment="1">
      <alignment horizontal="left" vertical="center" wrapText="1"/>
    </xf>
    <xf numFmtId="0" fontId="36" fillId="55" borderId="44" xfId="0" applyFont="1" applyFill="1" applyBorder="1" applyAlignment="1">
      <alignment horizontal="left" vertical="center" wrapText="1"/>
    </xf>
    <xf numFmtId="0" fontId="35" fillId="54" borderId="32" xfId="930" applyFont="1" applyFill="1" applyBorder="1" applyAlignment="1">
      <alignment horizontal="left" vertical="center" wrapText="1"/>
    </xf>
    <xf numFmtId="0" fontId="35" fillId="54" borderId="31" xfId="930" applyFont="1" applyFill="1" applyBorder="1" applyAlignment="1">
      <alignment horizontal="left" vertical="center" wrapText="1"/>
    </xf>
    <xf numFmtId="0" fontId="35" fillId="54" borderId="44" xfId="930" applyFont="1" applyFill="1" applyBorder="1" applyAlignment="1">
      <alignment horizontal="left" vertical="center" wrapText="1"/>
    </xf>
    <xf numFmtId="49" fontId="35" fillId="54" borderId="89" xfId="931" applyNumberFormat="1" applyFont="1" applyFill="1" applyBorder="1" applyAlignment="1">
      <alignment horizontal="left" vertical="center"/>
    </xf>
    <xf numFmtId="49" fontId="35" fillId="54" borderId="82" xfId="931" applyNumberFormat="1" applyFont="1" applyFill="1" applyBorder="1" applyAlignment="1">
      <alignment horizontal="left" vertical="center"/>
    </xf>
    <xf numFmtId="49" fontId="35" fillId="54" borderId="90" xfId="931" applyNumberFormat="1" applyFont="1" applyFill="1" applyBorder="1" applyAlignment="1">
      <alignment horizontal="left" vertical="center"/>
    </xf>
    <xf numFmtId="49" fontId="35" fillId="56" borderId="32" xfId="930" applyNumberFormat="1" applyFont="1" applyFill="1" applyBorder="1" applyAlignment="1">
      <alignment horizontal="left" vertical="center"/>
    </xf>
    <xf numFmtId="49" fontId="35" fillId="56" borderId="31" xfId="930" applyNumberFormat="1" applyFont="1" applyFill="1" applyBorder="1" applyAlignment="1">
      <alignment horizontal="left" vertical="center"/>
    </xf>
    <xf numFmtId="49" fontId="35" fillId="56" borderId="44" xfId="930" applyNumberFormat="1" applyFont="1" applyFill="1" applyBorder="1" applyAlignment="1">
      <alignment horizontal="left" vertical="center"/>
    </xf>
    <xf numFmtId="0" fontId="37" fillId="54" borderId="32" xfId="0" applyFont="1" applyFill="1" applyBorder="1" applyAlignment="1">
      <alignment horizontal="left" vertical="center" wrapText="1"/>
    </xf>
    <xf numFmtId="0" fontId="37" fillId="54" borderId="31" xfId="0" applyFont="1" applyFill="1" applyBorder="1" applyAlignment="1">
      <alignment horizontal="left" vertical="center" wrapText="1"/>
    </xf>
    <xf numFmtId="0" fontId="37" fillId="54" borderId="44" xfId="0" applyFont="1" applyFill="1" applyBorder="1" applyAlignment="1">
      <alignment horizontal="left" vertical="center" wrapText="1"/>
    </xf>
    <xf numFmtId="49" fontId="36" fillId="55" borderId="32" xfId="930" applyNumberFormat="1" applyFont="1" applyFill="1" applyBorder="1" applyAlignment="1">
      <alignment horizontal="left" vertical="center" wrapText="1"/>
    </xf>
    <xf numFmtId="49" fontId="36" fillId="55" borderId="31" xfId="930" applyNumberFormat="1" applyFont="1" applyFill="1" applyBorder="1" applyAlignment="1">
      <alignment horizontal="left" vertical="center" wrapText="1"/>
    </xf>
    <xf numFmtId="49" fontId="36" fillId="55" borderId="44" xfId="930" applyNumberFormat="1" applyFont="1" applyFill="1" applyBorder="1" applyAlignment="1">
      <alignment horizontal="left" vertical="center" wrapText="1"/>
    </xf>
    <xf numFmtId="0" fontId="37" fillId="55" borderId="32" xfId="0" applyFont="1" applyFill="1" applyBorder="1" applyAlignment="1">
      <alignment horizontal="left" vertical="center"/>
    </xf>
    <xf numFmtId="0" fontId="37" fillId="55" borderId="31" xfId="0" applyFont="1" applyFill="1" applyBorder="1" applyAlignment="1">
      <alignment horizontal="left" vertical="center"/>
    </xf>
    <xf numFmtId="0" fontId="37" fillId="55" borderId="44" xfId="0" applyFont="1" applyFill="1" applyBorder="1" applyAlignment="1">
      <alignment horizontal="left" vertical="center"/>
    </xf>
    <xf numFmtId="49" fontId="37" fillId="54" borderId="6" xfId="0" applyNumberFormat="1" applyFont="1" applyFill="1" applyBorder="1" applyAlignment="1">
      <alignment horizontal="center" vertical="center" wrapText="1"/>
    </xf>
    <xf numFmtId="4" fontId="37" fillId="55" borderId="35" xfId="0" applyNumberFormat="1" applyFont="1" applyFill="1" applyBorder="1" applyAlignment="1">
      <alignment horizontal="center" vertical="center"/>
    </xf>
    <xf numFmtId="4" fontId="37" fillId="55" borderId="47" xfId="0" applyNumberFormat="1" applyFont="1" applyFill="1" applyBorder="1" applyAlignment="1">
      <alignment horizontal="center" vertical="center"/>
    </xf>
    <xf numFmtId="4" fontId="37" fillId="55" borderId="33" xfId="0" applyNumberFormat="1" applyFont="1" applyFill="1" applyBorder="1" applyAlignment="1">
      <alignment horizontal="center" vertical="center"/>
    </xf>
    <xf numFmtId="49" fontId="36" fillId="54" borderId="6" xfId="0" applyNumberFormat="1" applyFont="1" applyFill="1" applyBorder="1" applyAlignment="1">
      <alignment horizontal="center" vertical="center"/>
    </xf>
    <xf numFmtId="49" fontId="35" fillId="56" borderId="81" xfId="930" applyNumberFormat="1" applyFont="1" applyFill="1" applyBorder="1" applyAlignment="1">
      <alignment horizontal="left" vertical="center"/>
    </xf>
    <xf numFmtId="49" fontId="35" fillId="56" borderId="82" xfId="930" applyNumberFormat="1" applyFont="1" applyFill="1" applyBorder="1" applyAlignment="1">
      <alignment horizontal="left" vertical="center"/>
    </xf>
    <xf numFmtId="49" fontId="35" fillId="56" borderId="83" xfId="930" applyNumberFormat="1" applyFont="1" applyFill="1" applyBorder="1" applyAlignment="1">
      <alignment horizontal="left" vertical="center"/>
    </xf>
    <xf numFmtId="0" fontId="37" fillId="55" borderId="84" xfId="0" applyFont="1" applyFill="1" applyBorder="1" applyAlignment="1">
      <alignment horizontal="left" vertical="center"/>
    </xf>
    <xf numFmtId="0" fontId="37" fillId="55" borderId="85" xfId="0" applyFont="1" applyFill="1" applyBorder="1" applyAlignment="1">
      <alignment horizontal="left" vertical="center"/>
    </xf>
    <xf numFmtId="0" fontId="37" fillId="55" borderId="86" xfId="0" applyFont="1" applyFill="1" applyBorder="1" applyAlignment="1">
      <alignment horizontal="left" vertical="center"/>
    </xf>
    <xf numFmtId="49" fontId="35" fillId="56" borderId="87" xfId="930" applyNumberFormat="1" applyFont="1" applyFill="1" applyBorder="1" applyAlignment="1">
      <alignment horizontal="left" vertical="center"/>
    </xf>
    <xf numFmtId="49" fontId="35" fillId="56" borderId="16" xfId="930" applyNumberFormat="1" applyFont="1" applyFill="1" applyBorder="1" applyAlignment="1">
      <alignment horizontal="left" vertical="center"/>
    </xf>
    <xf numFmtId="49" fontId="35" fillId="56" borderId="88" xfId="930" applyNumberFormat="1" applyFont="1" applyFill="1" applyBorder="1" applyAlignment="1">
      <alignment horizontal="left" vertical="center"/>
    </xf>
    <xf numFmtId="0" fontId="37" fillId="55" borderId="28" xfId="0" applyFont="1" applyFill="1" applyBorder="1" applyAlignment="1">
      <alignment horizontal="left" vertical="center" wrapText="1"/>
    </xf>
    <xf numFmtId="0" fontId="37" fillId="55" borderId="49" xfId="0" applyFont="1" applyFill="1" applyBorder="1" applyAlignment="1">
      <alignment horizontal="left" vertical="center" wrapText="1"/>
    </xf>
    <xf numFmtId="0" fontId="37" fillId="55" borderId="48" xfId="0" applyFont="1" applyFill="1" applyBorder="1" applyAlignment="1">
      <alignment horizontal="left" vertical="center" wrapText="1"/>
    </xf>
    <xf numFmtId="49" fontId="35" fillId="56" borderId="89" xfId="930" applyNumberFormat="1" applyFont="1" applyFill="1" applyBorder="1" applyAlignment="1">
      <alignment horizontal="left" vertical="center"/>
    </xf>
    <xf numFmtId="49" fontId="35" fillId="56" borderId="90" xfId="930" applyNumberFormat="1" applyFont="1" applyFill="1" applyBorder="1" applyAlignment="1">
      <alignment horizontal="left" vertical="center"/>
    </xf>
    <xf numFmtId="4" fontId="37" fillId="55" borderId="39" xfId="0" applyNumberFormat="1" applyFont="1" applyFill="1" applyBorder="1" applyAlignment="1">
      <alignment horizontal="center" vertical="center"/>
    </xf>
    <xf numFmtId="4" fontId="37" fillId="55" borderId="30" xfId="0" applyNumberFormat="1" applyFont="1" applyFill="1" applyBorder="1" applyAlignment="1">
      <alignment horizontal="center" vertical="center"/>
    </xf>
    <xf numFmtId="49" fontId="36" fillId="54" borderId="26" xfId="0" applyNumberFormat="1" applyFont="1" applyFill="1" applyBorder="1" applyAlignment="1">
      <alignment horizontal="center" vertical="center"/>
    </xf>
    <xf numFmtId="49" fontId="36" fillId="54" borderId="29" xfId="0" applyNumberFormat="1" applyFont="1" applyFill="1" applyBorder="1" applyAlignment="1">
      <alignment horizontal="center" vertical="center"/>
    </xf>
    <xf numFmtId="4" fontId="37" fillId="55" borderId="6" xfId="0" applyNumberFormat="1" applyFont="1" applyFill="1" applyBorder="1" applyAlignment="1">
      <alignment horizontal="center" vertical="center"/>
    </xf>
    <xf numFmtId="49" fontId="2" fillId="54" borderId="28" xfId="0" applyNumberFormat="1" applyFont="1" applyFill="1" applyBorder="1" applyAlignment="1">
      <alignment horizontal="left" vertical="center" wrapText="1"/>
    </xf>
    <xf numFmtId="49" fontId="2" fillId="54" borderId="49" xfId="0" applyNumberFormat="1" applyFont="1" applyFill="1" applyBorder="1" applyAlignment="1">
      <alignment horizontal="left" vertical="center" wrapText="1"/>
    </xf>
    <xf numFmtId="49" fontId="2" fillId="54" borderId="48" xfId="0" applyNumberFormat="1" applyFont="1" applyFill="1" applyBorder="1" applyAlignment="1">
      <alignment horizontal="left" vertical="center" wrapText="1"/>
    </xf>
    <xf numFmtId="49" fontId="2" fillId="0" borderId="28" xfId="0" applyNumberFormat="1" applyFont="1" applyBorder="1" applyAlignment="1">
      <alignment horizontal="left" vertical="center" wrapText="1"/>
    </xf>
    <xf numFmtId="4" fontId="7" fillId="0" borderId="28" xfId="0" applyNumberFormat="1" applyFont="1" applyBorder="1" applyAlignment="1">
      <alignment horizontal="left" vertical="center"/>
    </xf>
    <xf numFmtId="4" fontId="7" fillId="0" borderId="49" xfId="0" applyNumberFormat="1" applyFont="1" applyBorder="1" applyAlignment="1">
      <alignment horizontal="left" vertical="center"/>
    </xf>
    <xf numFmtId="4" fontId="7" fillId="0" borderId="48" xfId="0" applyNumberFormat="1" applyFont="1" applyBorder="1" applyAlignment="1">
      <alignment horizontal="left" vertical="center"/>
    </xf>
    <xf numFmtId="49" fontId="6" fillId="58" borderId="28" xfId="0" applyNumberFormat="1" applyFont="1" applyFill="1" applyBorder="1" applyAlignment="1">
      <alignment horizontal="center" vertical="center"/>
    </xf>
    <xf numFmtId="49" fontId="6" fillId="58" borderId="49" xfId="0" applyNumberFormat="1" applyFont="1" applyFill="1" applyBorder="1" applyAlignment="1">
      <alignment horizontal="center" vertical="center"/>
    </xf>
    <xf numFmtId="49" fontId="6" fillId="58" borderId="48" xfId="0" applyNumberFormat="1" applyFont="1" applyFill="1" applyBorder="1" applyAlignment="1">
      <alignment horizontal="center" vertical="center"/>
    </xf>
    <xf numFmtId="0" fontId="28" fillId="54" borderId="28" xfId="931" applyFont="1" applyFill="1" applyBorder="1" applyAlignment="1">
      <alignment horizontal="left" vertical="center" wrapText="1"/>
    </xf>
    <xf numFmtId="0" fontId="28" fillId="54" borderId="49" xfId="931" applyFont="1" applyFill="1" applyBorder="1" applyAlignment="1">
      <alignment horizontal="left" vertical="center" wrapText="1"/>
    </xf>
    <xf numFmtId="0" fontId="28" fillId="54" borderId="48" xfId="931" applyFont="1" applyFill="1" applyBorder="1" applyAlignment="1">
      <alignment horizontal="left" vertical="center" wrapText="1"/>
    </xf>
    <xf numFmtId="49" fontId="35" fillId="54" borderId="37" xfId="931" applyNumberFormat="1" applyFont="1" applyFill="1" applyBorder="1" applyAlignment="1">
      <alignment horizontal="left" vertical="center"/>
    </xf>
    <xf numFmtId="49" fontId="35" fillId="54" borderId="79" xfId="931" applyNumberFormat="1" applyFont="1" applyFill="1" applyBorder="1" applyAlignment="1">
      <alignment horizontal="left" vertical="center"/>
    </xf>
    <xf numFmtId="49" fontId="35" fillId="54" borderId="80" xfId="931" applyNumberFormat="1" applyFont="1" applyFill="1" applyBorder="1" applyAlignment="1">
      <alignment horizontal="left" vertical="center"/>
    </xf>
    <xf numFmtId="49" fontId="37" fillId="54" borderId="35" xfId="0" applyNumberFormat="1" applyFont="1" applyFill="1" applyBorder="1" applyAlignment="1">
      <alignment horizontal="center" vertical="center" wrapText="1"/>
    </xf>
    <xf numFmtId="49" fontId="37" fillId="54" borderId="47" xfId="0" applyNumberFormat="1" applyFont="1" applyFill="1" applyBorder="1" applyAlignment="1">
      <alignment horizontal="center" vertical="center" wrapText="1"/>
    </xf>
    <xf numFmtId="49" fontId="37" fillId="54" borderId="33" xfId="0" applyNumberFormat="1" applyFont="1" applyFill="1" applyBorder="1" applyAlignment="1">
      <alignment horizontal="center" vertical="center" wrapText="1"/>
    </xf>
    <xf numFmtId="49" fontId="36" fillId="54"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49" fontId="0" fillId="0" borderId="29" xfId="0" applyNumberFormat="1" applyBorder="1" applyAlignment="1">
      <alignment horizontal="center" vertical="center"/>
    </xf>
    <xf numFmtId="49" fontId="2" fillId="54" borderId="26" xfId="0" applyNumberFormat="1" applyFont="1" applyFill="1" applyBorder="1" applyAlignment="1">
      <alignment horizontal="center" vertical="center"/>
    </xf>
    <xf numFmtId="49" fontId="2" fillId="54" borderId="29" xfId="0" applyNumberFormat="1" applyFont="1" applyFill="1" applyBorder="1" applyAlignment="1">
      <alignment horizontal="center" vertical="center"/>
    </xf>
    <xf numFmtId="0" fontId="2" fillId="54" borderId="50" xfId="0" applyFont="1" applyFill="1" applyBorder="1" applyAlignment="1">
      <alignment horizontal="left" vertical="center" wrapText="1"/>
    </xf>
    <xf numFmtId="0" fontId="2" fillId="54" borderId="79" xfId="0" applyFont="1" applyFill="1" applyBorder="1" applyAlignment="1">
      <alignment horizontal="left" vertical="center" wrapText="1"/>
    </xf>
    <xf numFmtId="0" fontId="2" fillId="54" borderId="52" xfId="0" applyFont="1" applyFill="1" applyBorder="1" applyAlignment="1">
      <alignment horizontal="left" vertical="center" wrapText="1"/>
    </xf>
    <xf numFmtId="0" fontId="0" fillId="54" borderId="41" xfId="0" applyFill="1" applyBorder="1" applyAlignment="1">
      <alignment horizontal="left" vertical="center" wrapText="1"/>
    </xf>
    <xf numFmtId="0" fontId="0" fillId="54" borderId="16" xfId="0" applyFill="1" applyBorder="1" applyAlignment="1">
      <alignment horizontal="left" vertical="center" wrapText="1"/>
    </xf>
    <xf numFmtId="0" fontId="0" fillId="54" borderId="51" xfId="0" applyFill="1" applyBorder="1" applyAlignment="1">
      <alignment horizontal="left" vertical="center" wrapText="1"/>
    </xf>
    <xf numFmtId="4" fontId="2" fillId="54" borderId="26" xfId="0" applyNumberFormat="1" applyFont="1" applyFill="1" applyBorder="1" applyAlignment="1">
      <alignment horizontal="center" vertical="center"/>
    </xf>
    <xf numFmtId="4" fontId="2" fillId="54" borderId="29" xfId="0" applyNumberFormat="1" applyFont="1" applyFill="1" applyBorder="1" applyAlignment="1">
      <alignment horizontal="center" vertical="center"/>
    </xf>
    <xf numFmtId="49" fontId="2" fillId="54" borderId="6" xfId="0" applyNumberFormat="1" applyFont="1" applyFill="1" applyBorder="1" applyAlignment="1">
      <alignment horizontal="center" vertical="center"/>
    </xf>
    <xf numFmtId="0" fontId="7" fillId="54" borderId="28" xfId="0" applyFont="1" applyFill="1" applyBorder="1" applyAlignment="1">
      <alignment horizontal="left" wrapText="1"/>
    </xf>
    <xf numFmtId="0" fontId="7" fillId="54" borderId="49" xfId="0" applyFont="1" applyFill="1" applyBorder="1" applyAlignment="1">
      <alignment horizontal="left" wrapText="1"/>
    </xf>
    <xf numFmtId="0" fontId="7" fillId="54" borderId="48" xfId="0" applyFont="1" applyFill="1" applyBorder="1" applyAlignment="1">
      <alignment horizontal="left" wrapText="1"/>
    </xf>
    <xf numFmtId="0" fontId="2" fillId="54" borderId="28" xfId="0" applyNumberFormat="1" applyFont="1" applyFill="1" applyBorder="1" applyAlignment="1">
      <alignment horizontal="left" vertical="center" wrapText="1"/>
    </xf>
    <xf numFmtId="0" fontId="2" fillId="54" borderId="49" xfId="0" applyNumberFormat="1" applyFont="1" applyFill="1" applyBorder="1" applyAlignment="1">
      <alignment horizontal="left" vertical="center" wrapText="1"/>
    </xf>
    <xf numFmtId="0" fontId="2" fillId="54" borderId="48" xfId="0" applyNumberFormat="1" applyFont="1" applyFill="1" applyBorder="1" applyAlignment="1">
      <alignment horizontal="left" vertical="center" wrapText="1"/>
    </xf>
    <xf numFmtId="0" fontId="0" fillId="54" borderId="49" xfId="0" applyFill="1" applyBorder="1" applyAlignment="1">
      <alignment horizontal="left" vertical="center" wrapText="1"/>
    </xf>
    <xf numFmtId="0" fontId="0" fillId="54" borderId="48" xfId="0" applyFill="1" applyBorder="1" applyAlignment="1">
      <alignment horizontal="left" vertical="center" wrapText="1"/>
    </xf>
    <xf numFmtId="4" fontId="29" fillId="54" borderId="26" xfId="0" applyNumberFormat="1" applyFont="1" applyFill="1" applyBorder="1" applyAlignment="1">
      <alignment horizontal="center" vertical="center"/>
    </xf>
    <xf numFmtId="4" fontId="29" fillId="54" borderId="29" xfId="0" applyNumberFormat="1" applyFont="1" applyFill="1" applyBorder="1" applyAlignment="1">
      <alignment horizontal="center" vertical="center"/>
    </xf>
    <xf numFmtId="0" fontId="7" fillId="54" borderId="28" xfId="0" applyFont="1" applyFill="1" applyBorder="1" applyAlignment="1">
      <alignment horizontal="left" vertical="center" wrapText="1"/>
    </xf>
    <xf numFmtId="0" fontId="7" fillId="54" borderId="49" xfId="0" applyFont="1" applyFill="1" applyBorder="1" applyAlignment="1">
      <alignment horizontal="left" vertical="center" wrapText="1"/>
    </xf>
    <xf numFmtId="0" fontId="7" fillId="54" borderId="48" xfId="0" applyFont="1" applyFill="1" applyBorder="1" applyAlignment="1">
      <alignment horizontal="left" vertical="center" wrapText="1"/>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51" xfId="0" applyBorder="1" applyAlignment="1">
      <alignment horizontal="left" vertical="center" wrapText="1"/>
    </xf>
    <xf numFmtId="0" fontId="1" fillId="54" borderId="50" xfId="0" applyFont="1" applyFill="1" applyBorder="1" applyAlignment="1">
      <alignment horizontal="left" vertical="center" wrapText="1"/>
    </xf>
    <xf numFmtId="0" fontId="1" fillId="54" borderId="79" xfId="0" applyFont="1" applyFill="1" applyBorder="1" applyAlignment="1">
      <alignment horizontal="left" vertical="center" wrapText="1"/>
    </xf>
    <xf numFmtId="0" fontId="1" fillId="54" borderId="52" xfId="0" applyFont="1" applyFill="1" applyBorder="1" applyAlignment="1">
      <alignment horizontal="left" vertical="center" wrapText="1"/>
    </xf>
    <xf numFmtId="0" fontId="1" fillId="54" borderId="41" xfId="0" applyFont="1" applyFill="1" applyBorder="1" applyAlignment="1">
      <alignment horizontal="left" vertical="center" wrapText="1"/>
    </xf>
    <xf numFmtId="0" fontId="1" fillId="54" borderId="16" xfId="0" applyFont="1" applyFill="1" applyBorder="1" applyAlignment="1">
      <alignment horizontal="left" vertical="center" wrapText="1"/>
    </xf>
    <xf numFmtId="0" fontId="1" fillId="54" borderId="51" xfId="0" applyFont="1" applyFill="1" applyBorder="1" applyAlignment="1">
      <alignment horizontal="left" vertical="center" wrapText="1"/>
    </xf>
    <xf numFmtId="0" fontId="2" fillId="54" borderId="50" xfId="0" applyFont="1" applyFill="1" applyBorder="1" applyAlignment="1">
      <alignment horizontal="left" vertical="center"/>
    </xf>
    <xf numFmtId="0" fontId="2" fillId="54" borderId="79" xfId="0" applyFont="1" applyFill="1" applyBorder="1" applyAlignment="1">
      <alignment horizontal="left" vertical="center"/>
    </xf>
    <xf numFmtId="0" fontId="2" fillId="54" borderId="52" xfId="0" applyFont="1" applyFill="1" applyBorder="1" applyAlignment="1">
      <alignment horizontal="left" vertical="center"/>
    </xf>
    <xf numFmtId="0" fontId="2" fillId="54" borderId="41" xfId="0" applyFont="1" applyFill="1" applyBorder="1" applyAlignment="1">
      <alignment horizontal="left" vertical="center"/>
    </xf>
    <xf numFmtId="0" fontId="2" fillId="54" borderId="16" xfId="0" applyFont="1" applyFill="1" applyBorder="1" applyAlignment="1">
      <alignment horizontal="left" vertical="center"/>
    </xf>
    <xf numFmtId="0" fontId="2" fillId="54" borderId="51" xfId="0" applyFont="1" applyFill="1" applyBorder="1" applyAlignment="1">
      <alignment horizontal="left" vertical="center"/>
    </xf>
    <xf numFmtId="0" fontId="0" fillId="54" borderId="50" xfId="0" applyFill="1" applyBorder="1" applyAlignment="1">
      <alignment horizontal="center" vertical="center"/>
    </xf>
    <xf numFmtId="0" fontId="0" fillId="54" borderId="41" xfId="0" applyFill="1" applyBorder="1" applyAlignment="1">
      <alignment horizontal="center" vertical="center"/>
    </xf>
    <xf numFmtId="0" fontId="0" fillId="54" borderId="41" xfId="0" applyFill="1" applyBorder="1" applyAlignment="1">
      <alignment horizontal="left" vertical="center"/>
    </xf>
    <xf numFmtId="0" fontId="0" fillId="54" borderId="16" xfId="0" applyFill="1" applyBorder="1" applyAlignment="1">
      <alignment horizontal="left" vertical="center"/>
    </xf>
    <xf numFmtId="0" fontId="0" fillId="54" borderId="51" xfId="0" applyFill="1" applyBorder="1" applyAlignment="1">
      <alignment horizontal="left" vertical="center"/>
    </xf>
    <xf numFmtId="0" fontId="177" fillId="54" borderId="29" xfId="0" applyFont="1" applyFill="1" applyBorder="1" applyAlignment="1">
      <alignment horizontal="center" vertical="center"/>
    </xf>
    <xf numFmtId="49" fontId="2" fillId="54" borderId="26" xfId="0" applyNumberFormat="1" applyFont="1" applyFill="1" applyBorder="1" applyAlignment="1">
      <alignment horizontal="center" vertical="center" wrapText="1"/>
    </xf>
    <xf numFmtId="49" fontId="2" fillId="54" borderId="29" xfId="0" applyNumberFormat="1" applyFont="1" applyFill="1" applyBorder="1" applyAlignment="1">
      <alignment horizontal="center" vertical="center" wrapText="1"/>
    </xf>
    <xf numFmtId="49" fontId="2" fillId="54" borderId="21" xfId="0" applyNumberFormat="1" applyFont="1" applyFill="1" applyBorder="1" applyAlignment="1">
      <alignment horizontal="left" vertical="center" wrapText="1"/>
    </xf>
    <xf numFmtId="0" fontId="0" fillId="54" borderId="0" xfId="0" applyFill="1" applyAlignment="1">
      <alignment horizontal="left" wrapText="1"/>
    </xf>
    <xf numFmtId="0" fontId="0" fillId="54" borderId="17" xfId="0" applyFill="1" applyBorder="1" applyAlignment="1">
      <alignment horizontal="left" wrapText="1"/>
    </xf>
    <xf numFmtId="4" fontId="2" fillId="54" borderId="26" xfId="0" applyNumberFormat="1" applyFont="1" applyFill="1" applyBorder="1" applyAlignment="1">
      <alignment horizontal="center" vertical="center" wrapText="1"/>
    </xf>
    <xf numFmtId="4" fontId="2" fillId="54" borderId="29" xfId="0" applyNumberFormat="1" applyFont="1" applyFill="1" applyBorder="1" applyAlignment="1">
      <alignment horizontal="center" vertical="center" wrapText="1"/>
    </xf>
    <xf numFmtId="0" fontId="0" fillId="54" borderId="29" xfId="0" applyFill="1" applyBorder="1"/>
    <xf numFmtId="49" fontId="2" fillId="54" borderId="1" xfId="0" applyNumberFormat="1" applyFont="1" applyFill="1" applyBorder="1" applyAlignment="1">
      <alignment horizontal="center" vertical="center" wrapText="1"/>
    </xf>
    <xf numFmtId="4" fontId="29" fillId="54" borderId="26" xfId="0" applyNumberFormat="1" applyFont="1" applyFill="1" applyBorder="1" applyAlignment="1">
      <alignment horizontal="center" vertical="center" wrapText="1"/>
    </xf>
    <xf numFmtId="4" fontId="29" fillId="54" borderId="1" xfId="0" applyNumberFormat="1" applyFont="1" applyFill="1" applyBorder="1" applyAlignment="1">
      <alignment horizontal="center" vertical="center" wrapText="1"/>
    </xf>
    <xf numFmtId="0" fontId="177" fillId="54" borderId="29" xfId="0" applyFont="1" applyFill="1" applyBorder="1" applyAlignment="1">
      <alignment horizontal="center" vertical="center" wrapText="1"/>
    </xf>
    <xf numFmtId="4" fontId="29" fillId="54" borderId="29" xfId="0" applyNumberFormat="1" applyFont="1" applyFill="1" applyBorder="1" applyAlignment="1">
      <alignment horizontal="center" vertical="center" wrapText="1"/>
    </xf>
    <xf numFmtId="49" fontId="16" fillId="54" borderId="26" xfId="0" applyNumberFormat="1" applyFont="1" applyFill="1" applyBorder="1" applyAlignment="1">
      <alignment horizontal="center" vertical="center" wrapText="1"/>
    </xf>
    <xf numFmtId="49" fontId="16" fillId="54" borderId="1" xfId="0" applyNumberFormat="1" applyFont="1" applyFill="1" applyBorder="1" applyAlignment="1">
      <alignment horizontal="center" vertical="center" wrapText="1"/>
    </xf>
    <xf numFmtId="49" fontId="16" fillId="54" borderId="29" xfId="0" applyNumberFormat="1" applyFont="1" applyFill="1" applyBorder="1" applyAlignment="1">
      <alignment horizontal="center" vertical="center" wrapText="1"/>
    </xf>
    <xf numFmtId="0" fontId="16" fillId="54" borderId="50" xfId="0" applyFont="1" applyFill="1" applyBorder="1" applyAlignment="1">
      <alignment horizontal="left" vertical="center" wrapText="1"/>
    </xf>
    <xf numFmtId="0" fontId="16" fillId="54" borderId="79" xfId="0" applyFont="1" applyFill="1" applyBorder="1" applyAlignment="1">
      <alignment horizontal="left" vertical="center" wrapText="1"/>
    </xf>
    <xf numFmtId="0" fontId="16" fillId="54" borderId="52" xfId="0" applyFont="1" applyFill="1" applyBorder="1" applyAlignment="1">
      <alignment horizontal="left" vertical="center" wrapText="1"/>
    </xf>
    <xf numFmtId="4" fontId="176" fillId="54" borderId="26" xfId="0" applyNumberFormat="1" applyFont="1" applyFill="1" applyBorder="1" applyAlignment="1">
      <alignment horizontal="center" vertical="center" wrapText="1"/>
    </xf>
    <xf numFmtId="4" fontId="176" fillId="54" borderId="1" xfId="0" applyNumberFormat="1" applyFont="1" applyFill="1" applyBorder="1" applyAlignment="1">
      <alignment horizontal="center" vertical="center" wrapText="1"/>
    </xf>
    <xf numFmtId="4" fontId="176" fillId="54" borderId="29" xfId="0" applyNumberFormat="1" applyFont="1" applyFill="1" applyBorder="1" applyAlignment="1">
      <alignment horizontal="center" vertical="center" wrapText="1"/>
    </xf>
    <xf numFmtId="0" fontId="2" fillId="54" borderId="50" xfId="0" applyFont="1" applyFill="1" applyBorder="1" applyAlignment="1">
      <alignment horizontal="left" wrapText="1"/>
    </xf>
    <xf numFmtId="0" fontId="2" fillId="54" borderId="79" xfId="0" applyFont="1" applyFill="1" applyBorder="1" applyAlignment="1">
      <alignment horizontal="left" wrapText="1"/>
    </xf>
    <xf numFmtId="0" fontId="2" fillId="54" borderId="52" xfId="0" applyFont="1" applyFill="1" applyBorder="1" applyAlignment="1">
      <alignment horizontal="left" wrapText="1"/>
    </xf>
    <xf numFmtId="49" fontId="2" fillId="54" borderId="1" xfId="0" applyNumberFormat="1" applyFont="1" applyFill="1" applyBorder="1" applyAlignment="1">
      <alignment horizontal="center" vertical="center"/>
    </xf>
    <xf numFmtId="4" fontId="2" fillId="54" borderId="1" xfId="0" applyNumberFormat="1" applyFont="1" applyFill="1" applyBorder="1" applyAlignment="1">
      <alignment horizontal="center" vertical="center"/>
    </xf>
    <xf numFmtId="0" fontId="29" fillId="54" borderId="50" xfId="0" applyFont="1" applyFill="1" applyBorder="1" applyAlignment="1">
      <alignment horizontal="left" vertical="center" wrapText="1"/>
    </xf>
    <xf numFmtId="0" fontId="29" fillId="54" borderId="79" xfId="0" applyFont="1" applyFill="1" applyBorder="1" applyAlignment="1">
      <alignment horizontal="left" vertical="center" wrapText="1"/>
    </xf>
    <xf numFmtId="0" fontId="29" fillId="54" borderId="52" xfId="0" applyFont="1" applyFill="1" applyBorder="1" applyAlignment="1">
      <alignment horizontal="left" vertical="center" wrapText="1"/>
    </xf>
    <xf numFmtId="0" fontId="28" fillId="0" borderId="0" xfId="0" applyFont="1" applyAlignment="1">
      <alignment horizontal="left" vertical="top" wrapText="1"/>
    </xf>
    <xf numFmtId="0" fontId="30" fillId="54" borderId="6" xfId="0" applyFont="1" applyFill="1" applyBorder="1" applyAlignment="1">
      <alignment horizontal="center" vertical="center"/>
    </xf>
    <xf numFmtId="49" fontId="42" fillId="54" borderId="28" xfId="0" applyNumberFormat="1" applyFont="1" applyFill="1" applyBorder="1" applyAlignment="1">
      <alignment horizontal="center" vertical="center" wrapText="1"/>
    </xf>
    <xf numFmtId="49" fontId="42" fillId="54" borderId="49" xfId="0" applyNumberFormat="1" applyFont="1" applyFill="1" applyBorder="1" applyAlignment="1">
      <alignment horizontal="center" vertical="center" wrapText="1"/>
    </xf>
    <xf numFmtId="49" fontId="42" fillId="54" borderId="48" xfId="0" applyNumberFormat="1" applyFont="1" applyFill="1" applyBorder="1" applyAlignment="1">
      <alignment horizontal="center" vertical="center" wrapText="1"/>
    </xf>
    <xf numFmtId="0" fontId="7" fillId="0" borderId="28" xfId="0" applyFont="1" applyBorder="1" applyAlignment="1">
      <alignment horizontal="left"/>
    </xf>
    <xf numFmtId="0" fontId="7" fillId="0" borderId="49" xfId="0" applyFont="1" applyBorder="1" applyAlignment="1">
      <alignment horizontal="left"/>
    </xf>
    <xf numFmtId="0" fontId="7" fillId="0" borderId="48" xfId="0" applyFont="1" applyBorder="1" applyAlignment="1">
      <alignment horizontal="left"/>
    </xf>
    <xf numFmtId="4" fontId="29" fillId="54" borderId="1"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wrapText="1"/>
    </xf>
    <xf numFmtId="0" fontId="2" fillId="0" borderId="50"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04" fillId="0" borderId="0" xfId="0" applyFont="1" applyFill="1" applyBorder="1" applyAlignment="1">
      <alignment horizontal="left" vertical="center"/>
    </xf>
    <xf numFmtId="0" fontId="204" fillId="0" borderId="17" xfId="0" applyFont="1" applyFill="1" applyBorder="1" applyAlignment="1">
      <alignment horizontal="left" vertical="center"/>
    </xf>
    <xf numFmtId="49" fontId="28" fillId="0" borderId="6" xfId="930" applyNumberFormat="1" applyFont="1" applyFill="1" applyBorder="1" applyAlignment="1">
      <alignment horizontal="left" vertical="center"/>
    </xf>
    <xf numFmtId="0" fontId="2" fillId="0" borderId="6" xfId="0" applyFont="1" applyFill="1" applyBorder="1" applyAlignment="1">
      <alignment horizontal="left" vertical="center" wrapText="1"/>
    </xf>
    <xf numFmtId="49" fontId="28" fillId="0" borderId="29" xfId="930" applyNumberFormat="1"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204" fillId="0" borderId="0" xfId="0" applyNumberFormat="1" applyFont="1" applyFill="1" applyBorder="1" applyAlignment="1">
      <alignment horizontal="left" vertical="center" wrapText="1"/>
    </xf>
    <xf numFmtId="0" fontId="200" fillId="0" borderId="0" xfId="0" applyFont="1" applyFill="1" applyBorder="1" applyAlignment="1">
      <alignment horizontal="left" vertical="center" wrapText="1"/>
    </xf>
    <xf numFmtId="0" fontId="200" fillId="0" borderId="17"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 fillId="0" borderId="6" xfId="0" applyFont="1" applyFill="1" applyBorder="1" applyAlignment="1">
      <alignment horizontal="left" vertical="center"/>
    </xf>
    <xf numFmtId="49" fontId="29" fillId="0" borderId="6" xfId="930" applyNumberFormat="1" applyFont="1" applyFill="1" applyBorder="1" applyAlignment="1">
      <alignment horizontal="center" vertical="center"/>
    </xf>
    <xf numFmtId="0" fontId="29" fillId="0" borderId="6" xfId="0" applyFont="1" applyFill="1" applyBorder="1" applyAlignment="1">
      <alignment horizontal="center" vertical="center" wrapText="1"/>
    </xf>
    <xf numFmtId="0" fontId="195" fillId="0" borderId="6" xfId="0" applyFont="1" applyFill="1" applyBorder="1" applyAlignment="1">
      <alignment horizontal="left" vertical="center"/>
    </xf>
    <xf numFmtId="0" fontId="28" fillId="0" borderId="6" xfId="930" applyFont="1" applyFill="1" applyBorder="1" applyAlignment="1">
      <alignment horizontal="left" vertical="center" wrapText="1"/>
    </xf>
    <xf numFmtId="49" fontId="2" fillId="59" borderId="39" xfId="0" applyNumberFormat="1" applyFont="1" applyFill="1" applyBorder="1" applyAlignment="1">
      <alignment horizontal="center" vertical="center" wrapText="1"/>
    </xf>
    <xf numFmtId="0" fontId="200" fillId="59" borderId="96" xfId="0" applyFont="1" applyFill="1" applyBorder="1" applyAlignment="1">
      <alignment horizontal="center" vertical="center" wrapText="1"/>
    </xf>
    <xf numFmtId="0" fontId="2" fillId="61" borderId="50" xfId="0" applyFont="1" applyFill="1" applyBorder="1" applyAlignment="1">
      <alignment horizontal="left" vertical="center" wrapText="1"/>
    </xf>
    <xf numFmtId="0" fontId="2" fillId="61" borderId="79" xfId="0" applyFont="1" applyFill="1" applyBorder="1" applyAlignment="1">
      <alignment horizontal="left" vertical="center" wrapText="1"/>
    </xf>
    <xf numFmtId="0" fontId="2" fillId="61" borderId="52" xfId="0" applyFont="1" applyFill="1" applyBorder="1" applyAlignment="1">
      <alignment horizontal="left" vertical="center" wrapText="1"/>
    </xf>
    <xf numFmtId="4" fontId="2" fillId="59" borderId="35" xfId="0" applyNumberFormat="1" applyFont="1" applyFill="1" applyBorder="1" applyAlignment="1">
      <alignment horizontal="center" vertical="center"/>
    </xf>
    <xf numFmtId="4" fontId="2" fillId="59" borderId="33" xfId="0" applyNumberFormat="1" applyFont="1" applyFill="1" applyBorder="1" applyAlignment="1">
      <alignment horizontal="center" vertical="center"/>
    </xf>
    <xf numFmtId="14" fontId="29" fillId="59" borderId="26" xfId="0" applyNumberFormat="1" applyFont="1" applyFill="1" applyBorder="1" applyAlignment="1">
      <alignment horizontal="center" vertical="center" wrapText="1"/>
    </xf>
    <xf numFmtId="14" fontId="29" fillId="59" borderId="29" xfId="0" applyNumberFormat="1" applyFont="1" applyFill="1" applyBorder="1" applyAlignment="1">
      <alignment horizontal="center" vertical="center" wrapText="1"/>
    </xf>
    <xf numFmtId="49" fontId="37" fillId="54" borderId="97" xfId="0" applyNumberFormat="1" applyFont="1" applyFill="1" applyBorder="1" applyAlignment="1">
      <alignment horizontal="center" vertical="center" wrapText="1"/>
    </xf>
    <xf numFmtId="0" fontId="191" fillId="0" borderId="94" xfId="0" applyFont="1" applyBorder="1" applyAlignment="1">
      <alignment horizontal="center" vertical="center" wrapText="1"/>
    </xf>
    <xf numFmtId="0" fontId="191" fillId="0" borderId="30" xfId="0" applyFont="1" applyBorder="1" applyAlignment="1">
      <alignment horizontal="center" vertical="center" wrapText="1"/>
    </xf>
    <xf numFmtId="0" fontId="37" fillId="61" borderId="50" xfId="0" applyFont="1" applyFill="1" applyBorder="1" applyAlignment="1">
      <alignment horizontal="left" vertical="center" wrapText="1"/>
    </xf>
    <xf numFmtId="0" fontId="37" fillId="61" borderId="79" xfId="0" applyFont="1" applyFill="1" applyBorder="1" applyAlignment="1">
      <alignment horizontal="left" vertical="center" wrapText="1"/>
    </xf>
    <xf numFmtId="0" fontId="37" fillId="61" borderId="52" xfId="0" applyFont="1" applyFill="1" applyBorder="1" applyAlignment="1">
      <alignment horizontal="left" vertical="center" wrapText="1"/>
    </xf>
    <xf numFmtId="49" fontId="37" fillId="54" borderId="92" xfId="0" applyNumberFormat="1" applyFont="1" applyFill="1" applyBorder="1" applyAlignment="1">
      <alignment horizontal="center" vertical="center" wrapText="1"/>
    </xf>
    <xf numFmtId="4" fontId="37" fillId="0" borderId="39" xfId="0" applyNumberFormat="1" applyFont="1" applyFill="1" applyBorder="1" applyAlignment="1">
      <alignment horizontal="center" vertical="center"/>
    </xf>
    <xf numFmtId="4" fontId="37" fillId="0" borderId="30" xfId="0" applyNumberFormat="1" applyFont="1" applyFill="1" applyBorder="1" applyAlignment="1">
      <alignment horizontal="center" vertical="center"/>
    </xf>
    <xf numFmtId="0" fontId="7" fillId="0" borderId="0" xfId="0" applyFont="1" applyAlignment="1">
      <alignment horizontal="left" indent="3"/>
    </xf>
    <xf numFmtId="0" fontId="7" fillId="0" borderId="0" xfId="0" applyFont="1" applyAlignment="1">
      <alignment horizontal="left"/>
    </xf>
    <xf numFmtId="0" fontId="9" fillId="0" borderId="2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7" fillId="0" borderId="6" xfId="0" applyFont="1" applyBorder="1" applyAlignment="1">
      <alignment horizontal="left" wrapText="1"/>
    </xf>
    <xf numFmtId="168" fontId="9" fillId="0" borderId="6" xfId="0" applyNumberFormat="1" applyFont="1" applyBorder="1" applyAlignment="1">
      <alignment horizontal="center" vertical="center"/>
    </xf>
    <xf numFmtId="0" fontId="28" fillId="0" borderId="6" xfId="0" applyFont="1" applyBorder="1" applyAlignment="1">
      <alignment horizontal="left" vertical="center" wrapText="1"/>
    </xf>
    <xf numFmtId="0" fontId="28" fillId="0" borderId="28" xfId="0" applyNumberFormat="1" applyFont="1" applyBorder="1" applyAlignment="1">
      <alignment horizontal="left" vertical="center" wrapText="1"/>
    </xf>
    <xf numFmtId="0" fontId="28" fillId="0" borderId="49" xfId="0" applyNumberFormat="1" applyFont="1" applyBorder="1" applyAlignment="1">
      <alignment horizontal="left" vertical="center" wrapText="1"/>
    </xf>
    <xf numFmtId="0" fontId="28" fillId="0" borderId="48" xfId="0" applyNumberFormat="1" applyFont="1" applyBorder="1" applyAlignment="1">
      <alignment horizontal="left" vertical="center" wrapText="1"/>
    </xf>
    <xf numFmtId="0" fontId="28" fillId="0" borderId="28" xfId="0" applyFont="1" applyBorder="1" applyAlignment="1">
      <alignment horizontal="left" wrapText="1"/>
    </xf>
    <xf numFmtId="0" fontId="28" fillId="0" borderId="49" xfId="0" applyFont="1" applyBorder="1" applyAlignment="1">
      <alignment horizontal="left" wrapText="1"/>
    </xf>
    <xf numFmtId="0" fontId="28" fillId="0" borderId="48" xfId="0" applyFont="1" applyBorder="1" applyAlignment="1">
      <alignment horizontal="left" wrapText="1"/>
    </xf>
    <xf numFmtId="49" fontId="42" fillId="0" borderId="28" xfId="0" applyNumberFormat="1" applyFont="1" applyBorder="1" applyAlignment="1">
      <alignment horizontal="center" vertical="center" wrapText="1"/>
    </xf>
    <xf numFmtId="49" fontId="42" fillId="0" borderId="49" xfId="0" applyNumberFormat="1" applyFont="1" applyBorder="1" applyAlignment="1">
      <alignment horizontal="center" vertical="center" wrapText="1"/>
    </xf>
    <xf numFmtId="49" fontId="42" fillId="0" borderId="48" xfId="0" applyNumberFormat="1" applyFont="1" applyBorder="1" applyAlignment="1">
      <alignment horizontal="center" vertical="center" wrapText="1"/>
    </xf>
    <xf numFmtId="0" fontId="7" fillId="0" borderId="6" xfId="0" applyFont="1" applyBorder="1" applyAlignment="1">
      <alignment horizontal="left" vertical="center" wrapText="1"/>
    </xf>
    <xf numFmtId="0" fontId="30" fillId="0" borderId="6" xfId="0" applyFont="1" applyBorder="1" applyAlignment="1">
      <alignment horizontal="center" vertical="center" wrapText="1"/>
    </xf>
    <xf numFmtId="0" fontId="30" fillId="0" borderId="6" xfId="0" applyFont="1" applyBorder="1" applyAlignment="1">
      <alignment horizontal="center" vertical="center" textRotation="90" wrapText="1"/>
    </xf>
    <xf numFmtId="0" fontId="44" fillId="0" borderId="6" xfId="0" applyFont="1" applyBorder="1" applyAlignment="1">
      <alignment horizontal="center" vertical="center" textRotation="90" wrapText="1"/>
    </xf>
    <xf numFmtId="0" fontId="6" fillId="0" borderId="6"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48" xfId="0" applyFont="1" applyBorder="1" applyAlignment="1">
      <alignment horizontal="center" vertical="center" wrapText="1"/>
    </xf>
    <xf numFmtId="0" fontId="30" fillId="0" borderId="28" xfId="0" applyFont="1" applyBorder="1" applyAlignment="1">
      <alignment horizontal="left" vertical="center" wrapText="1"/>
    </xf>
    <xf numFmtId="0" fontId="30" fillId="0" borderId="49" xfId="0" applyFont="1" applyBorder="1" applyAlignment="1">
      <alignment horizontal="left" vertical="center" wrapText="1"/>
    </xf>
    <xf numFmtId="0" fontId="30" fillId="0" borderId="48" xfId="0" applyFont="1" applyBorder="1" applyAlignment="1">
      <alignment horizontal="left" vertical="center" wrapText="1"/>
    </xf>
    <xf numFmtId="0" fontId="28" fillId="0" borderId="28" xfId="0" applyFont="1" applyBorder="1" applyAlignment="1">
      <alignment horizontal="left" vertical="center" wrapText="1"/>
    </xf>
    <xf numFmtId="0" fontId="28" fillId="0" borderId="49" xfId="0" applyFont="1" applyBorder="1" applyAlignment="1">
      <alignment horizontal="left" vertical="center" wrapText="1"/>
    </xf>
    <xf numFmtId="0" fontId="28" fillId="0" borderId="48" xfId="0" applyFont="1" applyBorder="1" applyAlignment="1">
      <alignment horizontal="left" vertical="center" wrapText="1"/>
    </xf>
    <xf numFmtId="0" fontId="9" fillId="0" borderId="6" xfId="0" applyFont="1" applyBorder="1" applyAlignment="1">
      <alignment horizontal="justify" vertical="center" wrapText="1"/>
    </xf>
    <xf numFmtId="0" fontId="9" fillId="0" borderId="0" xfId="0" applyFont="1" applyAlignment="1">
      <alignment horizontal="left" wrapText="1"/>
    </xf>
    <xf numFmtId="0" fontId="30" fillId="0" borderId="28" xfId="0" applyNumberFormat="1" applyFont="1" applyBorder="1" applyAlignment="1">
      <alignment horizontal="left" vertical="center" wrapText="1"/>
    </xf>
    <xf numFmtId="0" fontId="30" fillId="0" borderId="49" xfId="0" applyNumberFormat="1" applyFont="1" applyBorder="1" applyAlignment="1">
      <alignment horizontal="left" vertical="center" wrapText="1"/>
    </xf>
    <xf numFmtId="0" fontId="30" fillId="0" borderId="48" xfId="0" applyNumberFormat="1" applyFont="1" applyBorder="1" applyAlignment="1">
      <alignment horizontal="lef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wrapText="1"/>
    </xf>
    <xf numFmtId="49" fontId="9" fillId="0" borderId="0" xfId="0" applyNumberFormat="1" applyFont="1" applyAlignment="1">
      <alignment horizontal="left" wrapText="1"/>
    </xf>
    <xf numFmtId="0" fontId="9" fillId="0" borderId="0" xfId="0" applyFont="1" applyBorder="1" applyAlignment="1">
      <alignment horizontal="left" vertical="top" wrapText="1"/>
    </xf>
    <xf numFmtId="0" fontId="30" fillId="0" borderId="0" xfId="0" applyFont="1" applyFill="1" applyAlignment="1">
      <alignment horizontal="left" wrapText="1"/>
    </xf>
    <xf numFmtId="0" fontId="28" fillId="0" borderId="0" xfId="0" applyFont="1" applyFill="1" applyAlignment="1">
      <alignment horizontal="left" wrapText="1"/>
    </xf>
    <xf numFmtId="0" fontId="21" fillId="0" borderId="28" xfId="0" applyFont="1" applyBorder="1" applyAlignment="1">
      <alignment vertical="center" wrapText="1"/>
    </xf>
    <xf numFmtId="0" fontId="0" fillId="0" borderId="49" xfId="0" applyFont="1" applyBorder="1" applyAlignment="1">
      <alignment vertical="center" wrapText="1"/>
    </xf>
    <xf numFmtId="0" fontId="0" fillId="0" borderId="48" xfId="0" applyFont="1" applyBorder="1" applyAlignment="1">
      <alignment wrapText="1"/>
    </xf>
    <xf numFmtId="0" fontId="21" fillId="0" borderId="28" xfId="0" applyFont="1" applyBorder="1" applyAlignment="1">
      <alignment horizontal="left" vertical="center" wrapText="1"/>
    </xf>
    <xf numFmtId="0" fontId="0" fillId="0" borderId="49" xfId="0" applyFont="1" applyBorder="1" applyAlignment="1">
      <alignment horizontal="left" vertical="center" wrapText="1"/>
    </xf>
    <xf numFmtId="0" fontId="10" fillId="0" borderId="0" xfId="0" applyFont="1" applyAlignment="1">
      <alignment horizontal="left" indent="3"/>
    </xf>
    <xf numFmtId="0" fontId="10" fillId="0" borderId="0" xfId="0" applyFont="1" applyAlignment="1"/>
    <xf numFmtId="0" fontId="6" fillId="0" borderId="0" xfId="0" applyFont="1" applyAlignment="1">
      <alignment horizontal="left" wrapText="1"/>
    </xf>
    <xf numFmtId="0" fontId="15" fillId="0" borderId="6"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79" fillId="55" borderId="28" xfId="0" applyFont="1" applyFill="1" applyBorder="1" applyAlignment="1">
      <alignment horizontal="left" vertical="center" wrapText="1"/>
    </xf>
    <xf numFmtId="0" fontId="179" fillId="55" borderId="49" xfId="0" applyFont="1" applyFill="1" applyBorder="1" applyAlignment="1">
      <alignment horizontal="left" vertical="center" wrapText="1"/>
    </xf>
    <xf numFmtId="0" fontId="179" fillId="55" borderId="48" xfId="0" applyFont="1" applyFill="1" applyBorder="1" applyAlignment="1">
      <alignment horizontal="left" vertical="center" wrapText="1"/>
    </xf>
    <xf numFmtId="0" fontId="28" fillId="54" borderId="0" xfId="0" applyFont="1" applyFill="1" applyAlignment="1">
      <alignment horizontal="left" wrapText="1"/>
    </xf>
    <xf numFmtId="0" fontId="10" fillId="54" borderId="0" xfId="0" applyFont="1" applyFill="1" applyAlignment="1">
      <alignment horizontal="left"/>
    </xf>
    <xf numFmtId="1" fontId="40" fillId="54" borderId="0" xfId="0" applyNumberFormat="1" applyFont="1" applyFill="1" applyBorder="1" applyAlignment="1">
      <alignment horizontal="center" vertical="center" wrapText="1"/>
    </xf>
    <xf numFmtId="0" fontId="0" fillId="0" borderId="0" xfId="0" applyAlignment="1">
      <alignment horizontal="center"/>
    </xf>
    <xf numFmtId="2" fontId="30" fillId="0" borderId="6" xfId="0" applyNumberFormat="1" applyFont="1" applyBorder="1" applyAlignment="1">
      <alignment horizontal="center" vertical="center" wrapText="1"/>
    </xf>
    <xf numFmtId="0" fontId="30" fillId="0" borderId="6" xfId="0" applyFont="1" applyBorder="1" applyAlignment="1">
      <alignment horizontal="center" vertical="center"/>
    </xf>
    <xf numFmtId="4" fontId="30" fillId="0" borderId="6" xfId="0" applyNumberFormat="1" applyFont="1" applyBorder="1" applyAlignment="1">
      <alignment horizontal="center" vertical="center" wrapText="1"/>
    </xf>
    <xf numFmtId="0" fontId="30" fillId="54" borderId="6" xfId="0" applyFont="1" applyFill="1" applyBorder="1" applyAlignment="1">
      <alignment horizontal="center" vertical="center" wrapText="1"/>
    </xf>
    <xf numFmtId="0" fontId="195" fillId="0" borderId="0" xfId="0" applyFont="1" applyAlignment="1"/>
    <xf numFmtId="0" fontId="201" fillId="0" borderId="0" xfId="0" applyFont="1" applyAlignment="1"/>
    <xf numFmtId="0" fontId="195" fillId="0" borderId="0" xfId="0" applyFont="1" applyAlignment="1">
      <alignment horizontal="left"/>
    </xf>
    <xf numFmtId="0" fontId="202" fillId="0" borderId="0" xfId="0" applyFont="1" applyAlignment="1">
      <alignment horizontal="left" wrapText="1"/>
    </xf>
    <xf numFmtId="0" fontId="197" fillId="0" borderId="6" xfId="0" applyFont="1" applyBorder="1" applyAlignment="1">
      <alignment horizontal="center" vertical="center" wrapText="1"/>
    </xf>
    <xf numFmtId="0" fontId="197" fillId="0" borderId="28" xfId="0" applyFont="1" applyBorder="1" applyAlignment="1">
      <alignment horizontal="center" vertical="center" wrapText="1"/>
    </xf>
    <xf numFmtId="0" fontId="197" fillId="0" borderId="49" xfId="0" applyFont="1" applyBorder="1" applyAlignment="1">
      <alignment horizontal="center" vertical="center" wrapText="1"/>
    </xf>
    <xf numFmtId="0" fontId="197" fillId="0" borderId="48" xfId="0" applyFont="1" applyBorder="1" applyAlignment="1">
      <alignment horizontal="center" vertical="center" wrapText="1"/>
    </xf>
    <xf numFmtId="0" fontId="203" fillId="0" borderId="28" xfId="0" applyFont="1" applyBorder="1" applyAlignment="1">
      <alignment vertical="center" wrapText="1"/>
    </xf>
    <xf numFmtId="0" fontId="203" fillId="0" borderId="28" xfId="0" applyFont="1" applyBorder="1" applyAlignment="1">
      <alignment horizontal="left" vertical="center" wrapText="1"/>
    </xf>
    <xf numFmtId="0" fontId="194" fillId="0" borderId="0" xfId="0" applyFont="1" applyAlignment="1">
      <alignment horizontal="left" vertical="center" wrapText="1"/>
    </xf>
    <xf numFmtId="0" fontId="19" fillId="54" borderId="28" xfId="0" applyFont="1" applyFill="1" applyBorder="1" applyAlignment="1">
      <alignment horizontal="left" wrapText="1"/>
    </xf>
    <xf numFmtId="0" fontId="19" fillId="54" borderId="49" xfId="0" applyFont="1" applyFill="1" applyBorder="1" applyAlignment="1">
      <alignment horizontal="left" wrapText="1"/>
    </xf>
    <xf numFmtId="0" fontId="19" fillId="54" borderId="0" xfId="0" applyFont="1" applyFill="1" applyBorder="1" applyAlignment="1">
      <alignment horizontal="left" vertical="center" wrapText="1" indent="3"/>
    </xf>
    <xf numFmtId="0" fontId="19" fillId="54" borderId="0" xfId="0" applyFont="1" applyFill="1" applyBorder="1" applyAlignment="1">
      <alignment horizontal="left" vertical="center" wrapText="1"/>
    </xf>
    <xf numFmtId="0" fontId="22" fillId="54" borderId="0" xfId="0" applyFont="1" applyFill="1" applyBorder="1" applyAlignment="1">
      <alignment horizontal="left" vertical="center" wrapText="1" indent="3"/>
    </xf>
    <xf numFmtId="0" fontId="22" fillId="54" borderId="0" xfId="0" applyFont="1" applyFill="1" applyBorder="1" applyAlignment="1">
      <alignment horizontal="left" vertical="center" wrapText="1"/>
    </xf>
    <xf numFmtId="0" fontId="13" fillId="54" borderId="6" xfId="0" applyFont="1" applyFill="1" applyBorder="1" applyAlignment="1">
      <alignment horizontal="center" vertical="center" wrapText="1"/>
    </xf>
    <xf numFmtId="0" fontId="13" fillId="54" borderId="26" xfId="0" applyFont="1" applyFill="1" applyBorder="1" applyAlignment="1">
      <alignment horizontal="center" vertical="center"/>
    </xf>
    <xf numFmtId="0" fontId="13" fillId="54" borderId="29" xfId="0" applyFont="1" applyFill="1" applyBorder="1" applyAlignment="1">
      <alignment horizontal="center" vertical="center"/>
    </xf>
    <xf numFmtId="0" fontId="29" fillId="54" borderId="28" xfId="0" applyFont="1" applyFill="1" applyBorder="1" applyAlignment="1">
      <alignment horizontal="center" vertical="center" wrapText="1"/>
    </xf>
    <xf numFmtId="0" fontId="29" fillId="54" borderId="48" xfId="0" applyFont="1" applyFill="1" applyBorder="1" applyAlignment="1">
      <alignment horizontal="center" vertical="center" wrapText="1"/>
    </xf>
    <xf numFmtId="0" fontId="13" fillId="54" borderId="41" xfId="0" applyFont="1" applyFill="1" applyBorder="1" applyAlignment="1">
      <alignment horizontal="center" vertical="center" wrapText="1"/>
    </xf>
    <xf numFmtId="0" fontId="13" fillId="54" borderId="51" xfId="0" applyFont="1" applyFill="1" applyBorder="1" applyAlignment="1">
      <alignment horizontal="center" vertical="center" wrapText="1"/>
    </xf>
    <xf numFmtId="216" fontId="13" fillId="54" borderId="28" xfId="0" applyNumberFormat="1" applyFont="1" applyFill="1" applyBorder="1" applyAlignment="1">
      <alignment horizontal="center" vertical="center" wrapText="1"/>
    </xf>
    <xf numFmtId="216" fontId="13" fillId="54" borderId="48" xfId="0" applyNumberFormat="1" applyFont="1" applyFill="1" applyBorder="1" applyAlignment="1">
      <alignment horizontal="center" vertical="center" wrapText="1"/>
    </xf>
    <xf numFmtId="0" fontId="29" fillId="54" borderId="6" xfId="0" applyFont="1" applyFill="1" applyBorder="1" applyAlignment="1">
      <alignment horizontal="center" vertical="center" wrapText="1"/>
    </xf>
    <xf numFmtId="4" fontId="15" fillId="54" borderId="26" xfId="0" applyNumberFormat="1" applyFont="1" applyFill="1" applyBorder="1" applyAlignment="1">
      <alignment horizontal="center" vertical="center"/>
    </xf>
    <xf numFmtId="4" fontId="15" fillId="54" borderId="29" xfId="0" applyNumberFormat="1" applyFont="1" applyFill="1" applyBorder="1" applyAlignment="1">
      <alignment horizontal="center" vertical="center"/>
    </xf>
    <xf numFmtId="0" fontId="15" fillId="54" borderId="26" xfId="0" applyFont="1" applyFill="1" applyBorder="1" applyAlignment="1">
      <alignment horizontal="center"/>
    </xf>
    <xf numFmtId="0" fontId="15" fillId="54" borderId="29" xfId="0" applyFont="1" applyFill="1" applyBorder="1" applyAlignment="1">
      <alignment horizontal="center"/>
    </xf>
    <xf numFmtId="0" fontId="15" fillId="54" borderId="26" xfId="0" applyFont="1" applyFill="1" applyBorder="1" applyAlignment="1">
      <alignment horizontal="center" vertical="center"/>
    </xf>
    <xf numFmtId="0" fontId="15" fillId="54" borderId="29" xfId="0" applyFont="1" applyFill="1" applyBorder="1" applyAlignment="1">
      <alignment horizontal="center" vertical="center"/>
    </xf>
    <xf numFmtId="49" fontId="15" fillId="54" borderId="26" xfId="0" applyNumberFormat="1" applyFont="1" applyFill="1" applyBorder="1" applyAlignment="1">
      <alignment horizontal="center" vertical="center" wrapText="1"/>
    </xf>
    <xf numFmtId="49" fontId="15" fillId="54" borderId="29" xfId="0" applyNumberFormat="1" applyFont="1" applyFill="1" applyBorder="1" applyAlignment="1">
      <alignment horizontal="center" vertical="center" wrapText="1"/>
    </xf>
    <xf numFmtId="216" fontId="13" fillId="54" borderId="41" xfId="0" applyNumberFormat="1" applyFont="1" applyFill="1" applyBorder="1" applyAlignment="1">
      <alignment horizontal="center" vertical="center" wrapText="1"/>
    </xf>
    <xf numFmtId="216" fontId="13" fillId="54" borderId="51" xfId="0" applyNumberFormat="1" applyFont="1" applyFill="1" applyBorder="1" applyAlignment="1">
      <alignment horizontal="center" vertical="center" wrapText="1"/>
    </xf>
    <xf numFmtId="0" fontId="167" fillId="54" borderId="28" xfId="0" applyFont="1" applyFill="1" applyBorder="1" applyAlignment="1">
      <alignment horizontal="left" vertical="center" wrapText="1"/>
    </xf>
    <xf numFmtId="0" fontId="167" fillId="54" borderId="48" xfId="0" applyFont="1" applyFill="1" applyBorder="1" applyAlignment="1">
      <alignment horizontal="left" vertical="center" wrapText="1"/>
    </xf>
    <xf numFmtId="0" fontId="23" fillId="54" borderId="28" xfId="0" applyFont="1" applyFill="1" applyBorder="1" applyAlignment="1">
      <alignment horizontal="left" vertical="center" wrapText="1"/>
    </xf>
    <xf numFmtId="0" fontId="23" fillId="54" borderId="48" xfId="0" applyFont="1" applyFill="1" applyBorder="1" applyAlignment="1">
      <alignment horizontal="left" vertical="center" wrapText="1"/>
    </xf>
    <xf numFmtId="0" fontId="19" fillId="54" borderId="28" xfId="0" applyFont="1" applyFill="1" applyBorder="1" applyAlignment="1">
      <alignment horizontal="left" vertical="center" wrapText="1"/>
    </xf>
    <xf numFmtId="0" fontId="19" fillId="54" borderId="48" xfId="0" applyFont="1" applyFill="1" applyBorder="1" applyAlignment="1">
      <alignment horizontal="left" vertical="center" wrapText="1"/>
    </xf>
    <xf numFmtId="0" fontId="167" fillId="54" borderId="28" xfId="0" applyFont="1" applyFill="1" applyBorder="1" applyAlignment="1">
      <alignment horizontal="center" vertical="center" wrapText="1"/>
    </xf>
    <xf numFmtId="0" fontId="167" fillId="54" borderId="48" xfId="0" applyFont="1" applyFill="1" applyBorder="1" applyAlignment="1">
      <alignment horizontal="center" vertical="center" wrapText="1"/>
    </xf>
    <xf numFmtId="49" fontId="13" fillId="54" borderId="26" xfId="0" applyNumberFormat="1" applyFont="1" applyFill="1" applyBorder="1" applyAlignment="1">
      <alignment horizontal="center" vertical="center" wrapText="1"/>
    </xf>
    <xf numFmtId="49" fontId="13" fillId="54" borderId="29" xfId="0" applyNumberFormat="1" applyFont="1" applyFill="1" applyBorder="1" applyAlignment="1">
      <alignment horizontal="center" vertical="center" wrapText="1"/>
    </xf>
    <xf numFmtId="0" fontId="13" fillId="54" borderId="26" xfId="0" applyFont="1" applyFill="1" applyBorder="1" applyAlignment="1">
      <alignment horizontal="left" vertical="center" wrapText="1"/>
    </xf>
    <xf numFmtId="0" fontId="13" fillId="54" borderId="29" xfId="0" applyFont="1" applyFill="1" applyBorder="1" applyAlignment="1">
      <alignment horizontal="left" vertical="center" wrapText="1"/>
    </xf>
    <xf numFmtId="49" fontId="0" fillId="54" borderId="0" xfId="0" applyNumberFormat="1" applyFill="1" applyAlignment="1">
      <alignment vertical="center"/>
    </xf>
    <xf numFmtId="0" fontId="0" fillId="54" borderId="0" xfId="0" applyFill="1" applyAlignment="1">
      <alignment vertical="center"/>
    </xf>
    <xf numFmtId="2" fontId="15" fillId="54" borderId="0" xfId="0" applyNumberFormat="1" applyFont="1" applyFill="1" applyAlignment="1">
      <alignment vertical="center"/>
    </xf>
    <xf numFmtId="0" fontId="0" fillId="0" borderId="0" xfId="0" applyAlignment="1"/>
    <xf numFmtId="49" fontId="11" fillId="54" borderId="6" xfId="0" applyNumberFormat="1" applyFont="1" applyFill="1" applyBorder="1" applyAlignment="1">
      <alignment vertical="center" wrapText="1"/>
    </xf>
    <xf numFmtId="0" fontId="0" fillId="54" borderId="6" xfId="0" applyFont="1" applyFill="1" applyBorder="1" applyAlignment="1">
      <alignment vertical="center" wrapText="1"/>
    </xf>
    <xf numFmtId="49" fontId="12" fillId="54" borderId="28" xfId="0" applyNumberFormat="1" applyFont="1" applyFill="1" applyBorder="1" applyAlignment="1">
      <alignment vertical="center"/>
    </xf>
    <xf numFmtId="49" fontId="12" fillId="54" borderId="49" xfId="0" applyNumberFormat="1" applyFont="1" applyFill="1" applyBorder="1" applyAlignment="1">
      <alignment vertical="center"/>
    </xf>
    <xf numFmtId="49" fontId="12" fillId="54" borderId="48" xfId="0" applyNumberFormat="1" applyFont="1" applyFill="1" applyBorder="1" applyAlignment="1">
      <alignment vertical="center"/>
    </xf>
    <xf numFmtId="49" fontId="11" fillId="54" borderId="28" xfId="0" applyNumberFormat="1" applyFont="1" applyFill="1" applyBorder="1" applyAlignment="1">
      <alignment horizontal="left" vertical="center" wrapText="1"/>
    </xf>
    <xf numFmtId="49" fontId="11" fillId="54" borderId="49" xfId="0" applyNumberFormat="1" applyFont="1" applyFill="1" applyBorder="1" applyAlignment="1">
      <alignment horizontal="left" vertical="center" wrapText="1"/>
    </xf>
    <xf numFmtId="49" fontId="11" fillId="54" borderId="48" xfId="0" applyNumberFormat="1" applyFont="1" applyFill="1" applyBorder="1" applyAlignment="1">
      <alignment horizontal="left" vertical="center" wrapText="1"/>
    </xf>
    <xf numFmtId="0" fontId="6" fillId="54" borderId="28" xfId="0" applyFont="1" applyFill="1" applyBorder="1" applyAlignment="1">
      <alignment horizontal="left" vertical="center" wrapText="1"/>
    </xf>
    <xf numFmtId="0" fontId="6" fillId="54" borderId="49" xfId="0" applyFont="1" applyFill="1" applyBorder="1" applyAlignment="1">
      <alignment horizontal="left" vertical="center" wrapText="1"/>
    </xf>
    <xf numFmtId="49" fontId="11" fillId="54" borderId="28" xfId="0" applyNumberFormat="1" applyFont="1" applyFill="1" applyBorder="1" applyAlignment="1">
      <alignment vertical="center" wrapText="1"/>
    </xf>
    <xf numFmtId="0" fontId="0" fillId="54" borderId="49" xfId="0" applyFill="1" applyBorder="1" applyAlignment="1">
      <alignment vertical="center" wrapText="1"/>
    </xf>
    <xf numFmtId="0" fontId="0" fillId="54" borderId="48" xfId="0" applyFill="1" applyBorder="1" applyAlignment="1">
      <alignment vertical="center" wrapText="1"/>
    </xf>
    <xf numFmtId="49" fontId="0" fillId="54" borderId="6" xfId="0" applyNumberFormat="1" applyFont="1" applyFill="1" applyBorder="1" applyAlignment="1">
      <alignment vertical="center" wrapText="1"/>
    </xf>
    <xf numFmtId="49" fontId="0" fillId="54" borderId="0" xfId="0" applyNumberFormat="1" applyFont="1" applyFill="1" applyAlignment="1">
      <alignment vertical="center"/>
    </xf>
    <xf numFmtId="0" fontId="0" fillId="54" borderId="0" xfId="0" applyFont="1" applyFill="1" applyAlignment="1">
      <alignment vertical="center"/>
    </xf>
    <xf numFmtId="0" fontId="0" fillId="54" borderId="49" xfId="0" applyFont="1" applyFill="1" applyBorder="1" applyAlignment="1">
      <alignment horizontal="left" vertical="center" wrapText="1"/>
    </xf>
    <xf numFmtId="0" fontId="0" fillId="54" borderId="48" xfId="0" applyFont="1" applyFill="1" applyBorder="1" applyAlignment="1">
      <alignment horizontal="left" vertical="center" wrapText="1"/>
    </xf>
    <xf numFmtId="49" fontId="32" fillId="54" borderId="28" xfId="0" applyNumberFormat="1" applyFont="1" applyFill="1" applyBorder="1" applyAlignment="1">
      <alignment horizontal="left" vertical="center" wrapText="1"/>
    </xf>
    <xf numFmtId="49" fontId="32" fillId="54" borderId="49" xfId="0" applyNumberFormat="1" applyFont="1" applyFill="1" applyBorder="1" applyAlignment="1">
      <alignment horizontal="left" vertical="center" wrapText="1"/>
    </xf>
    <xf numFmtId="49" fontId="32" fillId="54" borderId="48" xfId="0" applyNumberFormat="1" applyFont="1" applyFill="1" applyBorder="1" applyAlignment="1">
      <alignment horizontal="left" vertical="center" wrapText="1"/>
    </xf>
    <xf numFmtId="0" fontId="11" fillId="54" borderId="28" xfId="0" applyFont="1" applyFill="1" applyBorder="1" applyAlignment="1">
      <alignment horizontal="left" vertical="center" wrapText="1"/>
    </xf>
    <xf numFmtId="0" fontId="11" fillId="54" borderId="49" xfId="0" applyFont="1" applyFill="1" applyBorder="1" applyAlignment="1">
      <alignment horizontal="left" vertical="center" wrapText="1"/>
    </xf>
    <xf numFmtId="0" fontId="11" fillId="54" borderId="48" xfId="0" applyFont="1" applyFill="1" applyBorder="1" applyAlignment="1">
      <alignment horizontal="left" vertical="center" wrapText="1"/>
    </xf>
    <xf numFmtId="2" fontId="15" fillId="54" borderId="26" xfId="0" applyNumberFormat="1" applyFont="1" applyFill="1" applyBorder="1" applyAlignment="1">
      <alignment horizontal="center" vertical="center"/>
    </xf>
    <xf numFmtId="0" fontId="0" fillId="54" borderId="29" xfId="0" applyFill="1" applyBorder="1" applyAlignment="1">
      <alignment horizontal="center" vertical="center"/>
    </xf>
    <xf numFmtId="0" fontId="15" fillId="54" borderId="28" xfId="0" applyFont="1" applyFill="1" applyBorder="1" applyAlignment="1">
      <alignment vertical="center" wrapText="1"/>
    </xf>
    <xf numFmtId="0" fontId="15" fillId="54" borderId="49" xfId="0" applyFont="1" applyFill="1" applyBorder="1" applyAlignment="1">
      <alignment vertical="center" wrapText="1"/>
    </xf>
    <xf numFmtId="0" fontId="15" fillId="54" borderId="48" xfId="0" applyFont="1" applyFill="1" applyBorder="1" applyAlignment="1">
      <alignment vertical="center" wrapText="1"/>
    </xf>
    <xf numFmtId="49" fontId="183" fillId="54" borderId="28" xfId="0" applyNumberFormat="1" applyFont="1" applyFill="1" applyBorder="1" applyAlignment="1">
      <alignment horizontal="left" vertical="center" wrapText="1"/>
    </xf>
    <xf numFmtId="49" fontId="183" fillId="54" borderId="49" xfId="0" applyNumberFormat="1" applyFont="1" applyFill="1" applyBorder="1" applyAlignment="1">
      <alignment horizontal="left" vertical="center" wrapText="1"/>
    </xf>
    <xf numFmtId="49" fontId="15" fillId="54" borderId="28" xfId="0" applyNumberFormat="1" applyFont="1" applyFill="1" applyBorder="1" applyAlignment="1">
      <alignment horizontal="left" vertical="center" wrapText="1"/>
    </xf>
    <xf numFmtId="49" fontId="15" fillId="54" borderId="49" xfId="0" applyNumberFormat="1" applyFont="1" applyFill="1" applyBorder="1" applyAlignment="1">
      <alignment horizontal="left" vertical="center" wrapText="1"/>
    </xf>
    <xf numFmtId="49" fontId="15" fillId="54" borderId="48" xfId="0" applyNumberFormat="1" applyFont="1" applyFill="1" applyBorder="1" applyAlignment="1">
      <alignment horizontal="left" vertical="center" wrapText="1"/>
    </xf>
    <xf numFmtId="0" fontId="15" fillId="54" borderId="28" xfId="0" applyFont="1" applyFill="1" applyBorder="1" applyAlignment="1">
      <alignment horizontal="left" vertical="center" wrapText="1"/>
    </xf>
    <xf numFmtId="0" fontId="15" fillId="54" borderId="49" xfId="0" applyFont="1" applyFill="1" applyBorder="1" applyAlignment="1">
      <alignment horizontal="left" vertical="center" wrapText="1"/>
    </xf>
    <xf numFmtId="0" fontId="15" fillId="54" borderId="48" xfId="0" applyFont="1" applyFill="1" applyBorder="1" applyAlignment="1">
      <alignment horizontal="left" vertical="center" wrapText="1"/>
    </xf>
    <xf numFmtId="0" fontId="21" fillId="54" borderId="28" xfId="0" applyFont="1" applyFill="1" applyBorder="1" applyAlignment="1">
      <alignment horizontal="left" vertical="center" wrapText="1"/>
    </xf>
    <xf numFmtId="0" fontId="21" fillId="54" borderId="49" xfId="0" applyFont="1" applyFill="1" applyBorder="1" applyAlignment="1">
      <alignment horizontal="left" vertical="center" wrapText="1"/>
    </xf>
    <xf numFmtId="0" fontId="11" fillId="54" borderId="6" xfId="0" applyFont="1" applyFill="1" applyBorder="1" applyAlignment="1">
      <alignment horizontal="left" vertical="center" wrapText="1"/>
    </xf>
    <xf numFmtId="0" fontId="11" fillId="54" borderId="28" xfId="0" applyFont="1" applyFill="1" applyBorder="1" applyAlignment="1">
      <alignment horizontal="left" vertical="center"/>
    </xf>
    <xf numFmtId="0" fontId="11" fillId="54" borderId="49" xfId="0" applyFont="1" applyFill="1" applyBorder="1" applyAlignment="1">
      <alignment horizontal="left" vertical="center"/>
    </xf>
    <xf numFmtId="0" fontId="11" fillId="54" borderId="48" xfId="0" applyFont="1" applyFill="1" applyBorder="1" applyAlignment="1">
      <alignment horizontal="left" vertical="center"/>
    </xf>
    <xf numFmtId="0" fontId="32" fillId="54" borderId="28" xfId="0" applyFont="1" applyFill="1" applyBorder="1" applyAlignment="1">
      <alignment horizontal="left" vertical="center" wrapText="1"/>
    </xf>
    <xf numFmtId="0" fontId="32" fillId="54" borderId="49" xfId="0" applyFont="1" applyFill="1" applyBorder="1" applyAlignment="1">
      <alignment horizontal="left" vertical="center" wrapText="1"/>
    </xf>
    <xf numFmtId="0" fontId="32" fillId="54" borderId="48" xfId="0" applyFont="1" applyFill="1" applyBorder="1" applyAlignment="1">
      <alignment horizontal="left" vertical="center" wrapText="1"/>
    </xf>
    <xf numFmtId="0" fontId="15" fillId="54" borderId="28" xfId="0" applyNumberFormat="1" applyFont="1" applyFill="1" applyBorder="1" applyAlignment="1">
      <alignment horizontal="left" vertical="center" wrapText="1"/>
    </xf>
    <xf numFmtId="0" fontId="15" fillId="54" borderId="49" xfId="0" applyNumberFormat="1" applyFont="1" applyFill="1" applyBorder="1" applyAlignment="1">
      <alignment horizontal="left" vertical="center" wrapText="1"/>
    </xf>
    <xf numFmtId="0" fontId="15" fillId="54" borderId="48" xfId="0" applyNumberFormat="1" applyFont="1" applyFill="1" applyBorder="1" applyAlignment="1">
      <alignment horizontal="left" vertical="center" wrapText="1"/>
    </xf>
    <xf numFmtId="0" fontId="12" fillId="54" borderId="28" xfId="0" applyFont="1" applyFill="1" applyBorder="1" applyAlignment="1">
      <alignment horizontal="left" vertical="center"/>
    </xf>
    <xf numFmtId="0" fontId="12" fillId="54" borderId="49" xfId="0" applyFont="1" applyFill="1" applyBorder="1" applyAlignment="1">
      <alignment horizontal="left" vertical="center"/>
    </xf>
    <xf numFmtId="4" fontId="15" fillId="54" borderId="1" xfId="0" applyNumberFormat="1" applyFont="1" applyFill="1" applyBorder="1" applyAlignment="1">
      <alignment horizontal="center" vertical="center"/>
    </xf>
    <xf numFmtId="2" fontId="21" fillId="54" borderId="26" xfId="0" applyNumberFormat="1" applyFont="1" applyFill="1" applyBorder="1" applyAlignment="1">
      <alignment horizontal="center" vertical="center"/>
    </xf>
    <xf numFmtId="2" fontId="21" fillId="54" borderId="1" xfId="0" applyNumberFormat="1" applyFont="1" applyFill="1" applyBorder="1" applyAlignment="1">
      <alignment horizontal="center" vertical="center"/>
    </xf>
    <xf numFmtId="2" fontId="21" fillId="54" borderId="29" xfId="0" applyNumberFormat="1" applyFont="1" applyFill="1" applyBorder="1" applyAlignment="1">
      <alignment horizontal="center" vertical="center"/>
    </xf>
    <xf numFmtId="2" fontId="21" fillId="54" borderId="6" xfId="0" applyNumberFormat="1" applyFont="1" applyFill="1" applyBorder="1" applyAlignment="1">
      <alignment horizontal="center" vertical="center"/>
    </xf>
    <xf numFmtId="0" fontId="15" fillId="54" borderId="28" xfId="0" applyFont="1" applyFill="1" applyBorder="1" applyAlignment="1">
      <alignment horizontal="left" vertical="center"/>
    </xf>
    <xf numFmtId="0" fontId="15" fillId="54" borderId="49" xfId="0" applyFont="1" applyFill="1" applyBorder="1" applyAlignment="1">
      <alignment horizontal="left" vertical="center"/>
    </xf>
    <xf numFmtId="0" fontId="15" fillId="54" borderId="48" xfId="0" applyFont="1" applyFill="1" applyBorder="1" applyAlignment="1">
      <alignment horizontal="left" vertical="center"/>
    </xf>
    <xf numFmtId="0" fontId="32" fillId="54" borderId="28" xfId="0" applyFont="1" applyFill="1" applyBorder="1" applyAlignment="1">
      <alignment horizontal="left" vertical="center"/>
    </xf>
    <xf numFmtId="0" fontId="32" fillId="54" borderId="49" xfId="0" applyFont="1" applyFill="1" applyBorder="1" applyAlignment="1">
      <alignment horizontal="left" vertical="center"/>
    </xf>
    <xf numFmtId="0" fontId="32" fillId="54" borderId="48" xfId="0" applyFont="1" applyFill="1" applyBorder="1" applyAlignment="1">
      <alignment horizontal="left" vertical="center"/>
    </xf>
    <xf numFmtId="2" fontId="15" fillId="54" borderId="6" xfId="0" applyNumberFormat="1" applyFont="1" applyFill="1" applyBorder="1" applyAlignment="1">
      <alignment horizontal="center" vertical="center"/>
    </xf>
    <xf numFmtId="0" fontId="0" fillId="54" borderId="29" xfId="0" applyFill="1" applyBorder="1" applyAlignment="1">
      <alignment vertical="center"/>
    </xf>
    <xf numFmtId="0" fontId="12" fillId="54" borderId="41" xfId="0" applyFont="1" applyFill="1" applyBorder="1" applyAlignment="1">
      <alignment horizontal="left" vertical="center"/>
    </xf>
    <xf numFmtId="0" fontId="12" fillId="54" borderId="16" xfId="0" applyFont="1" applyFill="1" applyBorder="1" applyAlignment="1">
      <alignment horizontal="left" vertical="center"/>
    </xf>
    <xf numFmtId="0" fontId="12" fillId="54" borderId="48" xfId="0" applyFont="1" applyFill="1" applyBorder="1" applyAlignment="1">
      <alignment horizontal="left" vertical="center"/>
    </xf>
    <xf numFmtId="0" fontId="15" fillId="54" borderId="26" xfId="0" applyFont="1" applyFill="1" applyBorder="1" applyAlignment="1">
      <alignment horizontal="left" vertical="center"/>
    </xf>
    <xf numFmtId="49" fontId="15" fillId="54" borderId="26" xfId="0" applyNumberFormat="1" applyFont="1" applyFill="1" applyBorder="1" applyAlignment="1">
      <alignment horizontal="center" vertical="center"/>
    </xf>
    <xf numFmtId="49" fontId="0" fillId="54" borderId="29" xfId="0" applyNumberFormat="1" applyFill="1" applyBorder="1" applyAlignment="1">
      <alignment horizontal="center" vertical="center"/>
    </xf>
    <xf numFmtId="2" fontId="11" fillId="54" borderId="26" xfId="0" applyNumberFormat="1" applyFont="1" applyFill="1" applyBorder="1" applyAlignment="1">
      <alignment horizontal="center" vertical="center" wrapText="1"/>
    </xf>
    <xf numFmtId="2" fontId="11" fillId="54" borderId="29" xfId="0" applyNumberFormat="1" applyFont="1" applyFill="1" applyBorder="1" applyAlignment="1">
      <alignment horizontal="center" vertical="center" wrapText="1"/>
    </xf>
    <xf numFmtId="2" fontId="15" fillId="54" borderId="29" xfId="0" applyNumberFormat="1" applyFont="1" applyFill="1" applyBorder="1" applyAlignment="1">
      <alignment horizontal="center" vertical="center"/>
    </xf>
    <xf numFmtId="49" fontId="11" fillId="54" borderId="26" xfId="0" applyNumberFormat="1" applyFont="1" applyFill="1" applyBorder="1" applyAlignment="1">
      <alignment horizontal="center" vertical="center"/>
    </xf>
    <xf numFmtId="49" fontId="11" fillId="54" borderId="29" xfId="0" applyNumberFormat="1" applyFont="1" applyFill="1" applyBorder="1" applyAlignment="1">
      <alignment horizontal="center" vertical="center"/>
    </xf>
    <xf numFmtId="49" fontId="15" fillId="54" borderId="41" xfId="0" applyNumberFormat="1" applyFont="1" applyFill="1" applyBorder="1" applyAlignment="1">
      <alignment horizontal="left" vertical="center" wrapText="1"/>
    </xf>
    <xf numFmtId="49" fontId="15" fillId="54" borderId="50" xfId="0" applyNumberFormat="1" applyFont="1" applyFill="1" applyBorder="1" applyAlignment="1">
      <alignment horizontal="left" vertical="center" wrapText="1"/>
    </xf>
    <xf numFmtId="0" fontId="0" fillId="54" borderId="79" xfId="0" applyFill="1" applyBorder="1" applyAlignment="1">
      <alignment horizontal="left" vertical="center" wrapText="1"/>
    </xf>
    <xf numFmtId="0" fontId="0" fillId="54" borderId="52" xfId="0" applyFill="1" applyBorder="1" applyAlignment="1">
      <alignment horizontal="left" vertical="center" wrapText="1"/>
    </xf>
    <xf numFmtId="49" fontId="15" fillId="54" borderId="21" xfId="0" applyNumberFormat="1" applyFont="1" applyFill="1" applyBorder="1" applyAlignment="1">
      <alignment horizontal="left" vertical="center" wrapText="1"/>
    </xf>
    <xf numFmtId="0" fontId="0" fillId="54" borderId="0" xfId="0" applyFill="1" applyBorder="1" applyAlignment="1">
      <alignment horizontal="left" vertical="center" wrapText="1"/>
    </xf>
    <xf numFmtId="0" fontId="0" fillId="54" borderId="17" xfId="0" applyFill="1" applyBorder="1" applyAlignment="1">
      <alignment horizontal="left" vertical="center" wrapText="1"/>
    </xf>
    <xf numFmtId="0" fontId="0" fillId="54" borderId="29" xfId="0" applyFill="1" applyBorder="1" applyAlignment="1">
      <alignment horizontal="center" vertical="center" wrapText="1"/>
    </xf>
    <xf numFmtId="49" fontId="15" fillId="54" borderId="50" xfId="0" applyNumberFormat="1" applyFont="1" applyFill="1" applyBorder="1" applyAlignment="1">
      <alignment horizontal="left" vertical="center"/>
    </xf>
    <xf numFmtId="0" fontId="0" fillId="54" borderId="79" xfId="0" applyFill="1" applyBorder="1" applyAlignment="1">
      <alignment horizontal="left" vertical="center"/>
    </xf>
    <xf numFmtId="0" fontId="0" fillId="54" borderId="52" xfId="0" applyFill="1" applyBorder="1" applyAlignment="1">
      <alignment horizontal="left" vertical="center"/>
    </xf>
    <xf numFmtId="2" fontId="11" fillId="54" borderId="1" xfId="0" applyNumberFormat="1" applyFont="1" applyFill="1" applyBorder="1" applyAlignment="1">
      <alignment horizontal="center" vertical="center" wrapText="1"/>
    </xf>
    <xf numFmtId="2" fontId="15" fillId="54" borderId="1" xfId="0" applyNumberFormat="1" applyFont="1" applyFill="1" applyBorder="1" applyAlignment="1">
      <alignment horizontal="center" vertical="center"/>
    </xf>
    <xf numFmtId="49" fontId="15" fillId="54" borderId="41" xfId="0" applyNumberFormat="1" applyFont="1" applyFill="1" applyBorder="1" applyAlignment="1">
      <alignment horizontal="left" vertical="center"/>
    </xf>
    <xf numFmtId="0" fontId="11" fillId="54" borderId="26" xfId="0" applyFont="1" applyFill="1" applyBorder="1" applyAlignment="1">
      <alignment horizontal="left" vertical="center" wrapText="1"/>
    </xf>
    <xf numFmtId="2" fontId="11" fillId="54" borderId="6" xfId="0" applyNumberFormat="1" applyFont="1" applyFill="1" applyBorder="1" applyAlignment="1">
      <alignment horizontal="center" vertical="center" wrapText="1"/>
    </xf>
    <xf numFmtId="49" fontId="15" fillId="54" borderId="79" xfId="0" applyNumberFormat="1" applyFont="1" applyFill="1" applyBorder="1" applyAlignment="1">
      <alignment horizontal="left" vertical="center" wrapText="1"/>
    </xf>
    <xf numFmtId="49" fontId="15" fillId="54" borderId="52" xfId="0" applyNumberFormat="1" applyFont="1" applyFill="1" applyBorder="1" applyAlignment="1">
      <alignment horizontal="left" vertical="center" wrapText="1"/>
    </xf>
    <xf numFmtId="0" fontId="15" fillId="54" borderId="26" xfId="0" applyFont="1" applyFill="1" applyBorder="1" applyAlignment="1">
      <alignment horizontal="left" vertical="center" wrapText="1"/>
    </xf>
    <xf numFmtId="49" fontId="32" fillId="54" borderId="26" xfId="0" applyNumberFormat="1" applyFont="1" applyFill="1" applyBorder="1" applyAlignment="1">
      <alignment horizontal="center" vertical="center" wrapText="1"/>
    </xf>
    <xf numFmtId="49" fontId="32" fillId="54" borderId="29" xfId="0" applyNumberFormat="1" applyFont="1" applyFill="1" applyBorder="1" applyAlignment="1">
      <alignment horizontal="center" vertical="center" wrapText="1"/>
    </xf>
    <xf numFmtId="0" fontId="32" fillId="54" borderId="26" xfId="0" applyFont="1" applyFill="1" applyBorder="1" applyAlignment="1">
      <alignment horizontal="left" vertical="center"/>
    </xf>
    <xf numFmtId="0" fontId="15" fillId="54" borderId="50" xfId="0" applyFont="1" applyFill="1" applyBorder="1" applyAlignment="1">
      <alignment horizontal="left" vertical="center" wrapText="1"/>
    </xf>
    <xf numFmtId="0" fontId="15" fillId="54" borderId="79" xfId="0" applyFont="1" applyFill="1" applyBorder="1" applyAlignment="1">
      <alignment horizontal="left" vertical="center" wrapText="1"/>
    </xf>
    <xf numFmtId="0" fontId="15" fillId="54" borderId="52" xfId="0" applyFont="1" applyFill="1" applyBorder="1" applyAlignment="1">
      <alignment horizontal="left" vertical="center" wrapText="1"/>
    </xf>
    <xf numFmtId="0" fontId="15" fillId="54" borderId="50" xfId="0" applyFont="1" applyFill="1" applyBorder="1" applyAlignment="1">
      <alignment horizontal="left" vertical="center"/>
    </xf>
    <xf numFmtId="0" fontId="15" fillId="54" borderId="79" xfId="0" applyFont="1" applyFill="1" applyBorder="1" applyAlignment="1">
      <alignment horizontal="left" vertical="center"/>
    </xf>
    <xf numFmtId="0" fontId="15" fillId="54" borderId="52" xfId="0" applyFont="1" applyFill="1" applyBorder="1" applyAlignment="1">
      <alignment horizontal="left" vertical="center"/>
    </xf>
    <xf numFmtId="0" fontId="19" fillId="54" borderId="0" xfId="0" applyFont="1" applyFill="1" applyBorder="1" applyAlignment="1">
      <alignment horizontal="left" vertical="center" wrapText="1" indent="5"/>
    </xf>
    <xf numFmtId="0" fontId="0" fillId="0" borderId="0" xfId="0" applyAlignment="1">
      <alignment horizontal="left" indent="5"/>
    </xf>
    <xf numFmtId="0" fontId="22" fillId="54" borderId="0" xfId="0" applyFont="1" applyFill="1" applyBorder="1" applyAlignment="1">
      <alignment horizontal="left" vertical="center" wrapText="1" indent="5"/>
    </xf>
    <xf numFmtId="49" fontId="11" fillId="54" borderId="26" xfId="0" applyNumberFormat="1" applyFont="1" applyFill="1" applyBorder="1" applyAlignment="1">
      <alignment horizontal="center" vertical="center" wrapText="1"/>
    </xf>
    <xf numFmtId="49" fontId="0" fillId="54" borderId="1" xfId="0" applyNumberFormat="1" applyFont="1" applyFill="1" applyBorder="1" applyAlignment="1">
      <alignment horizontal="center" vertical="center"/>
    </xf>
    <xf numFmtId="0" fontId="11" fillId="54" borderId="50" xfId="0" applyFont="1" applyFill="1" applyBorder="1" applyAlignment="1">
      <alignment horizontal="center" vertical="center"/>
    </xf>
    <xf numFmtId="0" fontId="11" fillId="54" borderId="79" xfId="0" applyFont="1" applyFill="1" applyBorder="1" applyAlignment="1">
      <alignment horizontal="center" vertical="center"/>
    </xf>
    <xf numFmtId="0" fontId="11" fillId="54" borderId="52" xfId="0" applyFont="1" applyFill="1" applyBorder="1" applyAlignment="1">
      <alignment horizontal="center" vertical="center"/>
    </xf>
    <xf numFmtId="0" fontId="11" fillId="54" borderId="21" xfId="0" applyFont="1" applyFill="1" applyBorder="1" applyAlignment="1">
      <alignment horizontal="center" vertical="center"/>
    </xf>
    <xf numFmtId="0" fontId="11" fillId="54" borderId="0" xfId="0" applyFont="1" applyFill="1" applyBorder="1" applyAlignment="1">
      <alignment horizontal="center" vertical="center"/>
    </xf>
    <xf numFmtId="0" fontId="11" fillId="54" borderId="17" xfId="0" applyFont="1" applyFill="1" applyBorder="1" applyAlignment="1">
      <alignment horizontal="center" vertical="center"/>
    </xf>
    <xf numFmtId="0" fontId="0" fillId="54" borderId="41" xfId="0" applyFont="1" applyFill="1" applyBorder="1" applyAlignment="1">
      <alignment horizontal="center" vertical="center"/>
    </xf>
    <xf numFmtId="0" fontId="0" fillId="54" borderId="16" xfId="0" applyFont="1" applyFill="1" applyBorder="1" applyAlignment="1">
      <alignment horizontal="center" vertical="center"/>
    </xf>
    <xf numFmtId="0" fontId="0" fillId="54" borderId="51" xfId="0" applyFont="1" applyFill="1" applyBorder="1" applyAlignment="1">
      <alignment horizontal="center" vertical="center"/>
    </xf>
    <xf numFmtId="0" fontId="32" fillId="54" borderId="26" xfId="0" applyFont="1" applyFill="1" applyBorder="1" applyAlignment="1">
      <alignment horizontal="center" vertical="center" wrapText="1"/>
    </xf>
    <xf numFmtId="0" fontId="32" fillId="54" borderId="29" xfId="0" applyFont="1" applyFill="1" applyBorder="1" applyAlignment="1">
      <alignment horizontal="center" vertical="center" wrapText="1"/>
    </xf>
    <xf numFmtId="0" fontId="32" fillId="54" borderId="50" xfId="0" applyFont="1" applyFill="1" applyBorder="1" applyAlignment="1">
      <alignment horizontal="center" vertical="center" wrapText="1"/>
    </xf>
    <xf numFmtId="0" fontId="0" fillId="54" borderId="52" xfId="0" applyFont="1" applyFill="1" applyBorder="1" applyAlignment="1">
      <alignment horizontal="center" vertical="center" wrapText="1"/>
    </xf>
    <xf numFmtId="0" fontId="32" fillId="54" borderId="41" xfId="0" applyFont="1" applyFill="1" applyBorder="1" applyAlignment="1">
      <alignment horizontal="center" vertical="center" wrapText="1"/>
    </xf>
    <xf numFmtId="0" fontId="0" fillId="54" borderId="51" xfId="0" applyFont="1" applyFill="1" applyBorder="1" applyAlignment="1">
      <alignment horizontal="center" vertical="center" wrapText="1"/>
    </xf>
    <xf numFmtId="0" fontId="15" fillId="54" borderId="6" xfId="0" applyFont="1" applyFill="1" applyBorder="1" applyAlignment="1">
      <alignment horizontal="center" vertical="center" wrapText="1"/>
    </xf>
    <xf numFmtId="216" fontId="15" fillId="54" borderId="6" xfId="0" applyNumberFormat="1" applyFont="1" applyFill="1" applyBorder="1" applyAlignment="1">
      <alignment horizontal="center" vertical="center" wrapText="1"/>
    </xf>
    <xf numFmtId="0" fontId="32" fillId="54" borderId="6" xfId="0" applyFont="1" applyFill="1" applyBorder="1" applyAlignment="1">
      <alignment horizontal="center" vertical="center" wrapText="1"/>
    </xf>
    <xf numFmtId="49" fontId="32" fillId="54" borderId="50" xfId="0" applyNumberFormat="1" applyFont="1" applyFill="1" applyBorder="1" applyAlignment="1">
      <alignment horizontal="center" vertical="center" wrapText="1"/>
    </xf>
    <xf numFmtId="49" fontId="0" fillId="54" borderId="52" xfId="0" applyNumberFormat="1" applyFont="1" applyFill="1" applyBorder="1" applyAlignment="1">
      <alignment horizontal="center" vertical="center" wrapText="1"/>
    </xf>
    <xf numFmtId="49" fontId="0" fillId="54" borderId="41" xfId="0" applyNumberFormat="1" applyFont="1" applyFill="1" applyBorder="1" applyAlignment="1">
      <alignment horizontal="center" vertical="center" wrapText="1"/>
    </xf>
    <xf numFmtId="49" fontId="0" fillId="54" borderId="51" xfId="0" applyNumberFormat="1" applyFont="1" applyFill="1" applyBorder="1" applyAlignment="1">
      <alignment horizontal="center" vertical="center" wrapText="1"/>
    </xf>
    <xf numFmtId="0" fontId="32" fillId="54" borderId="28" xfId="0" applyNumberFormat="1" applyFont="1" applyFill="1" applyBorder="1" applyAlignment="1">
      <alignment horizontal="left" vertical="center" wrapText="1"/>
    </xf>
    <xf numFmtId="0" fontId="32" fillId="54" borderId="49" xfId="0" applyNumberFormat="1" applyFont="1" applyFill="1" applyBorder="1" applyAlignment="1">
      <alignment horizontal="left" vertical="center" wrapText="1"/>
    </xf>
    <xf numFmtId="0" fontId="32" fillId="54" borderId="48" xfId="0" applyNumberFormat="1" applyFont="1" applyFill="1" applyBorder="1" applyAlignment="1">
      <alignment horizontal="left" vertical="center" wrapText="1"/>
    </xf>
    <xf numFmtId="49" fontId="15" fillId="54" borderId="21" xfId="0" applyNumberFormat="1" applyFont="1" applyFill="1" applyBorder="1" applyAlignment="1">
      <alignment horizontal="left" vertical="center"/>
    </xf>
    <xf numFmtId="0" fontId="0" fillId="54" borderId="0" xfId="0" applyFill="1" applyAlignment="1">
      <alignment horizontal="left" vertical="center"/>
    </xf>
    <xf numFmtId="0" fontId="0" fillId="54" borderId="17" xfId="0" applyFill="1" applyBorder="1" applyAlignment="1">
      <alignment horizontal="left" vertical="center"/>
    </xf>
    <xf numFmtId="49" fontId="15" fillId="54" borderId="1" xfId="0" applyNumberFormat="1" applyFont="1" applyFill="1" applyBorder="1" applyAlignment="1">
      <alignment horizontal="center" vertical="center" wrapText="1"/>
    </xf>
    <xf numFmtId="49" fontId="11" fillId="54" borderId="6" xfId="0" applyNumberFormat="1" applyFont="1" applyFill="1" applyBorder="1" applyAlignment="1">
      <alignment horizontal="center" vertical="center"/>
    </xf>
    <xf numFmtId="49" fontId="15" fillId="54" borderId="16" xfId="0" applyNumberFormat="1" applyFont="1" applyFill="1" applyBorder="1" applyAlignment="1">
      <alignment horizontal="left" vertical="center" wrapText="1"/>
    </xf>
    <xf numFmtId="49" fontId="15" fillId="54" borderId="51" xfId="0" applyNumberFormat="1" applyFont="1" applyFill="1" applyBorder="1" applyAlignment="1">
      <alignment horizontal="left" vertical="center" wrapText="1"/>
    </xf>
    <xf numFmtId="49" fontId="15" fillId="54" borderId="6" xfId="0" applyNumberFormat="1" applyFont="1" applyFill="1" applyBorder="1" applyAlignment="1">
      <alignment horizontal="center" vertical="center" wrapText="1"/>
    </xf>
    <xf numFmtId="0" fontId="11" fillId="54" borderId="28" xfId="0" applyFont="1" applyFill="1" applyBorder="1" applyAlignment="1">
      <alignment horizontal="center" vertical="center"/>
    </xf>
    <xf numFmtId="0" fontId="11" fillId="54" borderId="49" xfId="0" applyFont="1" applyFill="1" applyBorder="1" applyAlignment="1">
      <alignment horizontal="center" vertical="center"/>
    </xf>
    <xf numFmtId="0" fontId="11" fillId="54" borderId="48" xfId="0" applyFont="1" applyFill="1" applyBorder="1" applyAlignment="1">
      <alignment horizontal="center" vertical="center"/>
    </xf>
    <xf numFmtId="0" fontId="183" fillId="54" borderId="28" xfId="0" applyFont="1" applyFill="1" applyBorder="1" applyAlignment="1">
      <alignment horizontal="left" vertical="center" wrapText="1"/>
    </xf>
    <xf numFmtId="0" fontId="183" fillId="54" borderId="49" xfId="0" applyFont="1" applyFill="1" applyBorder="1" applyAlignment="1">
      <alignment horizontal="left" vertical="center" wrapText="1"/>
    </xf>
    <xf numFmtId="0" fontId="28" fillId="0" borderId="12" xfId="0" applyFont="1" applyFill="1" applyBorder="1" applyAlignment="1">
      <alignment wrapText="1"/>
    </xf>
    <xf numFmtId="0" fontId="42" fillId="54" borderId="6" xfId="929" applyFont="1" applyFill="1" applyBorder="1" applyAlignment="1">
      <alignment horizontal="left" vertical="center" wrapText="1"/>
    </xf>
    <xf numFmtId="0" fontId="26" fillId="0" borderId="6" xfId="0" applyFont="1" applyBorder="1" applyAlignment="1">
      <alignment horizontal="left" vertical="center" wrapText="1"/>
    </xf>
    <xf numFmtId="0" fontId="30" fillId="54" borderId="6" xfId="929" applyFont="1" applyFill="1" applyBorder="1" applyAlignment="1">
      <alignment horizontal="left" vertical="center" wrapText="1"/>
    </xf>
    <xf numFmtId="0" fontId="28" fillId="54" borderId="28" xfId="929" applyFont="1" applyFill="1" applyBorder="1" applyAlignment="1">
      <alignment horizontal="left" vertical="center" wrapText="1"/>
    </xf>
    <xf numFmtId="0" fontId="28" fillId="54" borderId="49" xfId="929" applyFont="1" applyFill="1" applyBorder="1" applyAlignment="1">
      <alignment horizontal="left" vertical="center" wrapText="1"/>
    </xf>
    <xf numFmtId="0" fontId="28" fillId="54" borderId="48" xfId="929" applyFont="1" applyFill="1" applyBorder="1" applyAlignment="1">
      <alignment horizontal="left" vertical="center" wrapText="1"/>
    </xf>
    <xf numFmtId="49" fontId="28" fillId="57" borderId="0" xfId="928" applyNumberFormat="1" applyFont="1" applyFill="1" applyBorder="1" applyAlignment="1">
      <alignment horizontal="left" vertical="center" wrapText="1"/>
    </xf>
    <xf numFmtId="0" fontId="42" fillId="54" borderId="28" xfId="929" applyFont="1" applyFill="1" applyBorder="1" applyAlignment="1">
      <alignment horizontal="center" vertical="center" wrapText="1"/>
    </xf>
    <xf numFmtId="0" fontId="42" fillId="54" borderId="49" xfId="929" applyFont="1" applyFill="1" applyBorder="1" applyAlignment="1">
      <alignment horizontal="center" vertical="center" wrapText="1"/>
    </xf>
    <xf numFmtId="0" fontId="42" fillId="54" borderId="48" xfId="929" applyFont="1" applyFill="1" applyBorder="1" applyAlignment="1">
      <alignment horizontal="center" vertical="center" wrapText="1"/>
    </xf>
    <xf numFmtId="0" fontId="30" fillId="54" borderId="29" xfId="929" applyFont="1" applyFill="1" applyBorder="1" applyAlignment="1">
      <alignment horizontal="left" vertical="center" wrapText="1"/>
    </xf>
    <xf numFmtId="0" fontId="28" fillId="57" borderId="0" xfId="928" applyFont="1" applyFill="1" applyBorder="1" applyAlignment="1">
      <alignment horizontal="left" vertical="center"/>
    </xf>
    <xf numFmtId="0" fontId="0" fillId="0" borderId="0" xfId="0" applyBorder="1"/>
    <xf numFmtId="0" fontId="50" fillId="54" borderId="0" xfId="929" applyFont="1" applyFill="1" applyBorder="1" applyAlignment="1">
      <alignment horizontal="left" vertical="center" wrapText="1"/>
    </xf>
    <xf numFmtId="0" fontId="42" fillId="54" borderId="0" xfId="928" applyFont="1" applyFill="1" applyBorder="1" applyAlignment="1">
      <alignment horizontal="left" vertical="center" wrapText="1"/>
    </xf>
    <xf numFmtId="2" fontId="28" fillId="57" borderId="0" xfId="928" applyNumberFormat="1" applyFont="1" applyFill="1" applyBorder="1" applyAlignment="1">
      <alignment horizontal="left" vertical="center" wrapText="1"/>
    </xf>
    <xf numFmtId="0" fontId="28" fillId="54" borderId="0" xfId="929" applyFont="1" applyFill="1" applyBorder="1" applyAlignment="1">
      <alignment wrapText="1"/>
    </xf>
    <xf numFmtId="0" fontId="30" fillId="54" borderId="28" xfId="929" applyFont="1" applyFill="1" applyBorder="1" applyAlignment="1">
      <alignment horizontal="left" vertical="center" wrapText="1"/>
    </xf>
    <xf numFmtId="0" fontId="30" fillId="54" borderId="49" xfId="929" applyFont="1" applyFill="1" applyBorder="1" applyAlignment="1">
      <alignment horizontal="left" vertical="center" wrapText="1"/>
    </xf>
    <xf numFmtId="0" fontId="30" fillId="54" borderId="76" xfId="929" applyFont="1" applyFill="1" applyBorder="1" applyAlignment="1">
      <alignment horizontal="left" vertical="center" wrapText="1"/>
    </xf>
    <xf numFmtId="0" fontId="28" fillId="54" borderId="76" xfId="929" applyFont="1" applyFill="1" applyBorder="1" applyAlignment="1">
      <alignment horizontal="left" vertical="center" wrapText="1"/>
    </xf>
    <xf numFmtId="0" fontId="28" fillId="54" borderId="50" xfId="929" applyFont="1" applyFill="1" applyBorder="1" applyAlignment="1">
      <alignment horizontal="left" vertical="center" wrapText="1"/>
    </xf>
    <xf numFmtId="0" fontId="28" fillId="54" borderId="79" xfId="929" applyFont="1" applyFill="1" applyBorder="1" applyAlignment="1">
      <alignment horizontal="left" vertical="center" wrapText="1"/>
    </xf>
    <xf numFmtId="0" fontId="28" fillId="54" borderId="80" xfId="929" applyFont="1" applyFill="1" applyBorder="1" applyAlignment="1">
      <alignment horizontal="left" vertical="center" wrapText="1"/>
    </xf>
    <xf numFmtId="0" fontId="26" fillId="0" borderId="6" xfId="0" applyFont="1" applyBorder="1"/>
    <xf numFmtId="0" fontId="28" fillId="54" borderId="6" xfId="929" applyFont="1" applyFill="1" applyBorder="1" applyAlignment="1">
      <alignment horizontal="left" vertical="center" wrapText="1"/>
    </xf>
    <xf numFmtId="0" fontId="30" fillId="54" borderId="41" xfId="929" applyFont="1" applyFill="1" applyBorder="1" applyAlignment="1">
      <alignment horizontal="left" vertical="center" wrapText="1"/>
    </xf>
    <xf numFmtId="0" fontId="30" fillId="54" borderId="16" xfId="929" applyFont="1" applyFill="1" applyBorder="1" applyAlignment="1">
      <alignment horizontal="left" vertical="center" wrapText="1"/>
    </xf>
    <xf numFmtId="0" fontId="30" fillId="54" borderId="88" xfId="929" applyFont="1" applyFill="1" applyBorder="1" applyAlignment="1">
      <alignment horizontal="left" vertical="center" wrapText="1"/>
    </xf>
    <xf numFmtId="0" fontId="49" fillId="0" borderId="0" xfId="0" applyFont="1" applyAlignment="1">
      <alignment horizontal="left" wrapText="1" indent="3"/>
    </xf>
    <xf numFmtId="1" fontId="35" fillId="54" borderId="0" xfId="0" applyNumberFormat="1" applyFont="1" applyFill="1" applyBorder="1" applyAlignment="1">
      <alignment horizontal="left" vertical="center" wrapText="1"/>
    </xf>
    <xf numFmtId="0" fontId="28" fillId="0" borderId="0" xfId="0" applyFont="1" applyAlignment="1">
      <alignment wrapText="1"/>
    </xf>
    <xf numFmtId="0" fontId="30" fillId="54" borderId="42" xfId="0" applyFont="1" applyFill="1" applyBorder="1" applyAlignment="1">
      <alignment horizontal="center" vertical="center" wrapText="1"/>
    </xf>
    <xf numFmtId="0" fontId="30" fillId="54" borderId="42" xfId="0" applyFont="1" applyFill="1" applyBorder="1" applyAlignment="1">
      <alignment horizontal="center" vertical="center"/>
    </xf>
    <xf numFmtId="0" fontId="10" fillId="0" borderId="42" xfId="0" applyFont="1" applyBorder="1"/>
    <xf numFmtId="4" fontId="30" fillId="0" borderId="42" xfId="0" applyNumberFormat="1" applyFont="1" applyBorder="1" applyAlignment="1">
      <alignment horizontal="center" vertical="center" wrapText="1"/>
    </xf>
    <xf numFmtId="0" fontId="29" fillId="54" borderId="21" xfId="0" applyFont="1" applyFill="1" applyBorder="1" applyAlignment="1">
      <alignment horizontal="center" vertical="center"/>
    </xf>
    <xf numFmtId="0" fontId="0" fillId="0" borderId="0" xfId="0" applyFont="1" applyBorder="1"/>
    <xf numFmtId="0" fontId="0" fillId="0" borderId="17" xfId="0" applyFont="1" applyBorder="1"/>
    <xf numFmtId="0" fontId="29" fillId="54" borderId="6" xfId="929" applyFont="1" applyFill="1" applyBorder="1" applyAlignment="1">
      <alignment horizontal="left" vertical="center" wrapText="1"/>
    </xf>
    <xf numFmtId="0" fontId="41" fillId="54" borderId="28" xfId="929" applyFont="1" applyFill="1" applyBorder="1" applyAlignment="1">
      <alignment horizontal="left" vertical="center" wrapText="1"/>
    </xf>
    <xf numFmtId="0" fontId="41" fillId="54" borderId="49" xfId="929" applyFont="1" applyFill="1" applyBorder="1" applyAlignment="1">
      <alignment horizontal="left" vertical="center" wrapText="1"/>
    </xf>
    <xf numFmtId="0" fontId="41" fillId="54" borderId="48" xfId="929" applyFont="1" applyFill="1" applyBorder="1" applyAlignment="1">
      <alignment horizontal="left" vertical="center" wrapText="1"/>
    </xf>
    <xf numFmtId="0" fontId="10" fillId="0" borderId="6" xfId="0" applyFont="1" applyBorder="1" applyAlignment="1">
      <alignment horizontal="left" vertical="center" wrapText="1"/>
    </xf>
    <xf numFmtId="0" fontId="42" fillId="54" borderId="28" xfId="929" applyFont="1" applyFill="1" applyBorder="1" applyAlignment="1">
      <alignment horizontal="center" vertical="top" wrapText="1"/>
    </xf>
    <xf numFmtId="0" fontId="42" fillId="54" borderId="49" xfId="929" applyFont="1" applyFill="1" applyBorder="1" applyAlignment="1">
      <alignment horizontal="center" vertical="top" wrapText="1"/>
    </xf>
    <xf numFmtId="0" fontId="42" fillId="54" borderId="48" xfId="929" applyFont="1" applyFill="1" applyBorder="1" applyAlignment="1">
      <alignment horizontal="center" vertical="top" wrapText="1"/>
    </xf>
    <xf numFmtId="0" fontId="29" fillId="54" borderId="29" xfId="929" applyFont="1" applyFill="1" applyBorder="1" applyAlignment="1">
      <alignment horizontal="left" vertical="center" wrapText="1"/>
    </xf>
    <xf numFmtId="0" fontId="29" fillId="54" borderId="28" xfId="929" applyFont="1" applyFill="1" applyBorder="1" applyAlignment="1">
      <alignment horizontal="left" vertical="center" wrapText="1"/>
    </xf>
    <xf numFmtId="0" fontId="29" fillId="54" borderId="49" xfId="929" applyFont="1" applyFill="1" applyBorder="1" applyAlignment="1">
      <alignment horizontal="left" vertical="center" wrapText="1"/>
    </xf>
    <xf numFmtId="0" fontId="29" fillId="54" borderId="48" xfId="929" applyFont="1" applyFill="1" applyBorder="1" applyAlignment="1">
      <alignment horizontal="left" vertical="center" wrapText="1"/>
    </xf>
    <xf numFmtId="0" fontId="182" fillId="54" borderId="28" xfId="929" applyFont="1" applyFill="1" applyBorder="1" applyAlignment="1">
      <alignment horizontal="left" vertical="center" wrapText="1"/>
    </xf>
    <xf numFmtId="0" fontId="182" fillId="54" borderId="49" xfId="929" applyFont="1" applyFill="1" applyBorder="1" applyAlignment="1">
      <alignment horizontal="left" vertical="center" wrapText="1"/>
    </xf>
    <xf numFmtId="0" fontId="182" fillId="54" borderId="48" xfId="929" applyFont="1" applyFill="1" applyBorder="1" applyAlignment="1">
      <alignment horizontal="left" vertical="center" wrapText="1"/>
    </xf>
    <xf numFmtId="0" fontId="10" fillId="54" borderId="6" xfId="0" applyFont="1" applyFill="1" applyBorder="1" applyAlignment="1">
      <alignment horizontal="left" vertical="center" wrapText="1"/>
    </xf>
    <xf numFmtId="0" fontId="7" fillId="54" borderId="6" xfId="0" applyFont="1" applyFill="1" applyBorder="1" applyAlignment="1">
      <alignment horizontal="left" vertical="center" wrapText="1"/>
    </xf>
    <xf numFmtId="0" fontId="0" fillId="0" borderId="49" xfId="0" applyBorder="1" applyAlignment="1">
      <alignment vertical="center" wrapText="1"/>
    </xf>
    <xf numFmtId="0" fontId="0" fillId="0" borderId="48" xfId="0" applyBorder="1" applyAlignment="1">
      <alignment vertical="center" wrapText="1"/>
    </xf>
    <xf numFmtId="169" fontId="29" fillId="55" borderId="35" xfId="929" applyNumberFormat="1" applyFont="1" applyFill="1" applyBorder="1" applyAlignment="1">
      <alignment horizontal="left" vertical="center" wrapText="1"/>
    </xf>
    <xf numFmtId="169" fontId="29" fillId="55" borderId="40" xfId="929" applyNumberFormat="1" applyFont="1" applyFill="1" applyBorder="1" applyAlignment="1">
      <alignment horizontal="left" vertical="center" wrapText="1"/>
    </xf>
    <xf numFmtId="169" fontId="29" fillId="55" borderId="100" xfId="929" applyNumberFormat="1" applyFont="1" applyFill="1" applyBorder="1" applyAlignment="1">
      <alignment horizontal="left" vertical="center" wrapText="1"/>
    </xf>
    <xf numFmtId="0" fontId="29" fillId="54" borderId="32" xfId="927" applyFont="1" applyFill="1" applyBorder="1" applyAlignment="1">
      <alignment horizontal="left" vertical="center" wrapText="1"/>
    </xf>
    <xf numFmtId="0" fontId="0" fillId="54" borderId="31" xfId="0" applyFill="1" applyBorder="1"/>
    <xf numFmtId="0" fontId="0" fillId="54" borderId="44" xfId="0" applyFill="1" applyBorder="1"/>
    <xf numFmtId="0" fontId="29" fillId="54" borderId="31" xfId="927" applyFont="1" applyFill="1" applyBorder="1" applyAlignment="1">
      <alignment horizontal="left" vertical="center" wrapText="1"/>
    </xf>
    <xf numFmtId="0" fontId="29" fillId="54" borderId="44" xfId="927" applyFont="1" applyFill="1" applyBorder="1" applyAlignment="1">
      <alignment horizontal="left" vertical="center" wrapText="1"/>
    </xf>
    <xf numFmtId="49" fontId="29" fillId="54" borderId="101" xfId="929" applyNumberFormat="1" applyFont="1" applyFill="1" applyBorder="1" applyAlignment="1">
      <alignment horizontal="center" vertical="center" wrapText="1"/>
    </xf>
    <xf numFmtId="0" fontId="0" fillId="0" borderId="102" xfId="0" applyBorder="1"/>
    <xf numFmtId="0" fontId="29" fillId="54" borderId="47" xfId="0" applyFont="1" applyFill="1" applyBorder="1" applyAlignment="1">
      <alignment horizontal="left" vertical="top" wrapText="1"/>
    </xf>
    <xf numFmtId="0" fontId="29" fillId="54" borderId="0" xfId="0" applyFont="1" applyFill="1" applyBorder="1" applyAlignment="1">
      <alignment horizontal="left" vertical="top" wrapText="1"/>
    </xf>
    <xf numFmtId="0" fontId="29" fillId="54" borderId="17" xfId="0" applyFont="1" applyFill="1" applyBorder="1" applyAlignment="1">
      <alignment horizontal="left" vertical="top" wrapText="1"/>
    </xf>
    <xf numFmtId="4" fontId="29" fillId="0" borderId="26" xfId="0" applyNumberFormat="1" applyFont="1" applyFill="1" applyBorder="1" applyAlignment="1">
      <alignment horizontal="center"/>
    </xf>
    <xf numFmtId="0" fontId="0" fillId="0" borderId="29" xfId="0" applyFill="1" applyBorder="1"/>
    <xf numFmtId="14" fontId="29" fillId="54" borderId="26" xfId="0" applyNumberFormat="1" applyFont="1" applyFill="1" applyBorder="1" applyAlignment="1">
      <alignment horizontal="center" vertical="center"/>
    </xf>
    <xf numFmtId="14" fontId="29" fillId="54" borderId="29" xfId="0" applyNumberFormat="1" applyFont="1" applyFill="1" applyBorder="1" applyAlignment="1">
      <alignment horizontal="center" vertical="center"/>
    </xf>
    <xf numFmtId="14" fontId="2" fillId="54" borderId="26" xfId="0" applyNumberFormat="1" applyFont="1" applyFill="1" applyBorder="1" applyAlignment="1">
      <alignment horizontal="center" vertical="center"/>
    </xf>
    <xf numFmtId="14" fontId="2" fillId="54" borderId="29" xfId="0" applyNumberFormat="1" applyFont="1" applyFill="1" applyBorder="1" applyAlignment="1">
      <alignment horizontal="center" vertical="center"/>
    </xf>
    <xf numFmtId="49" fontId="29" fillId="54" borderId="102" xfId="929" applyNumberFormat="1" applyFont="1" applyFill="1" applyBorder="1" applyAlignment="1">
      <alignment horizontal="center" vertical="center" wrapText="1"/>
    </xf>
    <xf numFmtId="0" fontId="29" fillId="54" borderId="35" xfId="0" applyFont="1" applyFill="1" applyBorder="1" applyAlignment="1">
      <alignment horizontal="left" vertical="top" wrapText="1"/>
    </xf>
    <xf numFmtId="0" fontId="29" fillId="54" borderId="40" xfId="0" applyFont="1" applyFill="1" applyBorder="1" applyAlignment="1">
      <alignment horizontal="left" vertical="top" wrapText="1"/>
    </xf>
    <xf numFmtId="0" fontId="29" fillId="54" borderId="100" xfId="0" applyFont="1" applyFill="1" applyBorder="1" applyAlignment="1">
      <alignment horizontal="left" vertical="top" wrapText="1"/>
    </xf>
    <xf numFmtId="4" fontId="29" fillId="0" borderId="52" xfId="0" applyNumberFormat="1" applyFont="1" applyFill="1" applyBorder="1" applyAlignment="1">
      <alignment horizontal="center"/>
    </xf>
    <xf numFmtId="0" fontId="0" fillId="0" borderId="51" xfId="0" applyFill="1" applyBorder="1" applyAlignment="1">
      <alignment horizontal="center"/>
    </xf>
    <xf numFmtId="0" fontId="0" fillId="54" borderId="0" xfId="0" applyFill="1" applyBorder="1"/>
    <xf numFmtId="0" fontId="0" fillId="54" borderId="17" xfId="0" applyFill="1" applyBorder="1"/>
    <xf numFmtId="49" fontId="29" fillId="54" borderId="50" xfId="929" applyNumberFormat="1" applyFont="1" applyFill="1" applyBorder="1" applyAlignment="1">
      <alignment horizontal="center" vertical="center" wrapText="1"/>
    </xf>
    <xf numFmtId="49" fontId="29" fillId="54" borderId="21" xfId="929" applyNumberFormat="1" applyFont="1" applyFill="1" applyBorder="1" applyAlignment="1">
      <alignment horizontal="center" vertical="center" wrapText="1"/>
    </xf>
    <xf numFmtId="49" fontId="29" fillId="54" borderId="41" xfId="929" applyNumberFormat="1" applyFont="1" applyFill="1" applyBorder="1" applyAlignment="1">
      <alignment horizontal="center" vertical="center" wrapText="1"/>
    </xf>
    <xf numFmtId="0" fontId="29" fillId="54" borderId="50" xfId="0" applyFont="1" applyFill="1" applyBorder="1" applyAlignment="1">
      <alignment horizontal="left" vertical="top" wrapText="1"/>
    </xf>
    <xf numFmtId="0" fontId="0" fillId="54" borderId="79" xfId="0" applyFill="1" applyBorder="1"/>
    <xf numFmtId="0" fontId="0" fillId="54" borderId="52" xfId="0" applyFill="1" applyBorder="1"/>
    <xf numFmtId="4" fontId="29" fillId="0" borderId="17" xfId="0" applyNumberFormat="1" applyFont="1" applyFill="1" applyBorder="1" applyAlignment="1">
      <alignment horizontal="center"/>
    </xf>
    <xf numFmtId="14" fontId="29" fillId="54" borderId="1" xfId="0" applyNumberFormat="1" applyFont="1" applyFill="1" applyBorder="1" applyAlignment="1">
      <alignment horizontal="center" vertical="center"/>
    </xf>
    <xf numFmtId="14" fontId="2" fillId="54" borderId="1" xfId="0" applyNumberFormat="1" applyFont="1" applyFill="1" applyBorder="1" applyAlignment="1">
      <alignment horizontal="center" vertical="center"/>
    </xf>
    <xf numFmtId="0" fontId="0" fillId="54" borderId="40" xfId="0" applyFill="1" applyBorder="1"/>
    <xf numFmtId="0" fontId="0" fillId="54" borderId="77" xfId="0" applyFill="1" applyBorder="1"/>
    <xf numFmtId="0" fontId="0" fillId="0" borderId="79" xfId="0" applyBorder="1"/>
    <xf numFmtId="0" fontId="0" fillId="0" borderId="52" xfId="0" applyBorder="1"/>
    <xf numFmtId="0" fontId="0" fillId="0" borderId="51" xfId="0" applyFont="1" applyFill="1" applyBorder="1" applyAlignment="1">
      <alignment horizontal="center"/>
    </xf>
    <xf numFmtId="0" fontId="41" fillId="54" borderId="6" xfId="929" applyFont="1" applyFill="1" applyBorder="1" applyAlignment="1">
      <alignment horizontal="left" vertical="center" wrapText="1"/>
    </xf>
    <xf numFmtId="3" fontId="29" fillId="54" borderId="28" xfId="1680" applyNumberFormat="1" applyFont="1" applyFill="1" applyBorder="1" applyAlignment="1" applyProtection="1">
      <alignment horizontal="left" vertical="top" wrapText="1"/>
    </xf>
    <xf numFmtId="0" fontId="2" fillId="54" borderId="49" xfId="0" applyFont="1" applyFill="1" applyBorder="1"/>
    <xf numFmtId="0" fontId="2" fillId="54" borderId="48" xfId="0" applyFont="1" applyFill="1" applyBorder="1"/>
    <xf numFmtId="3" fontId="29" fillId="54" borderId="81" xfId="1680" applyNumberFormat="1" applyFont="1" applyFill="1" applyBorder="1" applyAlignment="1" applyProtection="1">
      <alignment horizontal="left" vertical="top" wrapText="1"/>
    </xf>
    <xf numFmtId="0" fontId="2" fillId="54" borderId="82" xfId="0" applyFont="1" applyFill="1" applyBorder="1"/>
    <xf numFmtId="0" fontId="2" fillId="54" borderId="83" xfId="0" applyFont="1" applyFill="1" applyBorder="1"/>
    <xf numFmtId="0" fontId="10" fillId="54" borderId="6" xfId="0" applyFont="1" applyFill="1" applyBorder="1"/>
    <xf numFmtId="0" fontId="42" fillId="62" borderId="28" xfId="929" applyFont="1" applyFill="1" applyBorder="1" applyAlignment="1">
      <alignment horizontal="center" vertical="center" wrapText="1"/>
    </xf>
    <xf numFmtId="0" fontId="42" fillId="62" borderId="49" xfId="929" applyFont="1" applyFill="1" applyBorder="1" applyAlignment="1">
      <alignment horizontal="center" vertical="center" wrapText="1"/>
    </xf>
    <xf numFmtId="0" fontId="42" fillId="62" borderId="48" xfId="929" applyFont="1" applyFill="1" applyBorder="1" applyAlignment="1">
      <alignment horizontal="center" vertical="center" wrapText="1"/>
    </xf>
    <xf numFmtId="0" fontId="45" fillId="54" borderId="32" xfId="928" applyFont="1" applyFill="1" applyBorder="1" applyAlignment="1">
      <alignment horizontal="left" vertical="center" wrapText="1"/>
    </xf>
    <xf numFmtId="169" fontId="29" fillId="55" borderId="32" xfId="929" applyNumberFormat="1" applyFont="1" applyFill="1" applyBorder="1" applyAlignment="1">
      <alignment horizontal="left" vertical="center" wrapText="1"/>
    </xf>
    <xf numFmtId="0" fontId="0" fillId="54" borderId="31" xfId="0" applyFill="1" applyBorder="1" applyAlignment="1">
      <alignment vertical="center"/>
    </xf>
    <xf numFmtId="0" fontId="0" fillId="54" borderId="44" xfId="0" applyFill="1" applyBorder="1" applyAlignment="1">
      <alignment vertical="center"/>
    </xf>
    <xf numFmtId="0" fontId="28" fillId="57" borderId="32" xfId="928" applyFont="1" applyFill="1" applyBorder="1" applyAlignment="1">
      <alignment horizontal="left" vertical="center" wrapText="1"/>
    </xf>
    <xf numFmtId="0" fontId="10" fillId="54" borderId="31" xfId="0" applyFont="1" applyFill="1" applyBorder="1"/>
    <xf numFmtId="0" fontId="10" fillId="54" borderId="44" xfId="0" applyFont="1" applyFill="1" applyBorder="1"/>
    <xf numFmtId="2" fontId="28" fillId="57" borderId="32" xfId="928" applyNumberFormat="1" applyFont="1" applyFill="1" applyBorder="1" applyAlignment="1">
      <alignment horizontal="left" vertical="center" wrapText="1"/>
    </xf>
    <xf numFmtId="2" fontId="29" fillId="54" borderId="32" xfId="928" applyNumberFormat="1" applyFont="1" applyFill="1" applyBorder="1" applyAlignment="1">
      <alignment horizontal="left" vertical="center" wrapText="1"/>
    </xf>
    <xf numFmtId="0" fontId="45" fillId="54" borderId="32" xfId="927" applyFont="1" applyFill="1" applyBorder="1" applyAlignment="1">
      <alignment horizontal="left" vertical="center" wrapText="1"/>
    </xf>
    <xf numFmtId="0" fontId="3" fillId="55" borderId="32" xfId="0" applyFont="1" applyFill="1" applyBorder="1" applyAlignment="1">
      <alignment horizontal="left" vertical="center" wrapText="1"/>
    </xf>
    <xf numFmtId="49" fontId="28" fillId="57" borderId="32" xfId="928" applyNumberFormat="1" applyFont="1" applyFill="1" applyBorder="1" applyAlignment="1">
      <alignment horizontal="left" vertical="center" wrapText="1"/>
    </xf>
    <xf numFmtId="0" fontId="28" fillId="57" borderId="32" xfId="928" applyFont="1" applyFill="1" applyBorder="1" applyAlignment="1">
      <alignment horizontal="left" vertical="center"/>
    </xf>
    <xf numFmtId="49" fontId="29" fillId="54" borderId="46" xfId="929" applyNumberFormat="1" applyFont="1" applyFill="1" applyBorder="1" applyAlignment="1">
      <alignment horizontal="center" vertical="center" wrapText="1"/>
    </xf>
    <xf numFmtId="0" fontId="0" fillId="54" borderId="95" xfId="0" applyFill="1" applyBorder="1"/>
    <xf numFmtId="0" fontId="29" fillId="55" borderId="35" xfId="0" applyFont="1" applyFill="1" applyBorder="1" applyAlignment="1">
      <alignment horizontal="left" vertical="top" wrapText="1"/>
    </xf>
    <xf numFmtId="0" fontId="0" fillId="54" borderId="100" xfId="0" applyFill="1" applyBorder="1"/>
    <xf numFmtId="4" fontId="45" fillId="54" borderId="46" xfId="928" applyNumberFormat="1" applyFont="1" applyFill="1" applyBorder="1" applyAlignment="1">
      <alignment horizontal="center" vertical="center"/>
    </xf>
    <xf numFmtId="4" fontId="45" fillId="54" borderId="95" xfId="928" applyNumberFormat="1" applyFont="1" applyFill="1" applyBorder="1" applyAlignment="1">
      <alignment horizontal="center" vertical="center"/>
    </xf>
    <xf numFmtId="49" fontId="32" fillId="55" borderId="39" xfId="0" applyNumberFormat="1" applyFont="1" applyFill="1" applyBorder="1" applyAlignment="1">
      <alignment horizontal="center" vertical="center" wrapText="1"/>
    </xf>
    <xf numFmtId="49" fontId="32" fillId="55" borderId="94" xfId="0" applyNumberFormat="1" applyFont="1" applyFill="1" applyBorder="1" applyAlignment="1">
      <alignment horizontal="center" vertical="center" wrapText="1"/>
    </xf>
    <xf numFmtId="49" fontId="32" fillId="54" borderId="26" xfId="0" applyNumberFormat="1" applyFont="1" applyFill="1" applyBorder="1" applyAlignment="1">
      <alignment horizontal="center" vertical="center"/>
    </xf>
    <xf numFmtId="49" fontId="32" fillId="54" borderId="1" xfId="0" applyNumberFormat="1" applyFont="1" applyFill="1" applyBorder="1" applyAlignment="1">
      <alignment horizontal="center" vertical="center"/>
    </xf>
    <xf numFmtId="0" fontId="0" fillId="54" borderId="45" xfId="0" applyFill="1" applyBorder="1"/>
    <xf numFmtId="4" fontId="45" fillId="54" borderId="45" xfId="928" applyNumberFormat="1" applyFont="1" applyFill="1" applyBorder="1" applyAlignment="1">
      <alignment horizontal="center" vertical="center"/>
    </xf>
    <xf numFmtId="49" fontId="32" fillId="55" borderId="30" xfId="0" applyNumberFormat="1" applyFont="1" applyFill="1" applyBorder="1" applyAlignment="1">
      <alignment horizontal="center" vertical="center" wrapText="1"/>
    </xf>
    <xf numFmtId="49" fontId="32" fillId="54" borderId="29" xfId="0" applyNumberFormat="1" applyFont="1" applyFill="1" applyBorder="1" applyAlignment="1">
      <alignment horizontal="center" vertical="center"/>
    </xf>
    <xf numFmtId="49" fontId="29" fillId="54" borderId="35" xfId="929" applyNumberFormat="1" applyFont="1" applyFill="1" applyBorder="1" applyAlignment="1">
      <alignment horizontal="center" vertical="center" wrapText="1"/>
    </xf>
    <xf numFmtId="0" fontId="0" fillId="54" borderId="33" xfId="0" applyFill="1" applyBorder="1"/>
    <xf numFmtId="0" fontId="6" fillId="58" borderId="6" xfId="0" applyFont="1" applyFill="1" applyBorder="1" applyAlignment="1">
      <alignment horizontal="center" vertical="center"/>
    </xf>
    <xf numFmtId="0" fontId="6" fillId="58" borderId="26" xfId="0" applyFont="1" applyFill="1" applyBorder="1" applyAlignment="1">
      <alignment horizontal="center" vertical="center"/>
    </xf>
    <xf numFmtId="0" fontId="43" fillId="54" borderId="6" xfId="929" applyFont="1" applyFill="1" applyBorder="1" applyAlignment="1">
      <alignment horizontal="left" vertical="center" wrapText="1"/>
    </xf>
    <xf numFmtId="0" fontId="28" fillId="54" borderId="33" xfId="929" applyFont="1" applyFill="1" applyBorder="1" applyAlignment="1">
      <alignment wrapText="1"/>
    </xf>
    <xf numFmtId="0" fontId="28" fillId="54" borderId="27" xfId="929" applyFont="1" applyFill="1" applyBorder="1" applyAlignment="1">
      <alignment wrapText="1"/>
    </xf>
    <xf numFmtId="0" fontId="28" fillId="54" borderId="99" xfId="929" applyFont="1" applyFill="1" applyBorder="1" applyAlignment="1">
      <alignment wrapText="1"/>
    </xf>
    <xf numFmtId="0" fontId="29" fillId="54" borderId="37" xfId="0" applyFont="1" applyFill="1" applyBorder="1" applyAlignment="1">
      <alignment horizontal="left" vertical="top" wrapText="1"/>
    </xf>
    <xf numFmtId="49" fontId="29" fillId="0" borderId="101" xfId="929" applyNumberFormat="1" applyFont="1" applyFill="1" applyBorder="1" applyAlignment="1">
      <alignment horizontal="center" vertical="center" wrapText="1"/>
    </xf>
    <xf numFmtId="0" fontId="0" fillId="0" borderId="105" xfId="0" applyBorder="1" applyAlignment="1"/>
    <xf numFmtId="0" fontId="29" fillId="0" borderId="37" xfId="0" applyFont="1" applyFill="1" applyBorder="1" applyAlignment="1">
      <alignment horizontal="left" vertical="top" wrapText="1"/>
    </xf>
    <xf numFmtId="0" fontId="0" fillId="0" borderId="79" xfId="0" applyBorder="1" applyAlignment="1"/>
    <xf numFmtId="0" fontId="0" fillId="0" borderId="52" xfId="0" applyBorder="1" applyAlignment="1"/>
    <xf numFmtId="0" fontId="0" fillId="0" borderId="79" xfId="0" applyBorder="1" applyAlignment="1">
      <alignment horizontal="left" vertical="top" wrapText="1"/>
    </xf>
    <xf numFmtId="0" fontId="0" fillId="0" borderId="52" xfId="0" applyBorder="1" applyAlignment="1">
      <alignment horizontal="left" vertical="top" wrapText="1"/>
    </xf>
    <xf numFmtId="2" fontId="29" fillId="0" borderId="100" xfId="0" applyNumberFormat="1" applyFont="1" applyFill="1" applyBorder="1" applyAlignment="1">
      <alignment horizontal="center" wrapText="1"/>
    </xf>
    <xf numFmtId="2" fontId="0" fillId="0" borderId="38" xfId="0" applyNumberFormat="1" applyBorder="1" applyAlignment="1">
      <alignment horizontal="center" wrapText="1"/>
    </xf>
    <xf numFmtId="0" fontId="29" fillId="0" borderId="47" xfId="0" applyFont="1" applyFill="1"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49" fontId="7" fillId="54" borderId="28" xfId="0" applyNumberFormat="1" applyFont="1" applyFill="1" applyBorder="1" applyAlignment="1">
      <alignment horizontal="left" vertical="center" wrapText="1"/>
    </xf>
    <xf numFmtId="49" fontId="7" fillId="54" borderId="49" xfId="0" applyNumberFormat="1" applyFont="1" applyFill="1" applyBorder="1" applyAlignment="1">
      <alignment horizontal="left" vertical="center" wrapText="1"/>
    </xf>
    <xf numFmtId="49" fontId="7" fillId="54" borderId="48" xfId="0" applyNumberFormat="1" applyFont="1" applyFill="1" applyBorder="1" applyAlignment="1">
      <alignment horizontal="left" vertical="center" wrapText="1"/>
    </xf>
    <xf numFmtId="4" fontId="7" fillId="54" borderId="28" xfId="0" applyNumberFormat="1" applyFont="1" applyFill="1" applyBorder="1" applyAlignment="1">
      <alignment horizontal="left" vertical="center" wrapText="1"/>
    </xf>
    <xf numFmtId="4" fontId="7" fillId="54" borderId="49" xfId="0" applyNumberFormat="1" applyFont="1" applyFill="1" applyBorder="1" applyAlignment="1">
      <alignment horizontal="left" vertical="center" wrapText="1"/>
    </xf>
    <xf numFmtId="4" fontId="7" fillId="54" borderId="48" xfId="0" applyNumberFormat="1" applyFont="1" applyFill="1" applyBorder="1" applyAlignment="1">
      <alignment horizontal="left" vertical="center" wrapText="1"/>
    </xf>
    <xf numFmtId="4" fontId="14" fillId="54" borderId="28" xfId="0" applyNumberFormat="1" applyFont="1" applyFill="1" applyBorder="1" applyAlignment="1">
      <alignment horizontal="left" vertical="center" wrapText="1"/>
    </xf>
    <xf numFmtId="4" fontId="14" fillId="54" borderId="49" xfId="0" applyNumberFormat="1" applyFont="1" applyFill="1" applyBorder="1" applyAlignment="1">
      <alignment horizontal="left" vertical="center" wrapText="1"/>
    </xf>
    <xf numFmtId="4" fontId="14" fillId="54" borderId="48" xfId="0" applyNumberFormat="1" applyFont="1" applyFill="1" applyBorder="1" applyAlignment="1">
      <alignment horizontal="left" vertical="center" wrapText="1"/>
    </xf>
    <xf numFmtId="2" fontId="2" fillId="54" borderId="26" xfId="0" applyNumberFormat="1" applyFont="1" applyFill="1" applyBorder="1" applyAlignment="1">
      <alignment horizontal="center" vertical="center"/>
    </xf>
    <xf numFmtId="2" fontId="2" fillId="54" borderId="29" xfId="0" applyNumberFormat="1" applyFont="1" applyFill="1" applyBorder="1" applyAlignment="1">
      <alignment horizontal="center" vertical="center"/>
    </xf>
    <xf numFmtId="4" fontId="7" fillId="54" borderId="28" xfId="0" applyNumberFormat="1" applyFont="1" applyFill="1" applyBorder="1" applyAlignment="1">
      <alignment horizontal="left" vertical="center"/>
    </xf>
    <xf numFmtId="4" fontId="7" fillId="54" borderId="49" xfId="0" applyNumberFormat="1" applyFont="1" applyFill="1" applyBorder="1" applyAlignment="1">
      <alignment horizontal="left" vertical="center"/>
    </xf>
    <xf numFmtId="4" fontId="7" fillId="54" borderId="48" xfId="0" applyNumberFormat="1" applyFont="1" applyFill="1" applyBorder="1" applyAlignment="1">
      <alignment horizontal="left" vertical="center"/>
    </xf>
    <xf numFmtId="4" fontId="14" fillId="54" borderId="28" xfId="0" applyNumberFormat="1" applyFont="1" applyFill="1" applyBorder="1" applyAlignment="1">
      <alignment horizontal="left" vertical="center"/>
    </xf>
    <xf numFmtId="4" fontId="14" fillId="54" borderId="49" xfId="0" applyNumberFormat="1" applyFont="1" applyFill="1" applyBorder="1" applyAlignment="1">
      <alignment horizontal="left" vertical="center"/>
    </xf>
    <xf numFmtId="4" fontId="14" fillId="54" borderId="48" xfId="0" applyNumberFormat="1" applyFont="1" applyFill="1" applyBorder="1" applyAlignment="1">
      <alignment horizontal="left" vertical="center"/>
    </xf>
    <xf numFmtId="0" fontId="2" fillId="54" borderId="26" xfId="0" applyFont="1" applyFill="1" applyBorder="1" applyAlignment="1">
      <alignment horizontal="center" vertical="center"/>
    </xf>
    <xf numFmtId="0" fontId="2" fillId="54" borderId="29" xfId="0" applyFont="1" applyFill="1" applyBorder="1" applyAlignment="1">
      <alignment horizontal="center" vertical="center"/>
    </xf>
    <xf numFmtId="0" fontId="2" fillId="54" borderId="41" xfId="0" applyFont="1" applyFill="1" applyBorder="1" applyAlignment="1">
      <alignment horizontal="left" vertical="center" wrapText="1"/>
    </xf>
    <xf numFmtId="0" fontId="2" fillId="54" borderId="16" xfId="0" applyFont="1" applyFill="1" applyBorder="1" applyAlignment="1">
      <alignment horizontal="left" vertical="center" wrapText="1"/>
    </xf>
    <xf numFmtId="2" fontId="29" fillId="54" borderId="26" xfId="0" applyNumberFormat="1" applyFont="1" applyFill="1" applyBorder="1" applyAlignment="1">
      <alignment horizontal="center" vertical="center"/>
    </xf>
    <xf numFmtId="2" fontId="29" fillId="54" borderId="29" xfId="0" applyNumberFormat="1" applyFont="1" applyFill="1" applyBorder="1" applyAlignment="1">
      <alignment horizontal="center" vertical="center"/>
    </xf>
    <xf numFmtId="0" fontId="31" fillId="54" borderId="41" xfId="0" applyFont="1" applyFill="1" applyBorder="1" applyAlignment="1">
      <alignment horizontal="left" vertical="center" wrapText="1"/>
    </xf>
    <xf numFmtId="0" fontId="31" fillId="54" borderId="16" xfId="0" applyFont="1" applyFill="1" applyBorder="1" applyAlignment="1">
      <alignment horizontal="left" vertical="center" wrapText="1"/>
    </xf>
    <xf numFmtId="49" fontId="14" fillId="54" borderId="28" xfId="0" applyNumberFormat="1" applyFont="1" applyFill="1" applyBorder="1" applyAlignment="1">
      <alignment horizontal="left" vertical="center" wrapText="1"/>
    </xf>
    <xf numFmtId="49" fontId="14" fillId="54" borderId="49" xfId="0" applyNumberFormat="1" applyFont="1" applyFill="1" applyBorder="1" applyAlignment="1">
      <alignment horizontal="left" vertical="center" wrapText="1"/>
    </xf>
    <xf numFmtId="49" fontId="14" fillId="54" borderId="48" xfId="0" applyNumberFormat="1" applyFont="1" applyFill="1" applyBorder="1" applyAlignment="1">
      <alignment horizontal="left" vertical="center" wrapText="1"/>
    </xf>
    <xf numFmtId="0" fontId="49" fillId="0" borderId="0" xfId="0" applyFont="1" applyAlignment="1">
      <alignment horizontal="left" vertical="top"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0" xfId="0" applyFont="1" applyBorder="1" applyAlignment="1">
      <alignment horizontal="center" vertical="center"/>
    </xf>
    <xf numFmtId="0" fontId="2" fillId="0" borderId="79" xfId="0" applyFont="1" applyBorder="1" applyAlignment="1">
      <alignment horizontal="center" vertical="center"/>
    </xf>
    <xf numFmtId="0" fontId="2" fillId="0" borderId="52"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wrapText="1"/>
    </xf>
    <xf numFmtId="0" fontId="2" fillId="0" borderId="41" xfId="0" applyFont="1" applyBorder="1" applyAlignment="1">
      <alignment horizontal="center" wrapText="1"/>
    </xf>
    <xf numFmtId="0" fontId="30" fillId="54" borderId="98" xfId="0" applyFont="1" applyFill="1" applyBorder="1" applyAlignment="1">
      <alignment horizontal="center" vertical="center" wrapText="1"/>
    </xf>
    <xf numFmtId="0" fontId="30" fillId="54" borderId="44"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6" fillId="54" borderId="50" xfId="0" applyFont="1" applyFill="1" applyBorder="1" applyAlignment="1">
      <alignment horizontal="center" vertical="center" wrapText="1"/>
    </xf>
    <xf numFmtId="0" fontId="6" fillId="54" borderId="79" xfId="0" applyFont="1" applyFill="1" applyBorder="1" applyAlignment="1">
      <alignment horizontal="center" vertical="center" wrapText="1"/>
    </xf>
    <xf numFmtId="0" fontId="6" fillId="54" borderId="52" xfId="0" applyFont="1" applyFill="1" applyBorder="1" applyAlignment="1">
      <alignment horizontal="center" vertical="center" wrapText="1"/>
    </xf>
    <xf numFmtId="0" fontId="14" fillId="54" borderId="28" xfId="0" applyFont="1" applyFill="1" applyBorder="1" applyAlignment="1">
      <alignment horizontal="left" vertical="center" wrapText="1"/>
    </xf>
    <xf numFmtId="0" fontId="14" fillId="54" borderId="49" xfId="0" applyFont="1" applyFill="1" applyBorder="1" applyAlignment="1">
      <alignment horizontal="left" vertical="center" wrapText="1"/>
    </xf>
    <xf numFmtId="0" fontId="29" fillId="0" borderId="50" xfId="0" applyFont="1" applyFill="1" applyBorder="1" applyAlignment="1">
      <alignment horizontal="left" vertical="top" wrapText="1"/>
    </xf>
    <xf numFmtId="0" fontId="29" fillId="0" borderId="32" xfId="927" applyFont="1" applyFill="1" applyBorder="1" applyAlignment="1">
      <alignment vertical="center" wrapText="1"/>
    </xf>
    <xf numFmtId="0" fontId="0" fillId="0" borderId="31" xfId="0" applyBorder="1" applyAlignment="1">
      <alignment vertical="center" wrapText="1"/>
    </xf>
    <xf numFmtId="0" fontId="0" fillId="0" borderId="108" xfId="0" applyBorder="1" applyAlignment="1">
      <alignment vertical="center" wrapText="1"/>
    </xf>
    <xf numFmtId="0" fontId="29" fillId="0" borderId="32" xfId="927" applyFont="1" applyFill="1" applyBorder="1" applyAlignment="1">
      <alignment horizontal="left" vertical="center" wrapText="1"/>
    </xf>
    <xf numFmtId="0" fontId="0" fillId="0" borderId="31" xfId="0" applyBorder="1" applyAlignment="1">
      <alignment horizontal="left" vertical="center" wrapText="1"/>
    </xf>
    <xf numFmtId="0" fontId="0" fillId="0" borderId="108" xfId="0" applyBorder="1" applyAlignment="1">
      <alignment horizontal="left" vertical="center" wrapText="1"/>
    </xf>
    <xf numFmtId="0" fontId="42" fillId="0" borderId="91" xfId="929" applyFont="1" applyFill="1" applyBorder="1" applyAlignment="1">
      <alignment horizontal="left" vertical="center" wrapText="1"/>
    </xf>
    <xf numFmtId="0" fontId="42" fillId="0" borderId="16" xfId="929" applyFont="1" applyFill="1" applyBorder="1" applyAlignment="1">
      <alignment horizontal="left" vertical="center" wrapText="1"/>
    </xf>
    <xf numFmtId="0" fontId="42" fillId="0" borderId="51" xfId="929" applyFont="1" applyFill="1" applyBorder="1" applyAlignment="1">
      <alignment horizontal="left" vertical="center" wrapText="1"/>
    </xf>
    <xf numFmtId="0" fontId="45" fillId="0" borderId="6" xfId="928" applyFont="1" applyFill="1" applyBorder="1" applyAlignment="1">
      <alignment horizontal="left" vertical="center" wrapText="1"/>
    </xf>
    <xf numFmtId="0" fontId="0" fillId="0" borderId="6" xfId="0" applyBorder="1" applyAlignment="1">
      <alignment horizontal="left" vertical="center" wrapText="1"/>
    </xf>
    <xf numFmtId="169" fontId="29" fillId="0" borderId="32" xfId="929" applyNumberFormat="1" applyFont="1" applyFill="1" applyBorder="1" applyAlignment="1">
      <alignment horizontal="left" vertical="center" wrapText="1"/>
    </xf>
    <xf numFmtId="0" fontId="45" fillId="0" borderId="32" xfId="927" applyFont="1" applyFill="1" applyBorder="1" applyAlignment="1">
      <alignment horizontal="left" vertical="center" wrapText="1"/>
    </xf>
    <xf numFmtId="2" fontId="29" fillId="0" borderId="32" xfId="928" applyNumberFormat="1" applyFont="1" applyFill="1" applyBorder="1" applyAlignment="1">
      <alignment horizontal="left" vertical="center" wrapText="1"/>
    </xf>
    <xf numFmtId="49" fontId="28" fillId="0" borderId="98" xfId="928" applyNumberFormat="1" applyFont="1" applyFill="1" applyBorder="1" applyAlignment="1">
      <alignment horizontal="left" vertical="center" wrapText="1"/>
    </xf>
    <xf numFmtId="2" fontId="29" fillId="0" borderId="52" xfId="0" applyNumberFormat="1" applyFont="1" applyFill="1" applyBorder="1" applyAlignment="1">
      <alignment horizontal="center" wrapText="1"/>
    </xf>
    <xf numFmtId="0" fontId="29" fillId="0" borderId="98" xfId="929" applyNumberFormat="1" applyFont="1" applyFill="1" applyBorder="1" applyAlignment="1">
      <alignment horizontal="left" vertical="center" wrapText="1"/>
    </xf>
    <xf numFmtId="0" fontId="28" fillId="0" borderId="106" xfId="928" applyFont="1" applyFill="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2" fontId="28" fillId="0" borderId="98" xfId="928" applyNumberFormat="1" applyFont="1" applyFill="1" applyBorder="1" applyAlignment="1">
      <alignment horizontal="left" vertical="center" wrapText="1"/>
    </xf>
    <xf numFmtId="0" fontId="29" fillId="0" borderId="35" xfId="0" applyFont="1" applyFill="1" applyBorder="1" applyAlignment="1">
      <alignment horizontal="left" vertical="top" wrapText="1"/>
    </xf>
    <xf numFmtId="0" fontId="0" fillId="0" borderId="40" xfId="0" applyBorder="1" applyAlignment="1"/>
    <xf numFmtId="0" fontId="0" fillId="0" borderId="100" xfId="0" applyBorder="1" applyAlignment="1"/>
    <xf numFmtId="14" fontId="45" fillId="0" borderId="104" xfId="928" applyNumberFormat="1" applyFont="1" applyFill="1" applyBorder="1" applyAlignment="1">
      <alignment horizontal="center" vertical="center"/>
    </xf>
    <xf numFmtId="14" fontId="45" fillId="0" borderId="103" xfId="928" applyNumberFormat="1" applyFont="1" applyFill="1" applyBorder="1" applyAlignment="1">
      <alignment horizontal="center" vertical="center"/>
    </xf>
    <xf numFmtId="14" fontId="45" fillId="0" borderId="97" xfId="928" applyNumberFormat="1" applyFont="1" applyFill="1" applyBorder="1" applyAlignment="1">
      <alignment horizontal="center" vertical="center"/>
    </xf>
    <xf numFmtId="14" fontId="45" fillId="0" borderId="96" xfId="928" applyNumberFormat="1" applyFont="1" applyFill="1" applyBorder="1" applyAlignment="1">
      <alignment horizontal="center" vertical="center"/>
    </xf>
    <xf numFmtId="14" fontId="45" fillId="0" borderId="26" xfId="928" applyNumberFormat="1" applyFont="1" applyFill="1" applyBorder="1" applyAlignment="1">
      <alignment horizontal="center" vertical="center"/>
    </xf>
    <xf numFmtId="14" fontId="45" fillId="0" borderId="29" xfId="928" applyNumberFormat="1" applyFont="1" applyFill="1" applyBorder="1" applyAlignment="1">
      <alignment horizontal="center" vertical="center"/>
    </xf>
    <xf numFmtId="14" fontId="45" fillId="0" borderId="46" xfId="928" applyNumberFormat="1" applyFont="1" applyFill="1" applyBorder="1" applyAlignment="1">
      <alignment horizontal="center" vertical="center"/>
    </xf>
    <xf numFmtId="14" fontId="45" fillId="0" borderId="39" xfId="928" applyNumberFormat="1" applyFont="1" applyFill="1" applyBorder="1" applyAlignment="1">
      <alignment horizontal="center" vertical="center"/>
    </xf>
    <xf numFmtId="14" fontId="45" fillId="0" borderId="30" xfId="928" applyNumberFormat="1" applyFont="1" applyFill="1" applyBorder="1" applyAlignment="1">
      <alignment horizontal="center" vertical="center"/>
    </xf>
    <xf numFmtId="14" fontId="45" fillId="0" borderId="92" xfId="928" applyNumberFormat="1" applyFont="1" applyFill="1" applyBorder="1" applyAlignment="1">
      <alignment horizontal="center" vertical="center"/>
    </xf>
    <xf numFmtId="14" fontId="45" fillId="0" borderId="93" xfId="928" applyNumberFormat="1" applyFont="1" applyFill="1" applyBorder="1" applyAlignment="1">
      <alignment horizontal="center" vertical="center"/>
    </xf>
    <xf numFmtId="49" fontId="45" fillId="0" borderId="6" xfId="928" applyNumberFormat="1" applyFont="1" applyFill="1" applyBorder="1" applyAlignment="1">
      <alignment horizontal="center" vertical="center"/>
    </xf>
    <xf numFmtId="0" fontId="14" fillId="54" borderId="50" xfId="0" applyFont="1" applyFill="1" applyBorder="1" applyAlignment="1">
      <alignment horizontal="left" vertical="center" wrapText="1"/>
    </xf>
    <xf numFmtId="0" fontId="14" fillId="54" borderId="79" xfId="0" applyFont="1" applyFill="1" applyBorder="1" applyAlignment="1">
      <alignment horizontal="left" vertical="center" wrapText="1"/>
    </xf>
    <xf numFmtId="0" fontId="14" fillId="54" borderId="52" xfId="0" applyFont="1" applyFill="1" applyBorder="1" applyAlignment="1">
      <alignment horizontal="left" vertical="center" wrapText="1"/>
    </xf>
    <xf numFmtId="14" fontId="45" fillId="0" borderId="26" xfId="928" applyNumberFormat="1" applyFont="1" applyFill="1" applyBorder="1" applyAlignment="1">
      <alignment horizontal="center" vertical="center" wrapText="1"/>
    </xf>
    <xf numFmtId="14" fontId="45" fillId="0" borderId="29" xfId="928" applyNumberFormat="1" applyFont="1" applyFill="1" applyBorder="1" applyAlignment="1">
      <alignment horizontal="center" vertical="center" wrapText="1"/>
    </xf>
    <xf numFmtId="14" fontId="45" fillId="0" borderId="1" xfId="928" applyNumberFormat="1" applyFont="1" applyFill="1" applyBorder="1" applyAlignment="1">
      <alignment horizontal="center" vertical="center"/>
    </xf>
    <xf numFmtId="14" fontId="45" fillId="0" borderId="6" xfId="928" applyNumberFormat="1" applyFont="1" applyFill="1" applyBorder="1" applyAlignment="1">
      <alignment horizontal="center" vertical="center"/>
    </xf>
    <xf numFmtId="0" fontId="21" fillId="0" borderId="49" xfId="0" applyFont="1" applyBorder="1" applyAlignment="1">
      <alignment horizontal="left" vertical="center" wrapText="1"/>
    </xf>
    <xf numFmtId="0" fontId="11" fillId="0" borderId="48" xfId="0" applyFont="1" applyBorder="1" applyAlignment="1">
      <alignment wrapText="1"/>
    </xf>
    <xf numFmtId="0" fontId="15" fillId="0" borderId="26" xfId="0" applyFont="1" applyBorder="1" applyAlignment="1">
      <alignment horizontal="center" vertical="center" textRotation="90" wrapText="1"/>
    </xf>
    <xf numFmtId="0" fontId="15" fillId="0" borderId="29" xfId="0" applyFont="1" applyBorder="1" applyAlignment="1">
      <alignment horizontal="center" vertical="center" textRotation="90" wrapText="1"/>
    </xf>
    <xf numFmtId="0" fontId="0" fillId="0" borderId="0" xfId="0" applyAlignment="1">
      <alignment wrapText="1"/>
    </xf>
    <xf numFmtId="0" fontId="203" fillId="0" borderId="49" xfId="0" applyFont="1" applyBorder="1" applyAlignment="1">
      <alignment horizontal="left" vertical="center" wrapText="1"/>
    </xf>
    <xf numFmtId="0" fontId="200" fillId="0" borderId="48" xfId="0" applyFont="1" applyBorder="1" applyAlignment="1">
      <alignment wrapText="1"/>
    </xf>
    <xf numFmtId="0" fontId="28" fillId="0" borderId="0" xfId="0" applyFont="1" applyFill="1" applyAlignment="1">
      <alignment wrapText="1"/>
    </xf>
    <xf numFmtId="0" fontId="22" fillId="54" borderId="0" xfId="0" applyFont="1" applyFill="1" applyAlignment="1">
      <alignment horizontal="left" wrapText="1"/>
    </xf>
    <xf numFmtId="0" fontId="19" fillId="54" borderId="0" xfId="0" applyFont="1" applyFill="1" applyBorder="1" applyAlignment="1">
      <alignment horizontal="left" wrapText="1" indent="3"/>
    </xf>
    <xf numFmtId="0" fontId="10" fillId="0" borderId="0" xfId="0" applyFont="1" applyAlignment="1">
      <alignment horizontal="left" wrapText="1" indent="3"/>
    </xf>
    <xf numFmtId="0" fontId="19" fillId="54" borderId="0" xfId="0" applyFont="1" applyFill="1" applyAlignment="1">
      <alignment wrapText="1"/>
    </xf>
    <xf numFmtId="0" fontId="49" fillId="0" borderId="0" xfId="0" applyFont="1" applyAlignment="1">
      <alignment wrapText="1"/>
    </xf>
    <xf numFmtId="0" fontId="22" fillId="54" borderId="0" xfId="0" applyFont="1" applyFill="1" applyAlignment="1">
      <alignment wrapText="1"/>
    </xf>
    <xf numFmtId="0" fontId="10" fillId="0" borderId="0" xfId="0" applyFont="1" applyAlignment="1">
      <alignment wrapText="1"/>
    </xf>
    <xf numFmtId="0" fontId="19" fillId="54" borderId="0" xfId="0" applyFont="1" applyFill="1" applyAlignment="1">
      <alignment horizontal="left" wrapText="1" indent="3"/>
    </xf>
    <xf numFmtId="0" fontId="44" fillId="0" borderId="0" xfId="0" applyFont="1" applyAlignment="1">
      <alignment wrapText="1"/>
    </xf>
    <xf numFmtId="0" fontId="19" fillId="54" borderId="49" xfId="0" applyFont="1" applyFill="1" applyBorder="1" applyAlignment="1">
      <alignment horizontal="left" vertical="center" wrapText="1"/>
    </xf>
    <xf numFmtId="0" fontId="19" fillId="54" borderId="16" xfId="0" applyFont="1" applyFill="1" applyBorder="1" applyAlignment="1">
      <alignment horizontal="left" vertical="center" wrapText="1"/>
    </xf>
    <xf numFmtId="0" fontId="29" fillId="54" borderId="28" xfId="0" applyFont="1" applyFill="1" applyBorder="1" applyAlignment="1">
      <alignment horizontal="center" vertical="center"/>
    </xf>
    <xf numFmtId="0" fontId="29" fillId="54" borderId="49" xfId="0" applyFont="1" applyFill="1" applyBorder="1" applyAlignment="1">
      <alignment horizontal="center" vertical="center"/>
    </xf>
    <xf numFmtId="0" fontId="21" fillId="54" borderId="48" xfId="0" applyFont="1" applyFill="1" applyBorder="1" applyAlignment="1">
      <alignment horizontal="left" vertical="center" wrapText="1"/>
    </xf>
    <xf numFmtId="0" fontId="166" fillId="54" borderId="0" xfId="0" applyFont="1" applyFill="1" applyAlignment="1"/>
    <xf numFmtId="49" fontId="19" fillId="54" borderId="28" xfId="0" applyNumberFormat="1" applyFont="1" applyFill="1" applyBorder="1" applyAlignment="1">
      <alignment horizontal="left" vertical="center" wrapText="1"/>
    </xf>
    <xf numFmtId="49" fontId="19" fillId="54" borderId="52" xfId="0" applyNumberFormat="1" applyFont="1" applyFill="1" applyBorder="1" applyAlignment="1">
      <alignment horizontal="left" vertical="center" wrapText="1"/>
    </xf>
    <xf numFmtId="0" fontId="19" fillId="54" borderId="51" xfId="0" applyFont="1" applyFill="1" applyBorder="1" applyAlignment="1">
      <alignment horizontal="left" wrapText="1"/>
    </xf>
    <xf numFmtId="0" fontId="19" fillId="54" borderId="28" xfId="0" applyFont="1" applyFill="1" applyBorder="1" applyAlignment="1">
      <alignment horizontal="left" vertical="center"/>
    </xf>
    <xf numFmtId="0" fontId="19" fillId="54" borderId="48" xfId="0" applyFont="1" applyFill="1" applyBorder="1" applyAlignment="1">
      <alignment horizontal="left" vertical="center"/>
    </xf>
    <xf numFmtId="0" fontId="22" fillId="54" borderId="0" xfId="0" applyFont="1" applyFill="1" applyBorder="1" applyAlignment="1"/>
    <xf numFmtId="0" fontId="22" fillId="54" borderId="0" xfId="0" applyFont="1" applyFill="1" applyBorder="1" applyAlignment="1">
      <alignment horizontal="left"/>
    </xf>
    <xf numFmtId="0" fontId="10" fillId="0" borderId="0" xfId="0" applyFont="1" applyAlignment="1">
      <alignment horizontal="left"/>
    </xf>
    <xf numFmtId="0" fontId="1" fillId="54" borderId="28" xfId="0" applyFont="1" applyFill="1" applyBorder="1" applyAlignment="1">
      <alignment horizontal="left" vertical="center" wrapText="1"/>
    </xf>
    <xf numFmtId="0" fontId="1" fillId="54" borderId="49" xfId="0" applyFont="1" applyFill="1" applyBorder="1" applyAlignment="1">
      <alignment horizontal="left" vertical="center" wrapText="1"/>
    </xf>
    <xf numFmtId="0" fontId="1" fillId="54" borderId="48" xfId="0" applyFont="1" applyFill="1" applyBorder="1" applyAlignment="1">
      <alignment horizontal="left" vertical="center" wrapText="1"/>
    </xf>
    <xf numFmtId="0" fontId="1" fillId="54" borderId="28" xfId="0" applyFont="1" applyFill="1" applyBorder="1" applyAlignment="1">
      <alignment vertical="center" wrapText="1"/>
    </xf>
    <xf numFmtId="0" fontId="1" fillId="54" borderId="49" xfId="0" applyFont="1" applyFill="1" applyBorder="1" applyAlignment="1">
      <alignment vertical="center" wrapText="1"/>
    </xf>
    <xf numFmtId="0" fontId="1" fillId="54" borderId="48" xfId="0" applyFont="1" applyFill="1" applyBorder="1" applyAlignment="1">
      <alignment vertical="center" wrapText="1"/>
    </xf>
    <xf numFmtId="49" fontId="200" fillId="54" borderId="0" xfId="0" applyNumberFormat="1" applyFont="1" applyFill="1" applyAlignment="1">
      <alignment vertical="center"/>
    </xf>
    <xf numFmtId="0" fontId="200" fillId="54" borderId="0" xfId="0" applyFont="1" applyFill="1" applyAlignment="1">
      <alignment vertical="center"/>
    </xf>
    <xf numFmtId="2" fontId="1" fillId="54" borderId="0" xfId="0" applyNumberFormat="1" applyFont="1" applyFill="1" applyAlignment="1">
      <alignment vertical="center"/>
    </xf>
    <xf numFmtId="0" fontId="12" fillId="54" borderId="28" xfId="0" applyFont="1" applyFill="1" applyBorder="1" applyAlignment="1">
      <alignment horizontal="left" vertical="center" wrapText="1"/>
    </xf>
    <xf numFmtId="0" fontId="12" fillId="54" borderId="49" xfId="0" applyFont="1" applyFill="1" applyBorder="1" applyAlignment="1">
      <alignment horizontal="left" vertical="center" wrapText="1"/>
    </xf>
    <xf numFmtId="0" fontId="12" fillId="54" borderId="48" xfId="0" applyFont="1" applyFill="1" applyBorder="1" applyAlignment="1">
      <alignment horizontal="left" vertical="center" wrapText="1"/>
    </xf>
    <xf numFmtId="0" fontId="1" fillId="54" borderId="6" xfId="0" applyFont="1" applyFill="1" applyBorder="1" applyAlignment="1">
      <alignment horizontal="left" vertical="center" wrapText="1"/>
    </xf>
    <xf numFmtId="0" fontId="1" fillId="54" borderId="28" xfId="0" applyFont="1" applyFill="1" applyBorder="1" applyAlignment="1">
      <alignment horizontal="left" wrapText="1"/>
    </xf>
    <xf numFmtId="0" fontId="1" fillId="54" borderId="49" xfId="0" applyFont="1" applyFill="1" applyBorder="1" applyAlignment="1">
      <alignment horizontal="left" wrapText="1"/>
    </xf>
    <xf numFmtId="0" fontId="1" fillId="54" borderId="48" xfId="0" applyFont="1" applyFill="1" applyBorder="1" applyAlignment="1">
      <alignment horizontal="left" wrapText="1"/>
    </xf>
    <xf numFmtId="0" fontId="200" fillId="54" borderId="49" xfId="0" applyFont="1" applyFill="1" applyBorder="1" applyAlignment="1">
      <alignment horizontal="left" vertical="center" wrapText="1"/>
    </xf>
    <xf numFmtId="0" fontId="200" fillId="54" borderId="48" xfId="0" applyFont="1" applyFill="1" applyBorder="1" applyAlignment="1">
      <alignment horizontal="left" vertical="center" wrapText="1"/>
    </xf>
    <xf numFmtId="49" fontId="1" fillId="54" borderId="26" xfId="0" applyNumberFormat="1" applyFont="1" applyFill="1" applyBorder="1" applyAlignment="1">
      <alignment horizontal="center" vertical="center" wrapText="1"/>
    </xf>
    <xf numFmtId="49" fontId="1" fillId="54" borderId="29" xfId="0" applyNumberFormat="1" applyFont="1" applyFill="1" applyBorder="1" applyAlignment="1">
      <alignment horizontal="center" vertical="center" wrapText="1"/>
    </xf>
    <xf numFmtId="4" fontId="1" fillId="54" borderId="26" xfId="0" applyNumberFormat="1" applyFont="1" applyFill="1" applyBorder="1" applyAlignment="1">
      <alignment horizontal="center" vertical="center"/>
    </xf>
    <xf numFmtId="4" fontId="1" fillId="54" borderId="29" xfId="0" applyNumberFormat="1" applyFont="1" applyFill="1" applyBorder="1" applyAlignment="1">
      <alignment horizontal="center" vertical="center"/>
    </xf>
    <xf numFmtId="0" fontId="1" fillId="54" borderId="26" xfId="0" applyFont="1" applyFill="1" applyBorder="1" applyAlignment="1">
      <alignment horizontal="center" vertical="center"/>
    </xf>
    <xf numFmtId="0" fontId="200" fillId="54" borderId="29" xfId="0" applyFont="1" applyFill="1" applyBorder="1" applyAlignment="1">
      <alignment horizontal="center" vertical="center"/>
    </xf>
    <xf numFmtId="49" fontId="1" fillId="54" borderId="26" xfId="0" applyNumberFormat="1" applyFont="1" applyFill="1" applyBorder="1" applyAlignment="1">
      <alignment horizontal="center" vertical="center"/>
    </xf>
    <xf numFmtId="49" fontId="200" fillId="54" borderId="29" xfId="0" applyNumberFormat="1" applyFont="1" applyFill="1" applyBorder="1" applyAlignment="1">
      <alignment horizontal="center" vertical="center"/>
    </xf>
    <xf numFmtId="49" fontId="1" fillId="54" borderId="29" xfId="0" applyNumberFormat="1" applyFont="1" applyFill="1" applyBorder="1" applyAlignment="1">
      <alignment horizontal="center" vertical="center"/>
    </xf>
    <xf numFmtId="49" fontId="1" fillId="54" borderId="6" xfId="0" applyNumberFormat="1" applyFont="1" applyFill="1" applyBorder="1" applyAlignment="1">
      <alignment horizontal="center" vertical="center" wrapText="1"/>
    </xf>
    <xf numFmtId="2" fontId="1" fillId="54" borderId="26" xfId="0" applyNumberFormat="1" applyFont="1" applyFill="1" applyBorder="1" applyAlignment="1">
      <alignment horizontal="center" vertical="center"/>
    </xf>
    <xf numFmtId="2" fontId="200" fillId="54" borderId="29" xfId="0" applyNumberFormat="1" applyFont="1" applyFill="1" applyBorder="1" applyAlignment="1">
      <alignment horizontal="center" vertical="center"/>
    </xf>
    <xf numFmtId="0" fontId="200" fillId="54" borderId="29" xfId="0" applyFont="1" applyFill="1" applyBorder="1" applyAlignment="1">
      <alignment vertical="center"/>
    </xf>
    <xf numFmtId="0" fontId="200" fillId="54" borderId="29" xfId="0" applyFont="1" applyFill="1" applyBorder="1" applyAlignment="1">
      <alignment horizontal="center" vertical="center" wrapText="1"/>
    </xf>
    <xf numFmtId="0" fontId="200" fillId="54" borderId="79" xfId="0" applyFont="1" applyFill="1" applyBorder="1" applyAlignment="1">
      <alignment horizontal="left" vertical="center" wrapText="1"/>
    </xf>
    <xf numFmtId="0" fontId="200" fillId="54" borderId="52" xfId="0" applyFont="1" applyFill="1" applyBorder="1" applyAlignment="1">
      <alignment horizontal="left" vertical="center" wrapText="1"/>
    </xf>
    <xf numFmtId="0" fontId="1" fillId="54" borderId="6" xfId="0" applyFont="1" applyFill="1" applyBorder="1" applyAlignment="1">
      <alignment horizontal="center" vertical="center"/>
    </xf>
    <xf numFmtId="4" fontId="1" fillId="54" borderId="6" xfId="0" applyNumberFormat="1" applyFont="1" applyFill="1" applyBorder="1" applyAlignment="1">
      <alignment horizontal="center" vertical="center"/>
    </xf>
    <xf numFmtId="4" fontId="1" fillId="54" borderId="26" xfId="0" applyNumberFormat="1" applyFont="1" applyFill="1" applyBorder="1" applyAlignment="1">
      <alignment horizontal="center" vertical="center" wrapText="1"/>
    </xf>
    <xf numFmtId="0" fontId="200" fillId="54" borderId="29" xfId="0" applyFont="1" applyFill="1" applyBorder="1" applyAlignment="1">
      <alignment vertical="center" wrapText="1"/>
    </xf>
    <xf numFmtId="0" fontId="48" fillId="54" borderId="26" xfId="0" applyFont="1" applyFill="1" applyBorder="1" applyAlignment="1">
      <alignment horizontal="center" vertical="center" wrapText="1"/>
    </xf>
    <xf numFmtId="0" fontId="48" fillId="54" borderId="29" xfId="0" applyFont="1" applyFill="1" applyBorder="1" applyAlignment="1">
      <alignment horizontal="center" vertical="center" wrapText="1"/>
    </xf>
    <xf numFmtId="49" fontId="200" fillId="54" borderId="52" xfId="0" applyNumberFormat="1" applyFont="1" applyFill="1" applyBorder="1" applyAlignment="1">
      <alignment horizontal="center" vertical="center" wrapText="1"/>
    </xf>
    <xf numFmtId="49" fontId="200" fillId="54" borderId="41" xfId="0" applyNumberFormat="1" applyFont="1" applyFill="1" applyBorder="1" applyAlignment="1">
      <alignment horizontal="center" vertical="center" wrapText="1"/>
    </xf>
    <xf numFmtId="49" fontId="200" fillId="54" borderId="51" xfId="0" applyNumberFormat="1" applyFont="1" applyFill="1" applyBorder="1" applyAlignment="1">
      <alignment horizontal="center" vertical="center" wrapText="1"/>
    </xf>
    <xf numFmtId="0" fontId="1" fillId="54" borderId="28" xfId="0" applyFont="1" applyFill="1" applyBorder="1" applyAlignment="1">
      <alignment horizontal="center" vertical="center"/>
    </xf>
    <xf numFmtId="0" fontId="1" fillId="54" borderId="49" xfId="0" applyFont="1" applyFill="1" applyBorder="1" applyAlignment="1">
      <alignment horizontal="center" vertical="center"/>
    </xf>
    <xf numFmtId="0" fontId="1" fillId="54" borderId="48" xfId="0" applyFont="1" applyFill="1" applyBorder="1" applyAlignment="1">
      <alignment horizontal="center" vertical="center"/>
    </xf>
    <xf numFmtId="0" fontId="183" fillId="54" borderId="48" xfId="0" applyFont="1" applyFill="1" applyBorder="1" applyAlignment="1">
      <alignment horizontal="left" vertical="center" wrapText="1"/>
    </xf>
    <xf numFmtId="0" fontId="7" fillId="54" borderId="0" xfId="0" applyFont="1" applyFill="1" applyBorder="1" applyAlignment="1">
      <alignment horizontal="left" wrapText="1" indent="5"/>
    </xf>
    <xf numFmtId="0" fontId="9" fillId="0" borderId="0" xfId="0" applyFont="1" applyAlignment="1">
      <alignment horizontal="left" wrapText="1" indent="5"/>
    </xf>
    <xf numFmtId="0" fontId="9" fillId="0" borderId="0" xfId="0" applyFont="1" applyAlignment="1">
      <alignment horizontal="left" indent="5"/>
    </xf>
    <xf numFmtId="0" fontId="200" fillId="0" borderId="0" xfId="0" applyFont="1" applyAlignment="1">
      <alignment horizontal="left" indent="5"/>
    </xf>
    <xf numFmtId="0" fontId="7" fillId="54" borderId="0" xfId="0" applyFont="1" applyFill="1" applyAlignment="1">
      <alignment wrapText="1"/>
    </xf>
    <xf numFmtId="0" fontId="9" fillId="54" borderId="0" xfId="0" applyFont="1" applyFill="1" applyAlignment="1">
      <alignment wrapText="1"/>
    </xf>
    <xf numFmtId="0" fontId="9" fillId="0" borderId="0" xfId="0" applyFont="1" applyAlignment="1">
      <alignment wrapText="1"/>
    </xf>
    <xf numFmtId="0" fontId="7" fillId="54" borderId="0" xfId="0" applyFont="1" applyFill="1" applyAlignment="1">
      <alignment horizontal="left" wrapText="1" indent="5"/>
    </xf>
    <xf numFmtId="0" fontId="28" fillId="0" borderId="0" xfId="0" applyFont="1" applyAlignment="1">
      <alignment horizontal="left" wrapText="1" indent="5"/>
    </xf>
    <xf numFmtId="0" fontId="30" fillId="0" borderId="0" xfId="0" applyFont="1" applyAlignment="1">
      <alignment wrapText="1"/>
    </xf>
    <xf numFmtId="0" fontId="200" fillId="0" borderId="0" xfId="0" applyFont="1" applyAlignment="1"/>
    <xf numFmtId="0" fontId="9" fillId="54" borderId="0" xfId="0" applyFont="1" applyFill="1" applyAlignment="1">
      <alignment horizontal="left" wrapText="1"/>
    </xf>
    <xf numFmtId="0" fontId="1" fillId="54" borderId="26" xfId="0" applyFont="1" applyFill="1" applyBorder="1" applyAlignment="1">
      <alignment horizontal="center" vertical="center" wrapText="1"/>
    </xf>
    <xf numFmtId="0" fontId="1" fillId="54" borderId="1" xfId="0" applyFont="1" applyFill="1" applyBorder="1" applyAlignment="1">
      <alignment horizontal="center" vertical="center" wrapText="1"/>
    </xf>
    <xf numFmtId="0" fontId="1" fillId="54" borderId="50" xfId="0" applyFont="1" applyFill="1" applyBorder="1" applyAlignment="1">
      <alignment horizontal="center" vertical="center"/>
    </xf>
    <xf numFmtId="0" fontId="1" fillId="54" borderId="79" xfId="0" applyFont="1" applyFill="1" applyBorder="1" applyAlignment="1">
      <alignment horizontal="center" vertical="center"/>
    </xf>
    <xf numFmtId="0" fontId="1" fillId="54" borderId="52" xfId="0" applyFont="1" applyFill="1" applyBorder="1" applyAlignment="1">
      <alignment horizontal="center" vertical="center"/>
    </xf>
    <xf numFmtId="0" fontId="1" fillId="54" borderId="21" xfId="0" applyFont="1" applyFill="1" applyBorder="1" applyAlignment="1">
      <alignment horizontal="center" vertical="center"/>
    </xf>
    <xf numFmtId="0" fontId="1" fillId="54" borderId="0" xfId="0" applyFont="1" applyFill="1" applyBorder="1" applyAlignment="1">
      <alignment horizontal="center" vertical="center"/>
    </xf>
    <xf numFmtId="0" fontId="1" fillId="54" borderId="17" xfId="0" applyFont="1" applyFill="1" applyBorder="1" applyAlignment="1">
      <alignment horizontal="center" vertical="center"/>
    </xf>
    <xf numFmtId="0" fontId="200" fillId="54" borderId="41" xfId="0" applyFont="1" applyFill="1" applyBorder="1" applyAlignment="1">
      <alignment horizontal="center" vertical="center"/>
    </xf>
    <xf numFmtId="0" fontId="200" fillId="54" borderId="16" xfId="0" applyFont="1" applyFill="1" applyBorder="1" applyAlignment="1">
      <alignment horizontal="center" vertical="center"/>
    </xf>
    <xf numFmtId="0" fontId="200" fillId="54" borderId="51" xfId="0" applyFont="1" applyFill="1" applyBorder="1" applyAlignment="1">
      <alignment horizontal="center" vertical="center"/>
    </xf>
    <xf numFmtId="0" fontId="200" fillId="54" borderId="52" xfId="0" applyFont="1" applyFill="1" applyBorder="1" applyAlignment="1">
      <alignment horizontal="center" vertical="center" wrapText="1"/>
    </xf>
    <xf numFmtId="0" fontId="200" fillId="54" borderId="51" xfId="0" applyFont="1" applyFill="1" applyBorder="1" applyAlignment="1">
      <alignment horizontal="center" vertical="center" wrapText="1"/>
    </xf>
    <xf numFmtId="0" fontId="12" fillId="54" borderId="50" xfId="0" applyFont="1" applyFill="1" applyBorder="1" applyAlignment="1">
      <alignment horizontal="center" vertical="center" wrapText="1"/>
    </xf>
    <xf numFmtId="0" fontId="12" fillId="54" borderId="52" xfId="0" applyFont="1" applyFill="1" applyBorder="1" applyAlignment="1">
      <alignment horizontal="center" vertical="center" wrapText="1"/>
    </xf>
    <xf numFmtId="0" fontId="12" fillId="54" borderId="41" xfId="0" applyFont="1" applyFill="1" applyBorder="1" applyAlignment="1">
      <alignment horizontal="center" vertical="center" wrapText="1"/>
    </xf>
    <xf numFmtId="0" fontId="12" fillId="54" borderId="51" xfId="0" applyFont="1" applyFill="1" applyBorder="1" applyAlignment="1">
      <alignment horizontal="center" vertical="center" wrapText="1"/>
    </xf>
    <xf numFmtId="216" fontId="12" fillId="54" borderId="50" xfId="0" applyNumberFormat="1" applyFont="1" applyFill="1" applyBorder="1" applyAlignment="1">
      <alignment horizontal="center" vertical="center" wrapText="1"/>
    </xf>
    <xf numFmtId="216" fontId="12" fillId="54" borderId="52" xfId="0" applyNumberFormat="1" applyFont="1" applyFill="1" applyBorder="1" applyAlignment="1">
      <alignment horizontal="center" vertical="center" wrapText="1"/>
    </xf>
    <xf numFmtId="216" fontId="12" fillId="54" borderId="41" xfId="0" applyNumberFormat="1" applyFont="1" applyFill="1" applyBorder="1" applyAlignment="1">
      <alignment horizontal="center" vertical="center" wrapText="1"/>
    </xf>
    <xf numFmtId="216" fontId="12" fillId="54" borderId="51" xfId="0" applyNumberFormat="1" applyFont="1" applyFill="1" applyBorder="1" applyAlignment="1">
      <alignment horizontal="center" vertical="center" wrapText="1"/>
    </xf>
    <xf numFmtId="2" fontId="207" fillId="0" borderId="16" xfId="0" applyNumberFormat="1" applyFont="1" applyBorder="1" applyAlignment="1"/>
    <xf numFmtId="2" fontId="208" fillId="0" borderId="16" xfId="0" applyNumberFormat="1" applyFont="1" applyBorder="1" applyAlignment="1"/>
  </cellXfs>
  <cellStyles count="2025">
    <cellStyle name=" 1" xfId="1"/>
    <cellStyle name="_x000a_bidires=100_x000d_" xfId="2"/>
    <cellStyle name="_x000a_bidires=100_x000d_ 2" xfId="3"/>
    <cellStyle name="_x000a_bidires=100_x000d_ 2 2" xfId="4"/>
    <cellStyle name="_x000a_bidires=100_x000d_ 2 2 2" xfId="5"/>
    <cellStyle name="_x000a_bidires=100_x000d_ 2 2_Потоки реализации ИП" xfId="6"/>
    <cellStyle name="_x000a_bidires=100_x000d_ 3" xfId="7"/>
    <cellStyle name="_x000a_bidires=100_x000d_ 3 2" xfId="8"/>
    <cellStyle name="_x000a_bidires=100_x000d_ 3_Потоки реализации ИП" xfId="9"/>
    <cellStyle name="_x000a_bidires=100_x000d__1_Оренбург 2009-2013" xfId="10"/>
    <cellStyle name="%" xfId="11"/>
    <cellStyle name="%_Inputs" xfId="12"/>
    <cellStyle name="%_Inputs (const)" xfId="13"/>
    <cellStyle name="%_Inputs Co" xfId="14"/>
    <cellStyle name="?…?ж?Ш?и [0.00]" xfId="15"/>
    <cellStyle name="?W??_‘O’с?р??" xfId="16"/>
    <cellStyle name="_CashFlow_2007_проект_02_02_final" xfId="17"/>
    <cellStyle name="_Model_RAB Мой" xfId="18"/>
    <cellStyle name="_Model_RAB Мой 2" xfId="19"/>
    <cellStyle name="_Model_RAB Мой 2_OREP.KU.2011.MONTHLY.02(v0.1)" xfId="20"/>
    <cellStyle name="_Model_RAB Мой 2_OREP.KU.2011.MONTHLY.02(v0.4)" xfId="21"/>
    <cellStyle name="_Model_RAB Мой 2_OREP.KU.2011.MONTHLY.11(v1.4)" xfId="22"/>
    <cellStyle name="_Model_RAB Мой 2_UPDATE.OREP.KU.2011.MONTHLY.02.TO.1.2" xfId="23"/>
    <cellStyle name="_Model_RAB Мой_46EE.2011(v1.0)" xfId="24"/>
    <cellStyle name="_Model_RAB Мой_46EE.2011(v1.0)_INDEX.STATION.2012(v1.0)_" xfId="25"/>
    <cellStyle name="_Model_RAB Мой_46EE.2011(v1.0)_INDEX.STATION.2012(v2.0)" xfId="26"/>
    <cellStyle name="_Model_RAB Мой_ARMRAZR" xfId="27"/>
    <cellStyle name="_Model_RAB Мой_BALANCE.WARM.2011YEAR.NEW.UPDATE.SCHEME" xfId="28"/>
    <cellStyle name="_Model_RAB Мой_EE.2REK.P2011.4.78(v0.3)" xfId="29"/>
    <cellStyle name="_Model_RAB Мой_INVEST.EE.PLAN.4.78(v0.1)" xfId="30"/>
    <cellStyle name="_Model_RAB Мой_INVEST.EE.PLAN.4.78(v0.3)" xfId="31"/>
    <cellStyle name="_Model_RAB Мой_INVEST.PLAN.4.78(v0.1)" xfId="32"/>
    <cellStyle name="_Model_RAB Мой_INVEST.WARM.PLAN.4.78(v0.1)" xfId="33"/>
    <cellStyle name="_Model_RAB Мой_INVEST_WARM_PLAN" xfId="34"/>
    <cellStyle name="_Model_RAB Мой_NADB.JNVLS.APTEKA.2011(v1.3.3)" xfId="35"/>
    <cellStyle name="_Model_RAB Мой_NADB.JNVLS.APTEKA.2011(v1.3.3)_INDEX.STATION.2012(v1.0)_" xfId="36"/>
    <cellStyle name="_Model_RAB Мой_NADB.JNVLS.APTEKA.2011(v1.3.3)_INDEX.STATION.2012(v2.0)" xfId="37"/>
    <cellStyle name="_Model_RAB Мой_NADB.JNVLS.APTEKA.2011(v1.3.4)" xfId="38"/>
    <cellStyle name="_Model_RAB Мой_NADB.JNVLS.APTEKA.2011(v1.3.4)_INDEX.STATION.2012(v1.0)_" xfId="39"/>
    <cellStyle name="_Model_RAB Мой_NADB.JNVLS.APTEKA.2011(v1.3.4)_INDEX.STATION.2012(v2.0)" xfId="40"/>
    <cellStyle name="_Model_RAB Мой_PREDEL.JKH.UTV.2011(v1.0.1)" xfId="41"/>
    <cellStyle name="_Model_RAB Мой_PREDEL.JKH.UTV.2011(v1.0.1)_INDEX.STATION.2012(v1.0)_" xfId="42"/>
    <cellStyle name="_Model_RAB Мой_PREDEL.JKH.UTV.2011(v1.0.1)_INDEX.STATION.2012(v2.0)" xfId="43"/>
    <cellStyle name="_Model_RAB Мой_TEST.TEMPLATE" xfId="44"/>
    <cellStyle name="_Model_RAB Мой_UPDATE.46EE.2011.TO.1.1" xfId="45"/>
    <cellStyle name="_Model_RAB Мой_UPDATE.BALANCE.WARM.2011YEAR.TO.1.1" xfId="46"/>
    <cellStyle name="_Model_RAB Мой_UPDATE.BALANCE.WARM.2011YEAR.TO.1.1_INDEX.STATION.2012(v1.0)_" xfId="47"/>
    <cellStyle name="_Model_RAB Мой_UPDATE.BALANCE.WARM.2011YEAR.TO.1.1_INDEX.STATION.2012(v2.0)" xfId="48"/>
    <cellStyle name="_Model_RAB Мой_UPDATE.BALANCE.WARM.2011YEAR.TO.1.1_OREP.KU.2011.MONTHLY.02(v1.1)" xfId="49"/>
    <cellStyle name="_Model_RAB_MRSK_svod" xfId="50"/>
    <cellStyle name="_Model_RAB_MRSK_svod 2" xfId="51"/>
    <cellStyle name="_Model_RAB_MRSK_svod 2_OREP.KU.2011.MONTHLY.02(v0.1)" xfId="52"/>
    <cellStyle name="_Model_RAB_MRSK_svod 2_OREP.KU.2011.MONTHLY.02(v0.4)" xfId="53"/>
    <cellStyle name="_Model_RAB_MRSK_svod 2_OREP.KU.2011.MONTHLY.11(v1.4)" xfId="54"/>
    <cellStyle name="_Model_RAB_MRSK_svod 2_UPDATE.OREP.KU.2011.MONTHLY.02.TO.1.2" xfId="55"/>
    <cellStyle name="_Model_RAB_MRSK_svod_46EE.2011(v1.0)" xfId="56"/>
    <cellStyle name="_Model_RAB_MRSK_svod_46EE.2011(v1.0)_INDEX.STATION.2012(v1.0)_" xfId="57"/>
    <cellStyle name="_Model_RAB_MRSK_svod_46EE.2011(v1.0)_INDEX.STATION.2012(v2.0)" xfId="58"/>
    <cellStyle name="_Model_RAB_MRSK_svod_ARMRAZR" xfId="59"/>
    <cellStyle name="_Model_RAB_MRSK_svod_BALANCE.WARM.2011YEAR.NEW.UPDATE.SCHEME" xfId="60"/>
    <cellStyle name="_Model_RAB_MRSK_svod_EE.2REK.P2011.4.78(v0.3)" xfId="61"/>
    <cellStyle name="_Model_RAB_MRSK_svod_INVEST.EE.PLAN.4.78(v0.1)" xfId="62"/>
    <cellStyle name="_Model_RAB_MRSK_svod_INVEST.EE.PLAN.4.78(v0.3)" xfId="63"/>
    <cellStyle name="_Model_RAB_MRSK_svod_INVEST.PLAN.4.78(v0.1)" xfId="64"/>
    <cellStyle name="_Model_RAB_MRSK_svod_INVEST.WARM.PLAN.4.78(v0.1)" xfId="65"/>
    <cellStyle name="_Model_RAB_MRSK_svod_INVEST_WARM_PLAN" xfId="66"/>
    <cellStyle name="_Model_RAB_MRSK_svod_NADB.JNVLS.APTEKA.2011(v1.3.3)" xfId="67"/>
    <cellStyle name="_Model_RAB_MRSK_svod_NADB.JNVLS.APTEKA.2011(v1.3.3)_INDEX.STATION.2012(v1.0)_" xfId="68"/>
    <cellStyle name="_Model_RAB_MRSK_svod_NADB.JNVLS.APTEKA.2011(v1.3.3)_INDEX.STATION.2012(v2.0)" xfId="69"/>
    <cellStyle name="_Model_RAB_MRSK_svod_NADB.JNVLS.APTEKA.2011(v1.3.4)" xfId="70"/>
    <cellStyle name="_Model_RAB_MRSK_svod_NADB.JNVLS.APTEKA.2011(v1.3.4)_INDEX.STATION.2012(v1.0)_" xfId="71"/>
    <cellStyle name="_Model_RAB_MRSK_svod_NADB.JNVLS.APTEKA.2011(v1.3.4)_INDEX.STATION.2012(v2.0)" xfId="72"/>
    <cellStyle name="_Model_RAB_MRSK_svod_PREDEL.JKH.UTV.2011(v1.0.1)" xfId="73"/>
    <cellStyle name="_Model_RAB_MRSK_svod_PREDEL.JKH.UTV.2011(v1.0.1)_INDEX.STATION.2012(v1.0)_" xfId="74"/>
    <cellStyle name="_Model_RAB_MRSK_svod_PREDEL.JKH.UTV.2011(v1.0.1)_INDEX.STATION.2012(v2.0)" xfId="75"/>
    <cellStyle name="_Model_RAB_MRSK_svod_TEST.TEMPLATE" xfId="76"/>
    <cellStyle name="_Model_RAB_MRSK_svod_UPDATE.46EE.2011.TO.1.1" xfId="77"/>
    <cellStyle name="_Model_RAB_MRSK_svod_UPDATE.BALANCE.WARM.2011YEAR.TO.1.1" xfId="78"/>
    <cellStyle name="_Model_RAB_MRSK_svod_UPDATE.BALANCE.WARM.2011YEAR.TO.1.1_INDEX.STATION.2012(v1.0)_" xfId="79"/>
    <cellStyle name="_Model_RAB_MRSK_svod_UPDATE.BALANCE.WARM.2011YEAR.TO.1.1_INDEX.STATION.2012(v2.0)" xfId="80"/>
    <cellStyle name="_Model_RAB_MRSK_svod_UPDATE.BALANCE.WARM.2011YEAR.TO.1.1_OREP.KU.2011.MONTHLY.02(v1.1)" xfId="81"/>
    <cellStyle name="_Plug" xfId="82"/>
    <cellStyle name="_АГ" xfId="83"/>
    <cellStyle name="_АГ_Анализ ЭЭ на 2009г (отчет ОГЭ)" xfId="84"/>
    <cellStyle name="_АГ_Калуга (июнь)" xfId="85"/>
    <cellStyle name="_АГ_Омск (июнь)" xfId="86"/>
    <cellStyle name="_АГ_Оренбург" xfId="87"/>
    <cellStyle name="_АГ_Приложение 6 - Формат скользящего бюджета и отчетности 20081" xfId="88"/>
    <cellStyle name="_АГ_Тверь (июнь)" xfId="89"/>
    <cellStyle name="_АГ_Тверь 27.05.08" xfId="90"/>
    <cellStyle name="_АГ_Тверь 27.05.08 2" xfId="91"/>
    <cellStyle name="_АГ_Тверь 27.05.08_Расшифровки CF" xfId="92"/>
    <cellStyle name="_АГ_Тверь 27.05.08_шаблон презентационных форм" xfId="93"/>
    <cellStyle name="_АГ_Форма для бюджета 2009-2013" xfId="94"/>
    <cellStyle name="_АГ_ФОРМА ДЛЯ БЮДЖЕТА 2009-2013 для БК" xfId="95"/>
    <cellStyle name="_АГ_Формат анализ ЭЭ 20.08.08" xfId="96"/>
    <cellStyle name="_АГ_Формат отчетности 2008" xfId="97"/>
    <cellStyle name="_АГ_Формы по ээ и произ пок-лям" xfId="98"/>
    <cellStyle name="_АГ_шаблон презентационных форм" xfId="99"/>
    <cellStyle name="_АГ_шаблон презентационных форм_Расшифровки CF" xfId="100"/>
    <cellStyle name="_Бюджет2006_ПОКАЗАТЕЛИ СВОДНЫЕ" xfId="101"/>
    <cellStyle name="_ВО ОП ТЭС-ОТ- 2007" xfId="102"/>
    <cellStyle name="_ВФ ОАО ТЭС-ОТ- 2009" xfId="103"/>
    <cellStyle name="_выручка по присоединениям2" xfId="104"/>
    <cellStyle name="_Договор аренды ЯЭ с разбивкой" xfId="105"/>
    <cellStyle name="_Защита ФЗП" xfId="106"/>
    <cellStyle name="_Исходные данные для модели" xfId="107"/>
    <cellStyle name="_Консолидация-2008-проект-new" xfId="108"/>
    <cellStyle name="_МОДЕЛЬ_1 (2)" xfId="109"/>
    <cellStyle name="_МОДЕЛЬ_1 (2) 2" xfId="110"/>
    <cellStyle name="_МОДЕЛЬ_1 (2) 2_OREP.KU.2011.MONTHLY.02(v0.1)" xfId="111"/>
    <cellStyle name="_МОДЕЛЬ_1 (2) 2_OREP.KU.2011.MONTHLY.02(v0.4)" xfId="112"/>
    <cellStyle name="_МОДЕЛЬ_1 (2) 2_OREP.KU.2011.MONTHLY.11(v1.4)" xfId="113"/>
    <cellStyle name="_МОДЕЛЬ_1 (2) 2_UPDATE.OREP.KU.2011.MONTHLY.02.TO.1.2" xfId="114"/>
    <cellStyle name="_МОДЕЛЬ_1 (2)_46EE.2011(v1.0)" xfId="115"/>
    <cellStyle name="_МОДЕЛЬ_1 (2)_46EE.2011(v1.0)_INDEX.STATION.2012(v1.0)_" xfId="116"/>
    <cellStyle name="_МОДЕЛЬ_1 (2)_46EE.2011(v1.0)_INDEX.STATION.2012(v2.0)" xfId="117"/>
    <cellStyle name="_МОДЕЛЬ_1 (2)_ARMRAZR" xfId="118"/>
    <cellStyle name="_МОДЕЛЬ_1 (2)_BALANCE.WARM.2011YEAR.NEW.UPDATE.SCHEME" xfId="119"/>
    <cellStyle name="_МОДЕЛЬ_1 (2)_EE.2REK.P2011.4.78(v0.3)" xfId="120"/>
    <cellStyle name="_МОДЕЛЬ_1 (2)_INVEST.EE.PLAN.4.78(v0.1)" xfId="121"/>
    <cellStyle name="_МОДЕЛЬ_1 (2)_INVEST.EE.PLAN.4.78(v0.3)" xfId="122"/>
    <cellStyle name="_МОДЕЛЬ_1 (2)_INVEST.PLAN.4.78(v0.1)" xfId="123"/>
    <cellStyle name="_МОДЕЛЬ_1 (2)_INVEST.WARM.PLAN.4.78(v0.1)" xfId="124"/>
    <cellStyle name="_МОДЕЛЬ_1 (2)_INVEST_WARM_PLAN" xfId="125"/>
    <cellStyle name="_МОДЕЛЬ_1 (2)_NADB.JNVLS.APTEKA.2011(v1.3.3)" xfId="126"/>
    <cellStyle name="_МОДЕЛЬ_1 (2)_NADB.JNVLS.APTEKA.2011(v1.3.3)_INDEX.STATION.2012(v1.0)_" xfId="127"/>
    <cellStyle name="_МОДЕЛЬ_1 (2)_NADB.JNVLS.APTEKA.2011(v1.3.3)_INDEX.STATION.2012(v2.0)" xfId="128"/>
    <cellStyle name="_МОДЕЛЬ_1 (2)_NADB.JNVLS.APTEKA.2011(v1.3.4)" xfId="129"/>
    <cellStyle name="_МОДЕЛЬ_1 (2)_NADB.JNVLS.APTEKA.2011(v1.3.4)_INDEX.STATION.2012(v1.0)_" xfId="130"/>
    <cellStyle name="_МОДЕЛЬ_1 (2)_NADB.JNVLS.APTEKA.2011(v1.3.4)_INDEX.STATION.2012(v2.0)" xfId="131"/>
    <cellStyle name="_МОДЕЛЬ_1 (2)_PREDEL.JKH.UTV.2011(v1.0.1)" xfId="132"/>
    <cellStyle name="_МОДЕЛЬ_1 (2)_PREDEL.JKH.UTV.2011(v1.0.1)_INDEX.STATION.2012(v1.0)_" xfId="133"/>
    <cellStyle name="_МОДЕЛЬ_1 (2)_PREDEL.JKH.UTV.2011(v1.0.1)_INDEX.STATION.2012(v2.0)" xfId="134"/>
    <cellStyle name="_МОДЕЛЬ_1 (2)_TEST.TEMPLATE" xfId="135"/>
    <cellStyle name="_МОДЕЛЬ_1 (2)_UPDATE.46EE.2011.TO.1.1" xfId="136"/>
    <cellStyle name="_МОДЕЛЬ_1 (2)_UPDATE.BALANCE.WARM.2011YEAR.TO.1.1" xfId="137"/>
    <cellStyle name="_МОДЕЛЬ_1 (2)_UPDATE.BALANCE.WARM.2011YEAR.TO.1.1_INDEX.STATION.2012(v1.0)_" xfId="138"/>
    <cellStyle name="_МОДЕЛЬ_1 (2)_UPDATE.BALANCE.WARM.2011YEAR.TO.1.1_INDEX.STATION.2012(v2.0)" xfId="139"/>
    <cellStyle name="_МОДЕЛЬ_1 (2)_UPDATE.BALANCE.WARM.2011YEAR.TO.1.1_OREP.KU.2011.MONTHLY.02(v1.1)" xfId="140"/>
    <cellStyle name="_НВВ 2009 постатейно свод по филиалам_09_02_09" xfId="141"/>
    <cellStyle name="_НВВ 2009 постатейно свод по филиалам_для Валентина" xfId="142"/>
    <cellStyle name="_Омск" xfId="143"/>
    <cellStyle name="_ОТ ИД 2009" xfId="144"/>
    <cellStyle name="_пр 5 тариф RAB" xfId="145"/>
    <cellStyle name="_пр 5 тариф RAB 2" xfId="146"/>
    <cellStyle name="_пр 5 тариф RAB 2_OREP.KU.2011.MONTHLY.02(v0.1)" xfId="147"/>
    <cellStyle name="_пр 5 тариф RAB 2_OREP.KU.2011.MONTHLY.02(v0.4)" xfId="148"/>
    <cellStyle name="_пр 5 тариф RAB 2_OREP.KU.2011.MONTHLY.11(v1.4)" xfId="149"/>
    <cellStyle name="_пр 5 тариф RAB 2_UPDATE.OREP.KU.2011.MONTHLY.02.TO.1.2" xfId="150"/>
    <cellStyle name="_пр 5 тариф RAB_46EE.2011(v1.0)" xfId="151"/>
    <cellStyle name="_пр 5 тариф RAB_46EE.2011(v1.0)_INDEX.STATION.2012(v1.0)_" xfId="152"/>
    <cellStyle name="_пр 5 тариф RAB_46EE.2011(v1.0)_INDEX.STATION.2012(v2.0)" xfId="153"/>
    <cellStyle name="_пр 5 тариф RAB_ARMRAZR" xfId="154"/>
    <cellStyle name="_пр 5 тариф RAB_BALANCE.WARM.2011YEAR.NEW.UPDATE.SCHEME" xfId="155"/>
    <cellStyle name="_пр 5 тариф RAB_EE.2REK.P2011.4.78(v0.3)" xfId="156"/>
    <cellStyle name="_пр 5 тариф RAB_INVEST.EE.PLAN.4.78(v0.1)" xfId="157"/>
    <cellStyle name="_пр 5 тариф RAB_INVEST.EE.PLAN.4.78(v0.3)" xfId="158"/>
    <cellStyle name="_пр 5 тариф RAB_INVEST.PLAN.4.78(v0.1)" xfId="159"/>
    <cellStyle name="_пр 5 тариф RAB_INVEST.WARM.PLAN.4.78(v0.1)" xfId="160"/>
    <cellStyle name="_пр 5 тариф RAB_INVEST_WARM_PLAN" xfId="161"/>
    <cellStyle name="_пр 5 тариф RAB_NADB.JNVLS.APTEKA.2011(v1.3.3)" xfId="162"/>
    <cellStyle name="_пр 5 тариф RAB_NADB.JNVLS.APTEKA.2011(v1.3.3)_INDEX.STATION.2012(v1.0)_" xfId="163"/>
    <cellStyle name="_пр 5 тариф RAB_NADB.JNVLS.APTEKA.2011(v1.3.3)_INDEX.STATION.2012(v2.0)" xfId="164"/>
    <cellStyle name="_пр 5 тариф RAB_NADB.JNVLS.APTEKA.2011(v1.3.4)" xfId="165"/>
    <cellStyle name="_пр 5 тариф RAB_NADB.JNVLS.APTEKA.2011(v1.3.4)_INDEX.STATION.2012(v1.0)_" xfId="166"/>
    <cellStyle name="_пр 5 тариф RAB_NADB.JNVLS.APTEKA.2011(v1.3.4)_INDEX.STATION.2012(v2.0)" xfId="167"/>
    <cellStyle name="_пр 5 тариф RAB_PREDEL.JKH.UTV.2011(v1.0.1)" xfId="168"/>
    <cellStyle name="_пр 5 тариф RAB_PREDEL.JKH.UTV.2011(v1.0.1)_INDEX.STATION.2012(v1.0)_" xfId="169"/>
    <cellStyle name="_пр 5 тариф RAB_PREDEL.JKH.UTV.2011(v1.0.1)_INDEX.STATION.2012(v2.0)" xfId="170"/>
    <cellStyle name="_пр 5 тариф RAB_TEST.TEMPLATE" xfId="171"/>
    <cellStyle name="_пр 5 тариф RAB_UPDATE.46EE.2011.TO.1.1" xfId="172"/>
    <cellStyle name="_пр 5 тариф RAB_UPDATE.BALANCE.WARM.2011YEAR.TO.1.1" xfId="173"/>
    <cellStyle name="_пр 5 тариф RAB_UPDATE.BALANCE.WARM.2011YEAR.TO.1.1_INDEX.STATION.2012(v1.0)_" xfId="174"/>
    <cellStyle name="_пр 5 тариф RAB_UPDATE.BALANCE.WARM.2011YEAR.TO.1.1_INDEX.STATION.2012(v2.0)" xfId="175"/>
    <cellStyle name="_пр 5 тариф RAB_UPDATE.BALANCE.WARM.2011YEAR.TO.1.1_OREP.KU.2011.MONTHLY.02(v1.1)" xfId="176"/>
    <cellStyle name="_Предожение _ДБП_2009 г ( согласованные БП)  (2)" xfId="177"/>
    <cellStyle name="_ПРИЛ. 2003_ЧТЭ" xfId="178"/>
    <cellStyle name="_Приложение 2 0806 факт" xfId="179"/>
    <cellStyle name="_Приложение МТС-3-КС" xfId="180"/>
    <cellStyle name="_Приложение-МТС--2-1" xfId="181"/>
    <cellStyle name="_Расчет RAB_22072008" xfId="182"/>
    <cellStyle name="_Расчет RAB_22072008 2" xfId="183"/>
    <cellStyle name="_Расчет RAB_22072008 2_OREP.KU.2011.MONTHLY.02(v0.1)" xfId="184"/>
    <cellStyle name="_Расчет RAB_22072008 2_OREP.KU.2011.MONTHLY.02(v0.4)" xfId="185"/>
    <cellStyle name="_Расчет RAB_22072008 2_OREP.KU.2011.MONTHLY.11(v1.4)" xfId="186"/>
    <cellStyle name="_Расчет RAB_22072008 2_UPDATE.OREP.KU.2011.MONTHLY.02.TO.1.2" xfId="187"/>
    <cellStyle name="_Расчет RAB_22072008_46EE.2011(v1.0)" xfId="188"/>
    <cellStyle name="_Расчет RAB_22072008_46EE.2011(v1.0)_INDEX.STATION.2012(v1.0)_" xfId="189"/>
    <cellStyle name="_Расчет RAB_22072008_46EE.2011(v1.0)_INDEX.STATION.2012(v2.0)" xfId="190"/>
    <cellStyle name="_Расчет RAB_22072008_ARMRAZR" xfId="191"/>
    <cellStyle name="_Расчет RAB_22072008_BALANCE.WARM.2011YEAR.NEW.UPDATE.SCHEME" xfId="192"/>
    <cellStyle name="_Расчет RAB_22072008_EE.2REK.P2011.4.78(v0.3)" xfId="193"/>
    <cellStyle name="_Расчет RAB_22072008_INVEST.EE.PLAN.4.78(v0.1)" xfId="194"/>
    <cellStyle name="_Расчет RAB_22072008_INVEST.EE.PLAN.4.78(v0.3)" xfId="195"/>
    <cellStyle name="_Расчет RAB_22072008_INVEST.PLAN.4.78(v0.1)" xfId="196"/>
    <cellStyle name="_Расчет RAB_22072008_INVEST.WARM.PLAN.4.78(v0.1)" xfId="197"/>
    <cellStyle name="_Расчет RAB_22072008_INVEST_WARM_PLAN" xfId="198"/>
    <cellStyle name="_Расчет RAB_22072008_NADB.JNVLS.APTEKA.2011(v1.3.3)" xfId="199"/>
    <cellStyle name="_Расчет RAB_22072008_NADB.JNVLS.APTEKA.2011(v1.3.3)_INDEX.STATION.2012(v1.0)_" xfId="200"/>
    <cellStyle name="_Расчет RAB_22072008_NADB.JNVLS.APTEKA.2011(v1.3.3)_INDEX.STATION.2012(v2.0)" xfId="201"/>
    <cellStyle name="_Расчет RAB_22072008_NADB.JNVLS.APTEKA.2011(v1.3.4)" xfId="202"/>
    <cellStyle name="_Расчет RAB_22072008_NADB.JNVLS.APTEKA.2011(v1.3.4)_INDEX.STATION.2012(v1.0)_" xfId="203"/>
    <cellStyle name="_Расчет RAB_22072008_NADB.JNVLS.APTEKA.2011(v1.3.4)_INDEX.STATION.2012(v2.0)" xfId="204"/>
    <cellStyle name="_Расчет RAB_22072008_PREDEL.JKH.UTV.2011(v1.0.1)" xfId="205"/>
    <cellStyle name="_Расчет RAB_22072008_PREDEL.JKH.UTV.2011(v1.0.1)_INDEX.STATION.2012(v1.0)_" xfId="206"/>
    <cellStyle name="_Расчет RAB_22072008_PREDEL.JKH.UTV.2011(v1.0.1)_INDEX.STATION.2012(v2.0)" xfId="207"/>
    <cellStyle name="_Расчет RAB_22072008_TEST.TEMPLATE" xfId="208"/>
    <cellStyle name="_Расчет RAB_22072008_UPDATE.46EE.2011.TO.1.1" xfId="209"/>
    <cellStyle name="_Расчет RAB_22072008_UPDATE.BALANCE.WARM.2011YEAR.TO.1.1" xfId="210"/>
    <cellStyle name="_Расчет RAB_22072008_UPDATE.BALANCE.WARM.2011YEAR.TO.1.1_INDEX.STATION.2012(v1.0)_" xfId="211"/>
    <cellStyle name="_Расчет RAB_22072008_UPDATE.BALANCE.WARM.2011YEAR.TO.1.1_INDEX.STATION.2012(v2.0)" xfId="212"/>
    <cellStyle name="_Расчет RAB_22072008_UPDATE.BALANCE.WARM.2011YEAR.TO.1.1_OREP.KU.2011.MONTHLY.02(v1.1)" xfId="213"/>
    <cellStyle name="_Расчет RAB_Лен и МОЭСК_с 2010 года_14.04.2009_со сглаж_version 3.0_без ФСК" xfId="214"/>
    <cellStyle name="_Расчет RAB_Лен и МОЭСК_с 2010 года_14.04.2009_со сглаж_version 3.0_без ФСК 2" xfId="215"/>
    <cellStyle name="_Расчет RAB_Лен и МОЭСК_с 2010 года_14.04.2009_со сглаж_version 3.0_без ФСК 2_OREP.KU.2011.MONTHLY.02(v0.1)" xfId="216"/>
    <cellStyle name="_Расчет RAB_Лен и МОЭСК_с 2010 года_14.04.2009_со сглаж_version 3.0_без ФСК 2_OREP.KU.2011.MONTHLY.02(v0.4)" xfId="217"/>
    <cellStyle name="_Расчет RAB_Лен и МОЭСК_с 2010 года_14.04.2009_со сглаж_version 3.0_без ФСК 2_OREP.KU.2011.MONTHLY.11(v1.4)" xfId="218"/>
    <cellStyle name="_Расчет RAB_Лен и МОЭСК_с 2010 года_14.04.2009_со сглаж_version 3.0_без ФСК 2_UPDATE.OREP.KU.2011.MONTHLY.02.TO.1.2" xfId="219"/>
    <cellStyle name="_Расчет RAB_Лен и МОЭСК_с 2010 года_14.04.2009_со сглаж_version 3.0_без ФСК_46EE.2011(v1.0)" xfId="220"/>
    <cellStyle name="_Расчет RAB_Лен и МОЭСК_с 2010 года_14.04.2009_со сглаж_version 3.0_без ФСК_46EE.2011(v1.0)_INDEX.STATION.2012(v1.0)_" xfId="221"/>
    <cellStyle name="_Расчет RAB_Лен и МОЭСК_с 2010 года_14.04.2009_со сглаж_version 3.0_без ФСК_46EE.2011(v1.0)_INDEX.STATION.2012(v2.0)" xfId="222"/>
    <cellStyle name="_Расчет RAB_Лен и МОЭСК_с 2010 года_14.04.2009_со сглаж_version 3.0_без ФСК_ARMRAZR" xfId="223"/>
    <cellStyle name="_Расчет RAB_Лен и МОЭСК_с 2010 года_14.04.2009_со сглаж_version 3.0_без ФСК_BALANCE.WARM.2011YEAR.NEW.UPDATE.SCHEME" xfId="224"/>
    <cellStyle name="_Расчет RAB_Лен и МОЭСК_с 2010 года_14.04.2009_со сглаж_version 3.0_без ФСК_EE.2REK.P2011.4.78(v0.3)" xfId="225"/>
    <cellStyle name="_Расчет RAB_Лен и МОЭСК_с 2010 года_14.04.2009_со сглаж_version 3.0_без ФСК_INVEST.EE.PLAN.4.78(v0.1)" xfId="226"/>
    <cellStyle name="_Расчет RAB_Лен и МОЭСК_с 2010 года_14.04.2009_со сглаж_version 3.0_без ФСК_INVEST.EE.PLAN.4.78(v0.3)" xfId="227"/>
    <cellStyle name="_Расчет RAB_Лен и МОЭСК_с 2010 года_14.04.2009_со сглаж_version 3.0_без ФСК_INVEST.PLAN.4.78(v0.1)" xfId="228"/>
    <cellStyle name="_Расчет RAB_Лен и МОЭСК_с 2010 года_14.04.2009_со сглаж_version 3.0_без ФСК_INVEST.WARM.PLAN.4.78(v0.1)" xfId="229"/>
    <cellStyle name="_Расчет RAB_Лен и МОЭСК_с 2010 года_14.04.2009_со сглаж_version 3.0_без ФСК_INVEST_WARM_PLAN" xfId="230"/>
    <cellStyle name="_Расчет RAB_Лен и МОЭСК_с 2010 года_14.04.2009_со сглаж_version 3.0_без ФСК_NADB.JNVLS.APTEKA.2011(v1.3.3)" xfId="231"/>
    <cellStyle name="_Расчет RAB_Лен и МОЭСК_с 2010 года_14.04.2009_со сглаж_version 3.0_без ФСК_NADB.JNVLS.APTEKA.2011(v1.3.3)_INDEX.STATION.2012(v1.0)_" xfId="232"/>
    <cellStyle name="_Расчет RAB_Лен и МОЭСК_с 2010 года_14.04.2009_со сглаж_version 3.0_без ФСК_NADB.JNVLS.APTEKA.2011(v1.3.3)_INDEX.STATION.2012(v2.0)" xfId="233"/>
    <cellStyle name="_Расчет RAB_Лен и МОЭСК_с 2010 года_14.04.2009_со сглаж_version 3.0_без ФСК_NADB.JNVLS.APTEKA.2011(v1.3.4)" xfId="234"/>
    <cellStyle name="_Расчет RAB_Лен и МОЭСК_с 2010 года_14.04.2009_со сглаж_version 3.0_без ФСК_NADB.JNVLS.APTEKA.2011(v1.3.4)_INDEX.STATION.2012(v1.0)_" xfId="235"/>
    <cellStyle name="_Расчет RAB_Лен и МОЭСК_с 2010 года_14.04.2009_со сглаж_version 3.0_без ФСК_NADB.JNVLS.APTEKA.2011(v1.3.4)_INDEX.STATION.2012(v2.0)" xfId="236"/>
    <cellStyle name="_Расчет RAB_Лен и МОЭСК_с 2010 года_14.04.2009_со сглаж_version 3.0_без ФСК_PREDEL.JKH.UTV.2011(v1.0.1)" xfId="237"/>
    <cellStyle name="_Расчет RAB_Лен и МОЭСК_с 2010 года_14.04.2009_со сглаж_version 3.0_без ФСК_PREDEL.JKH.UTV.2011(v1.0.1)_INDEX.STATION.2012(v1.0)_" xfId="238"/>
    <cellStyle name="_Расчет RAB_Лен и МОЭСК_с 2010 года_14.04.2009_со сглаж_version 3.0_без ФСК_PREDEL.JKH.UTV.2011(v1.0.1)_INDEX.STATION.2012(v2.0)" xfId="239"/>
    <cellStyle name="_Расчет RAB_Лен и МОЭСК_с 2010 года_14.04.2009_со сглаж_version 3.0_без ФСК_TEST.TEMPLATE" xfId="240"/>
    <cellStyle name="_Расчет RAB_Лен и МОЭСК_с 2010 года_14.04.2009_со сглаж_version 3.0_без ФСК_UPDATE.46EE.2011.TO.1.1" xfId="241"/>
    <cellStyle name="_Расчет RAB_Лен и МОЭСК_с 2010 года_14.04.2009_со сглаж_version 3.0_без ФСК_UPDATE.BALANCE.WARM.2011YEAR.TO.1.1" xfId="242"/>
    <cellStyle name="_Расчет RAB_Лен и МОЭСК_с 2010 года_14.04.2009_со сглаж_version 3.0_без ФСК_UPDATE.BALANCE.WARM.2011YEAR.TO.1.1_INDEX.STATION.2012(v1.0)_" xfId="243"/>
    <cellStyle name="_Расчет RAB_Лен и МОЭСК_с 2010 года_14.04.2009_со сглаж_version 3.0_без ФСК_UPDATE.BALANCE.WARM.2011YEAR.TO.1.1_INDEX.STATION.2012(v2.0)" xfId="244"/>
    <cellStyle name="_Расчет RAB_Лен и МОЭСК_с 2010 года_14.04.2009_со сглаж_version 3.0_без ФСК_UPDATE.BALANCE.WARM.2011YEAR.TO.1.1_OREP.KU.2011.MONTHLY.02(v1.1)" xfId="245"/>
    <cellStyle name="_Свод по ИПР (2)" xfId="246"/>
    <cellStyle name="_Справочник затрат_ЛХ_20.10.05" xfId="247"/>
    <cellStyle name="_таблицы для расчетов28-04-08_2006-2009_прибыль корр_по ИА" xfId="248"/>
    <cellStyle name="_таблицы для расчетов28-04-08_2006-2009с ИА" xfId="249"/>
    <cellStyle name="_Форма 6  РТК.xls(отчет по Адр пр. ЛО)" xfId="250"/>
    <cellStyle name="_Формат разбивки по МРСК_РСК" xfId="251"/>
    <cellStyle name="_Формат_для Согласования" xfId="252"/>
    <cellStyle name="_ХХХ Прил 2 Формы бюджетных документов 2007" xfId="253"/>
    <cellStyle name="_экон.форм-т ВО 1 с разбивкой" xfId="254"/>
    <cellStyle name="’К‰Э [0.00]" xfId="255"/>
    <cellStyle name="”€ќђќ‘ћ‚›‰" xfId="256"/>
    <cellStyle name="”€љ‘€ђћ‚ђќќ›‰" xfId="257"/>
    <cellStyle name="”ќђќ‘ћ‚›‰" xfId="258"/>
    <cellStyle name="”љ‘ђћ‚ђќќ›‰" xfId="259"/>
    <cellStyle name="„…ќ…†ќ›‰" xfId="260"/>
    <cellStyle name="„ђ’ђ" xfId="261"/>
    <cellStyle name="€’ћѓћ‚›‰" xfId="262"/>
    <cellStyle name="‡ђѓћ‹ћ‚ћљ1" xfId="263"/>
    <cellStyle name="‡ђѓћ‹ћ‚ћљ2" xfId="264"/>
    <cellStyle name="’ћѓћ‚›‰" xfId="265"/>
    <cellStyle name="0,0_x000d__x000a_NA_x000d__x000a_ 2" xfId="266"/>
    <cellStyle name="1Normal" xfId="267"/>
    <cellStyle name="20% - Accent1" xfId="268"/>
    <cellStyle name="20% - Accent1 2" xfId="269"/>
    <cellStyle name="20% - Accent1 3" xfId="270"/>
    <cellStyle name="20% - Accent1 4" xfId="271"/>
    <cellStyle name="20% - Accent1 5" xfId="272"/>
    <cellStyle name="20% - Accent1_46EE.2011(v1.0)" xfId="273"/>
    <cellStyle name="20% - Accent2" xfId="274"/>
    <cellStyle name="20% - Accent2 2" xfId="275"/>
    <cellStyle name="20% - Accent2 3" xfId="276"/>
    <cellStyle name="20% - Accent2 4" xfId="277"/>
    <cellStyle name="20% - Accent2 5" xfId="278"/>
    <cellStyle name="20% - Accent2_46EE.2011(v1.0)" xfId="279"/>
    <cellStyle name="20% - Accent3" xfId="280"/>
    <cellStyle name="20% - Accent3 2" xfId="281"/>
    <cellStyle name="20% - Accent3 3" xfId="282"/>
    <cellStyle name="20% - Accent3 4" xfId="283"/>
    <cellStyle name="20% - Accent3 5" xfId="284"/>
    <cellStyle name="20% - Accent3_46EE.2011(v1.0)" xfId="285"/>
    <cellStyle name="20% - Accent4" xfId="286"/>
    <cellStyle name="20% - Accent4 2" xfId="287"/>
    <cellStyle name="20% - Accent4 3" xfId="288"/>
    <cellStyle name="20% - Accent4 4" xfId="289"/>
    <cellStyle name="20% - Accent4 5" xfId="290"/>
    <cellStyle name="20% - Accent4_46EE.2011(v1.0)" xfId="291"/>
    <cellStyle name="20% - Accent5" xfId="292"/>
    <cellStyle name="20% - Accent5 2" xfId="293"/>
    <cellStyle name="20% - Accent5 3" xfId="294"/>
    <cellStyle name="20% - Accent5 4" xfId="295"/>
    <cellStyle name="20% - Accent5 5" xfId="296"/>
    <cellStyle name="20% - Accent5_46EE.2011(v1.0)" xfId="297"/>
    <cellStyle name="20% - Accent6" xfId="298"/>
    <cellStyle name="20% - Accent6 2" xfId="299"/>
    <cellStyle name="20% - Accent6 3" xfId="300"/>
    <cellStyle name="20% - Accent6 4" xfId="301"/>
    <cellStyle name="20% - Accent6 5" xfId="302"/>
    <cellStyle name="20% - Accent6_46EE.2011(v1.0)" xfId="303"/>
    <cellStyle name="20% - Акцент1 10" xfId="304"/>
    <cellStyle name="20% - Акцент1 2" xfId="305"/>
    <cellStyle name="20% - Акцент1 2 2" xfId="306"/>
    <cellStyle name="20% - Акцент1 2 3" xfId="307"/>
    <cellStyle name="20% - Акцент1 2_46EE.2011(v1.0)" xfId="308"/>
    <cellStyle name="20% - Акцент1 3" xfId="309"/>
    <cellStyle name="20% - Акцент1 3 2" xfId="310"/>
    <cellStyle name="20% - Акцент1 3 3" xfId="311"/>
    <cellStyle name="20% - Акцент1 3_46EE.2011(v1.0)" xfId="312"/>
    <cellStyle name="20% - Акцент1 4" xfId="313"/>
    <cellStyle name="20% - Акцент1 4 2" xfId="314"/>
    <cellStyle name="20% - Акцент1 4 3" xfId="315"/>
    <cellStyle name="20% - Акцент1 4_46EE.2011(v1.0)" xfId="316"/>
    <cellStyle name="20% - Акцент1 5" xfId="317"/>
    <cellStyle name="20% - Акцент1 5 2" xfId="318"/>
    <cellStyle name="20% - Акцент1 5 3" xfId="319"/>
    <cellStyle name="20% - Акцент1 5_46EE.2011(v1.0)" xfId="320"/>
    <cellStyle name="20% - Акцент1 6" xfId="321"/>
    <cellStyle name="20% - Акцент1 6 2" xfId="322"/>
    <cellStyle name="20% - Акцент1 6 3" xfId="323"/>
    <cellStyle name="20% - Акцент1 6_46EE.2011(v1.0)" xfId="324"/>
    <cellStyle name="20% - Акцент1 7" xfId="325"/>
    <cellStyle name="20% - Акцент1 7 2" xfId="326"/>
    <cellStyle name="20% - Акцент1 7 3" xfId="327"/>
    <cellStyle name="20% - Акцент1 7_46EE.2011(v1.0)" xfId="328"/>
    <cellStyle name="20% - Акцент1 8" xfId="329"/>
    <cellStyle name="20% - Акцент1 8 2" xfId="330"/>
    <cellStyle name="20% - Акцент1 8 3" xfId="331"/>
    <cellStyle name="20% - Акцент1 8_46EE.2011(v1.0)" xfId="332"/>
    <cellStyle name="20% - Акцент1 9" xfId="333"/>
    <cellStyle name="20% - Акцент1 9 2" xfId="334"/>
    <cellStyle name="20% - Акцент1 9 3" xfId="335"/>
    <cellStyle name="20% - Акцент1 9_46EE.2011(v1.0)" xfId="336"/>
    <cellStyle name="20% - Акцент2 10" xfId="337"/>
    <cellStyle name="20% - Акцент2 2" xfId="338"/>
    <cellStyle name="20% - Акцент2 2 2" xfId="339"/>
    <cellStyle name="20% - Акцент2 2 3" xfId="340"/>
    <cellStyle name="20% - Акцент2 2_46EE.2011(v1.0)" xfId="341"/>
    <cellStyle name="20% - Акцент2 3" xfId="342"/>
    <cellStyle name="20% - Акцент2 3 2" xfId="343"/>
    <cellStyle name="20% - Акцент2 3 3" xfId="344"/>
    <cellStyle name="20% - Акцент2 3_46EE.2011(v1.0)" xfId="345"/>
    <cellStyle name="20% - Акцент2 4" xfId="346"/>
    <cellStyle name="20% - Акцент2 4 2" xfId="347"/>
    <cellStyle name="20% - Акцент2 4 3" xfId="348"/>
    <cellStyle name="20% - Акцент2 4_46EE.2011(v1.0)" xfId="349"/>
    <cellStyle name="20% - Акцент2 5" xfId="350"/>
    <cellStyle name="20% - Акцент2 5 2" xfId="351"/>
    <cellStyle name="20% - Акцент2 5 3" xfId="352"/>
    <cellStyle name="20% - Акцент2 5_46EE.2011(v1.0)" xfId="353"/>
    <cellStyle name="20% - Акцент2 6" xfId="354"/>
    <cellStyle name="20% - Акцент2 6 2" xfId="355"/>
    <cellStyle name="20% - Акцент2 6 3" xfId="356"/>
    <cellStyle name="20% - Акцент2 6_46EE.2011(v1.0)" xfId="357"/>
    <cellStyle name="20% - Акцент2 7" xfId="358"/>
    <cellStyle name="20% - Акцент2 7 2" xfId="359"/>
    <cellStyle name="20% - Акцент2 7 3" xfId="360"/>
    <cellStyle name="20% - Акцент2 7_46EE.2011(v1.0)" xfId="361"/>
    <cellStyle name="20% - Акцент2 8" xfId="362"/>
    <cellStyle name="20% - Акцент2 8 2" xfId="363"/>
    <cellStyle name="20% - Акцент2 8 3" xfId="364"/>
    <cellStyle name="20% - Акцент2 8_46EE.2011(v1.0)" xfId="365"/>
    <cellStyle name="20% - Акцент2 9" xfId="366"/>
    <cellStyle name="20% - Акцент2 9 2" xfId="367"/>
    <cellStyle name="20% - Акцент2 9 3" xfId="368"/>
    <cellStyle name="20% - Акцент2 9_46EE.2011(v1.0)" xfId="369"/>
    <cellStyle name="20% - Акцент3 10" xfId="370"/>
    <cellStyle name="20% - Акцент3 2" xfId="371"/>
    <cellStyle name="20% - Акцент3 2 2" xfId="372"/>
    <cellStyle name="20% - Акцент3 2 3" xfId="373"/>
    <cellStyle name="20% - Акцент3 2_46EE.2011(v1.0)" xfId="374"/>
    <cellStyle name="20% - Акцент3 3" xfId="375"/>
    <cellStyle name="20% - Акцент3 3 2" xfId="376"/>
    <cellStyle name="20% - Акцент3 3 3" xfId="377"/>
    <cellStyle name="20% - Акцент3 3_46EE.2011(v1.0)" xfId="378"/>
    <cellStyle name="20% - Акцент3 4" xfId="379"/>
    <cellStyle name="20% - Акцент3 4 2" xfId="380"/>
    <cellStyle name="20% - Акцент3 4 3" xfId="381"/>
    <cellStyle name="20% - Акцент3 4_46EE.2011(v1.0)" xfId="382"/>
    <cellStyle name="20% - Акцент3 5" xfId="383"/>
    <cellStyle name="20% - Акцент3 5 2" xfId="384"/>
    <cellStyle name="20% - Акцент3 5 3" xfId="385"/>
    <cellStyle name="20% - Акцент3 5_46EE.2011(v1.0)" xfId="386"/>
    <cellStyle name="20% - Акцент3 6" xfId="387"/>
    <cellStyle name="20% - Акцент3 6 2" xfId="388"/>
    <cellStyle name="20% - Акцент3 6 3" xfId="389"/>
    <cellStyle name="20% - Акцент3 6_46EE.2011(v1.0)" xfId="390"/>
    <cellStyle name="20% - Акцент3 7" xfId="391"/>
    <cellStyle name="20% - Акцент3 7 2" xfId="392"/>
    <cellStyle name="20% - Акцент3 7 3" xfId="393"/>
    <cellStyle name="20% - Акцент3 7_46EE.2011(v1.0)" xfId="394"/>
    <cellStyle name="20% - Акцент3 8" xfId="395"/>
    <cellStyle name="20% - Акцент3 8 2" xfId="396"/>
    <cellStyle name="20% - Акцент3 8 3" xfId="397"/>
    <cellStyle name="20% - Акцент3 8_46EE.2011(v1.0)" xfId="398"/>
    <cellStyle name="20% - Акцент3 9" xfId="399"/>
    <cellStyle name="20% - Акцент3 9 2" xfId="400"/>
    <cellStyle name="20% - Акцент3 9 3" xfId="401"/>
    <cellStyle name="20% - Акцент3 9_46EE.2011(v1.0)" xfId="402"/>
    <cellStyle name="20% - Акцент4 10" xfId="403"/>
    <cellStyle name="20% - Акцент4 2" xfId="404"/>
    <cellStyle name="20% - Акцент4 2 2" xfId="405"/>
    <cellStyle name="20% - Акцент4 2 3" xfId="406"/>
    <cellStyle name="20% - Акцент4 2_46EE.2011(v1.0)" xfId="407"/>
    <cellStyle name="20% - Акцент4 3" xfId="408"/>
    <cellStyle name="20% - Акцент4 3 2" xfId="409"/>
    <cellStyle name="20% - Акцент4 3 3" xfId="410"/>
    <cellStyle name="20% - Акцент4 3_46EE.2011(v1.0)" xfId="411"/>
    <cellStyle name="20% - Акцент4 4" xfId="412"/>
    <cellStyle name="20% - Акцент4 4 2" xfId="413"/>
    <cellStyle name="20% - Акцент4 4 3" xfId="414"/>
    <cellStyle name="20% - Акцент4 4_46EE.2011(v1.0)" xfId="415"/>
    <cellStyle name="20% - Акцент4 5" xfId="416"/>
    <cellStyle name="20% - Акцент4 5 2" xfId="417"/>
    <cellStyle name="20% - Акцент4 5 3" xfId="418"/>
    <cellStyle name="20% - Акцент4 5_46EE.2011(v1.0)" xfId="419"/>
    <cellStyle name="20% - Акцент4 6" xfId="420"/>
    <cellStyle name="20% - Акцент4 6 2" xfId="421"/>
    <cellStyle name="20% - Акцент4 6 3" xfId="422"/>
    <cellStyle name="20% - Акцент4 6_46EE.2011(v1.0)" xfId="423"/>
    <cellStyle name="20% - Акцент4 7" xfId="424"/>
    <cellStyle name="20% - Акцент4 7 2" xfId="425"/>
    <cellStyle name="20% - Акцент4 7 3" xfId="426"/>
    <cellStyle name="20% - Акцент4 7_46EE.2011(v1.0)" xfId="427"/>
    <cellStyle name="20% - Акцент4 8" xfId="428"/>
    <cellStyle name="20% - Акцент4 8 2" xfId="429"/>
    <cellStyle name="20% - Акцент4 8 3" xfId="430"/>
    <cellStyle name="20% - Акцент4 8_46EE.2011(v1.0)" xfId="431"/>
    <cellStyle name="20% - Акцент4 9" xfId="432"/>
    <cellStyle name="20% - Акцент4 9 2" xfId="433"/>
    <cellStyle name="20% - Акцент4 9 3" xfId="434"/>
    <cellStyle name="20% - Акцент4 9_46EE.2011(v1.0)" xfId="435"/>
    <cellStyle name="20% - Акцент5 10" xfId="436"/>
    <cellStyle name="20% - Акцент5 2" xfId="437"/>
    <cellStyle name="20% - Акцент5 2 2" xfId="438"/>
    <cellStyle name="20% - Акцент5 2 3" xfId="439"/>
    <cellStyle name="20% - Акцент5 2_46EE.2011(v1.0)" xfId="440"/>
    <cellStyle name="20% - Акцент5 3" xfId="441"/>
    <cellStyle name="20% - Акцент5 3 2" xfId="442"/>
    <cellStyle name="20% - Акцент5 3 3" xfId="443"/>
    <cellStyle name="20% - Акцент5 3_46EE.2011(v1.0)" xfId="444"/>
    <cellStyle name="20% - Акцент5 4" xfId="445"/>
    <cellStyle name="20% - Акцент5 4 2" xfId="446"/>
    <cellStyle name="20% - Акцент5 4 3" xfId="447"/>
    <cellStyle name="20% - Акцент5 4_46EE.2011(v1.0)" xfId="448"/>
    <cellStyle name="20% - Акцент5 5" xfId="449"/>
    <cellStyle name="20% - Акцент5 5 2" xfId="450"/>
    <cellStyle name="20% - Акцент5 5 3" xfId="451"/>
    <cellStyle name="20% - Акцент5 5_46EE.2011(v1.0)" xfId="452"/>
    <cellStyle name="20% - Акцент5 6" xfId="453"/>
    <cellStyle name="20% - Акцент5 6 2" xfId="454"/>
    <cellStyle name="20% - Акцент5 6 3" xfId="455"/>
    <cellStyle name="20% - Акцент5 6_46EE.2011(v1.0)" xfId="456"/>
    <cellStyle name="20% - Акцент5 7" xfId="457"/>
    <cellStyle name="20% - Акцент5 7 2" xfId="458"/>
    <cellStyle name="20% - Акцент5 7 3" xfId="459"/>
    <cellStyle name="20% - Акцент5 7_46EE.2011(v1.0)" xfId="460"/>
    <cellStyle name="20% - Акцент5 8" xfId="461"/>
    <cellStyle name="20% - Акцент5 8 2" xfId="462"/>
    <cellStyle name="20% - Акцент5 8 3" xfId="463"/>
    <cellStyle name="20% - Акцент5 8_46EE.2011(v1.0)" xfId="464"/>
    <cellStyle name="20% - Акцент5 9" xfId="465"/>
    <cellStyle name="20% - Акцент5 9 2" xfId="466"/>
    <cellStyle name="20% - Акцент5 9 3" xfId="467"/>
    <cellStyle name="20% - Акцент5 9_46EE.2011(v1.0)" xfId="468"/>
    <cellStyle name="20% - Акцент6 10" xfId="469"/>
    <cellStyle name="20% - Акцент6 2" xfId="470"/>
    <cellStyle name="20% - Акцент6 2 2" xfId="471"/>
    <cellStyle name="20% - Акцент6 2 3" xfId="472"/>
    <cellStyle name="20% - Акцент6 2_46EE.2011(v1.0)" xfId="473"/>
    <cellStyle name="20% - Акцент6 3" xfId="474"/>
    <cellStyle name="20% - Акцент6 3 2" xfId="475"/>
    <cellStyle name="20% - Акцент6 3 3" xfId="476"/>
    <cellStyle name="20% - Акцент6 3_46EE.2011(v1.0)" xfId="477"/>
    <cellStyle name="20% - Акцент6 4" xfId="478"/>
    <cellStyle name="20% - Акцент6 4 2" xfId="479"/>
    <cellStyle name="20% - Акцент6 4 3" xfId="480"/>
    <cellStyle name="20% - Акцент6 4_46EE.2011(v1.0)" xfId="481"/>
    <cellStyle name="20% - Акцент6 5" xfId="482"/>
    <cellStyle name="20% - Акцент6 5 2" xfId="483"/>
    <cellStyle name="20% - Акцент6 5 3" xfId="484"/>
    <cellStyle name="20% - Акцент6 5_46EE.2011(v1.0)" xfId="485"/>
    <cellStyle name="20% - Акцент6 6" xfId="486"/>
    <cellStyle name="20% - Акцент6 6 2" xfId="487"/>
    <cellStyle name="20% - Акцент6 6 3" xfId="488"/>
    <cellStyle name="20% - Акцент6 6_46EE.2011(v1.0)" xfId="489"/>
    <cellStyle name="20% - Акцент6 7" xfId="490"/>
    <cellStyle name="20% - Акцент6 7 2" xfId="491"/>
    <cellStyle name="20% - Акцент6 7 3" xfId="492"/>
    <cellStyle name="20% - Акцент6 7_46EE.2011(v1.0)" xfId="493"/>
    <cellStyle name="20% - Акцент6 8" xfId="494"/>
    <cellStyle name="20% - Акцент6 8 2" xfId="495"/>
    <cellStyle name="20% - Акцент6 8 3" xfId="496"/>
    <cellStyle name="20% - Акцент6 8_46EE.2011(v1.0)" xfId="497"/>
    <cellStyle name="20% - Акцент6 9" xfId="498"/>
    <cellStyle name="20% - Акцент6 9 2" xfId="499"/>
    <cellStyle name="20% - Акцент6 9 3" xfId="500"/>
    <cellStyle name="20% - Акцент6 9_46EE.2011(v1.0)" xfId="501"/>
    <cellStyle name="40% - Accent1" xfId="502"/>
    <cellStyle name="40% - Accent1 2" xfId="503"/>
    <cellStyle name="40% - Accent1 3" xfId="504"/>
    <cellStyle name="40% - Accent1 4" xfId="505"/>
    <cellStyle name="40% - Accent1 5" xfId="506"/>
    <cellStyle name="40% - Accent1_46EE.2011(v1.0)" xfId="507"/>
    <cellStyle name="40% - Accent2" xfId="508"/>
    <cellStyle name="40% - Accent2 2" xfId="509"/>
    <cellStyle name="40% - Accent2 3" xfId="510"/>
    <cellStyle name="40% - Accent2 4" xfId="511"/>
    <cellStyle name="40% - Accent2 5" xfId="512"/>
    <cellStyle name="40% - Accent2_46EE.2011(v1.0)" xfId="513"/>
    <cellStyle name="40% - Accent3" xfId="514"/>
    <cellStyle name="40% - Accent3 2" xfId="515"/>
    <cellStyle name="40% - Accent3 3" xfId="516"/>
    <cellStyle name="40% - Accent3 4" xfId="517"/>
    <cellStyle name="40% - Accent3 5" xfId="518"/>
    <cellStyle name="40% - Accent3_46EE.2011(v1.0)" xfId="519"/>
    <cellStyle name="40% - Accent4" xfId="520"/>
    <cellStyle name="40% - Accent4 2" xfId="521"/>
    <cellStyle name="40% - Accent4 3" xfId="522"/>
    <cellStyle name="40% - Accent4 4" xfId="523"/>
    <cellStyle name="40% - Accent4 5" xfId="524"/>
    <cellStyle name="40% - Accent4_46EE.2011(v1.0)" xfId="525"/>
    <cellStyle name="40% - Accent5" xfId="526"/>
    <cellStyle name="40% - Accent5 2" xfId="527"/>
    <cellStyle name="40% - Accent5 3" xfId="528"/>
    <cellStyle name="40% - Accent5 4" xfId="529"/>
    <cellStyle name="40% - Accent5 5" xfId="530"/>
    <cellStyle name="40% - Accent5_46EE.2011(v1.0)" xfId="531"/>
    <cellStyle name="40% - Accent6" xfId="532"/>
    <cellStyle name="40% - Accent6 2" xfId="533"/>
    <cellStyle name="40% - Accent6 3" xfId="534"/>
    <cellStyle name="40% - Accent6 4" xfId="535"/>
    <cellStyle name="40% - Accent6 5" xfId="536"/>
    <cellStyle name="40% - Accent6_46EE.2011(v1.0)" xfId="537"/>
    <cellStyle name="40% - Акцент1 10" xfId="538"/>
    <cellStyle name="40% - Акцент1 2" xfId="539"/>
    <cellStyle name="40% - Акцент1 2 2" xfId="540"/>
    <cellStyle name="40% - Акцент1 2 3" xfId="541"/>
    <cellStyle name="40% - Акцент1 2_46EE.2011(v1.0)" xfId="542"/>
    <cellStyle name="40% - Акцент1 3" xfId="543"/>
    <cellStyle name="40% - Акцент1 3 2" xfId="544"/>
    <cellStyle name="40% - Акцент1 3 3" xfId="545"/>
    <cellStyle name="40% - Акцент1 3_46EE.2011(v1.0)" xfId="546"/>
    <cellStyle name="40% - Акцент1 4" xfId="547"/>
    <cellStyle name="40% - Акцент1 4 2" xfId="548"/>
    <cellStyle name="40% - Акцент1 4 3" xfId="549"/>
    <cellStyle name="40% - Акцент1 4_46EE.2011(v1.0)" xfId="550"/>
    <cellStyle name="40% - Акцент1 5" xfId="551"/>
    <cellStyle name="40% - Акцент1 5 2" xfId="552"/>
    <cellStyle name="40% - Акцент1 5 3" xfId="553"/>
    <cellStyle name="40% - Акцент1 5_46EE.2011(v1.0)" xfId="554"/>
    <cellStyle name="40% - Акцент1 6" xfId="555"/>
    <cellStyle name="40% - Акцент1 6 2" xfId="556"/>
    <cellStyle name="40% - Акцент1 6 3" xfId="557"/>
    <cellStyle name="40% - Акцент1 6_46EE.2011(v1.0)" xfId="558"/>
    <cellStyle name="40% - Акцент1 7" xfId="559"/>
    <cellStyle name="40% - Акцент1 7 2" xfId="560"/>
    <cellStyle name="40% - Акцент1 7 3" xfId="561"/>
    <cellStyle name="40% - Акцент1 7_46EE.2011(v1.0)" xfId="562"/>
    <cellStyle name="40% - Акцент1 8" xfId="563"/>
    <cellStyle name="40% - Акцент1 8 2" xfId="564"/>
    <cellStyle name="40% - Акцент1 8 3" xfId="565"/>
    <cellStyle name="40% - Акцент1 8_46EE.2011(v1.0)" xfId="566"/>
    <cellStyle name="40% - Акцент1 9" xfId="567"/>
    <cellStyle name="40% - Акцент1 9 2" xfId="568"/>
    <cellStyle name="40% - Акцент1 9 3" xfId="569"/>
    <cellStyle name="40% - Акцент1 9_46EE.2011(v1.0)" xfId="570"/>
    <cellStyle name="40% - Акцент2 10" xfId="571"/>
    <cellStyle name="40% - Акцент2 2" xfId="572"/>
    <cellStyle name="40% - Акцент2 2 2" xfId="573"/>
    <cellStyle name="40% - Акцент2 2 3" xfId="574"/>
    <cellStyle name="40% - Акцент2 2_46EE.2011(v1.0)" xfId="575"/>
    <cellStyle name="40% - Акцент2 3" xfId="576"/>
    <cellStyle name="40% - Акцент2 3 2" xfId="577"/>
    <cellStyle name="40% - Акцент2 3 3" xfId="578"/>
    <cellStyle name="40% - Акцент2 3_46EE.2011(v1.0)" xfId="579"/>
    <cellStyle name="40% - Акцент2 4" xfId="580"/>
    <cellStyle name="40% - Акцент2 4 2" xfId="581"/>
    <cellStyle name="40% - Акцент2 4 3" xfId="582"/>
    <cellStyle name="40% - Акцент2 4_46EE.2011(v1.0)" xfId="583"/>
    <cellStyle name="40% - Акцент2 5" xfId="584"/>
    <cellStyle name="40% - Акцент2 5 2" xfId="585"/>
    <cellStyle name="40% - Акцент2 5 3" xfId="586"/>
    <cellStyle name="40% - Акцент2 5_46EE.2011(v1.0)" xfId="587"/>
    <cellStyle name="40% - Акцент2 6" xfId="588"/>
    <cellStyle name="40% - Акцент2 6 2" xfId="589"/>
    <cellStyle name="40% - Акцент2 6 3" xfId="590"/>
    <cellStyle name="40% - Акцент2 6_46EE.2011(v1.0)" xfId="591"/>
    <cellStyle name="40% - Акцент2 7" xfId="592"/>
    <cellStyle name="40% - Акцент2 7 2" xfId="593"/>
    <cellStyle name="40% - Акцент2 7 3" xfId="594"/>
    <cellStyle name="40% - Акцент2 7_46EE.2011(v1.0)" xfId="595"/>
    <cellStyle name="40% - Акцент2 8" xfId="596"/>
    <cellStyle name="40% - Акцент2 8 2" xfId="597"/>
    <cellStyle name="40% - Акцент2 8 3" xfId="598"/>
    <cellStyle name="40% - Акцент2 8_46EE.2011(v1.0)" xfId="599"/>
    <cellStyle name="40% - Акцент2 9" xfId="600"/>
    <cellStyle name="40% - Акцент2 9 2" xfId="601"/>
    <cellStyle name="40% - Акцент2 9 3" xfId="602"/>
    <cellStyle name="40% - Акцент2 9_46EE.2011(v1.0)" xfId="603"/>
    <cellStyle name="40% - Акцент3 10" xfId="604"/>
    <cellStyle name="40% - Акцент3 2" xfId="605"/>
    <cellStyle name="40% - Акцент3 2 2" xfId="606"/>
    <cellStyle name="40% - Акцент3 2 3" xfId="607"/>
    <cellStyle name="40% - Акцент3 2_46EE.2011(v1.0)" xfId="608"/>
    <cellStyle name="40% - Акцент3 3" xfId="609"/>
    <cellStyle name="40% - Акцент3 3 2" xfId="610"/>
    <cellStyle name="40% - Акцент3 3 3" xfId="611"/>
    <cellStyle name="40% - Акцент3 3_46EE.2011(v1.0)" xfId="612"/>
    <cellStyle name="40% - Акцент3 4" xfId="613"/>
    <cellStyle name="40% - Акцент3 4 2" xfId="614"/>
    <cellStyle name="40% - Акцент3 4 3" xfId="615"/>
    <cellStyle name="40% - Акцент3 4_46EE.2011(v1.0)" xfId="616"/>
    <cellStyle name="40% - Акцент3 5" xfId="617"/>
    <cellStyle name="40% - Акцент3 5 2" xfId="618"/>
    <cellStyle name="40% - Акцент3 5 3" xfId="619"/>
    <cellStyle name="40% - Акцент3 5_46EE.2011(v1.0)" xfId="620"/>
    <cellStyle name="40% - Акцент3 6" xfId="621"/>
    <cellStyle name="40% - Акцент3 6 2" xfId="622"/>
    <cellStyle name="40% - Акцент3 6 3" xfId="623"/>
    <cellStyle name="40% - Акцент3 6_46EE.2011(v1.0)" xfId="624"/>
    <cellStyle name="40% - Акцент3 7" xfId="625"/>
    <cellStyle name="40% - Акцент3 7 2" xfId="626"/>
    <cellStyle name="40% - Акцент3 7 3" xfId="627"/>
    <cellStyle name="40% - Акцент3 7_46EE.2011(v1.0)" xfId="628"/>
    <cellStyle name="40% - Акцент3 8" xfId="629"/>
    <cellStyle name="40% - Акцент3 8 2" xfId="630"/>
    <cellStyle name="40% - Акцент3 8 3" xfId="631"/>
    <cellStyle name="40% - Акцент3 8_46EE.2011(v1.0)" xfId="632"/>
    <cellStyle name="40% - Акцент3 9" xfId="633"/>
    <cellStyle name="40% - Акцент3 9 2" xfId="634"/>
    <cellStyle name="40% - Акцент3 9 3" xfId="635"/>
    <cellStyle name="40% - Акцент3 9_46EE.2011(v1.0)" xfId="636"/>
    <cellStyle name="40% - Акцент4 10" xfId="637"/>
    <cellStyle name="40% - Акцент4 2" xfId="638"/>
    <cellStyle name="40% - Акцент4 2 2" xfId="639"/>
    <cellStyle name="40% - Акцент4 2 3" xfId="640"/>
    <cellStyle name="40% - Акцент4 2_46EE.2011(v1.0)" xfId="641"/>
    <cellStyle name="40% - Акцент4 3" xfId="642"/>
    <cellStyle name="40% - Акцент4 3 2" xfId="643"/>
    <cellStyle name="40% - Акцент4 3 3" xfId="644"/>
    <cellStyle name="40% - Акцент4 3_46EE.2011(v1.0)" xfId="645"/>
    <cellStyle name="40% - Акцент4 4" xfId="646"/>
    <cellStyle name="40% - Акцент4 4 2" xfId="647"/>
    <cellStyle name="40% - Акцент4 4 3" xfId="648"/>
    <cellStyle name="40% - Акцент4 4_46EE.2011(v1.0)" xfId="649"/>
    <cellStyle name="40% - Акцент4 5" xfId="650"/>
    <cellStyle name="40% - Акцент4 5 2" xfId="651"/>
    <cellStyle name="40% - Акцент4 5 3" xfId="652"/>
    <cellStyle name="40% - Акцент4 5_46EE.2011(v1.0)" xfId="653"/>
    <cellStyle name="40% - Акцент4 6" xfId="654"/>
    <cellStyle name="40% - Акцент4 6 2" xfId="655"/>
    <cellStyle name="40% - Акцент4 6 3" xfId="656"/>
    <cellStyle name="40% - Акцент4 6_46EE.2011(v1.0)" xfId="657"/>
    <cellStyle name="40% - Акцент4 7" xfId="658"/>
    <cellStyle name="40% - Акцент4 7 2" xfId="659"/>
    <cellStyle name="40% - Акцент4 7 3" xfId="660"/>
    <cellStyle name="40% - Акцент4 7_46EE.2011(v1.0)" xfId="661"/>
    <cellStyle name="40% - Акцент4 8" xfId="662"/>
    <cellStyle name="40% - Акцент4 8 2" xfId="663"/>
    <cellStyle name="40% - Акцент4 8 3" xfId="664"/>
    <cellStyle name="40% - Акцент4 8_46EE.2011(v1.0)" xfId="665"/>
    <cellStyle name="40% - Акцент4 9" xfId="666"/>
    <cellStyle name="40% - Акцент4 9 2" xfId="667"/>
    <cellStyle name="40% - Акцент4 9 3" xfId="668"/>
    <cellStyle name="40% - Акцент4 9_46EE.2011(v1.0)" xfId="669"/>
    <cellStyle name="40% - Акцент5 10" xfId="670"/>
    <cellStyle name="40% - Акцент5 2" xfId="671"/>
    <cellStyle name="40% - Акцент5 2 2" xfId="672"/>
    <cellStyle name="40% - Акцент5 2 3" xfId="673"/>
    <cellStyle name="40% - Акцент5 2_46EE.2011(v1.0)" xfId="674"/>
    <cellStyle name="40% - Акцент5 3" xfId="675"/>
    <cellStyle name="40% - Акцент5 3 2" xfId="676"/>
    <cellStyle name="40% - Акцент5 3 3" xfId="677"/>
    <cellStyle name="40% - Акцент5 3_46EE.2011(v1.0)" xfId="678"/>
    <cellStyle name="40% - Акцент5 4" xfId="679"/>
    <cellStyle name="40% - Акцент5 4 2" xfId="680"/>
    <cellStyle name="40% - Акцент5 4 3" xfId="681"/>
    <cellStyle name="40% - Акцент5 4_46EE.2011(v1.0)" xfId="682"/>
    <cellStyle name="40% - Акцент5 5" xfId="683"/>
    <cellStyle name="40% - Акцент5 5 2" xfId="684"/>
    <cellStyle name="40% - Акцент5 5 3" xfId="685"/>
    <cellStyle name="40% - Акцент5 5_46EE.2011(v1.0)" xfId="686"/>
    <cellStyle name="40% - Акцент5 6" xfId="687"/>
    <cellStyle name="40% - Акцент5 6 2" xfId="688"/>
    <cellStyle name="40% - Акцент5 6 3" xfId="689"/>
    <cellStyle name="40% - Акцент5 6_46EE.2011(v1.0)" xfId="690"/>
    <cellStyle name="40% - Акцент5 7" xfId="691"/>
    <cellStyle name="40% - Акцент5 7 2" xfId="692"/>
    <cellStyle name="40% - Акцент5 7 3" xfId="693"/>
    <cellStyle name="40% - Акцент5 7_46EE.2011(v1.0)" xfId="694"/>
    <cellStyle name="40% - Акцент5 8" xfId="695"/>
    <cellStyle name="40% - Акцент5 8 2" xfId="696"/>
    <cellStyle name="40% - Акцент5 8 3" xfId="697"/>
    <cellStyle name="40% - Акцент5 8_46EE.2011(v1.0)" xfId="698"/>
    <cellStyle name="40% - Акцент5 9" xfId="699"/>
    <cellStyle name="40% - Акцент5 9 2" xfId="700"/>
    <cellStyle name="40% - Акцент5 9 3" xfId="701"/>
    <cellStyle name="40% - Акцент5 9_46EE.2011(v1.0)" xfId="702"/>
    <cellStyle name="40% - Акцент6 10" xfId="703"/>
    <cellStyle name="40% - Акцент6 2" xfId="704"/>
    <cellStyle name="40% - Акцент6 2 2" xfId="705"/>
    <cellStyle name="40% - Акцент6 2 3" xfId="706"/>
    <cellStyle name="40% - Акцент6 2_46EE.2011(v1.0)" xfId="707"/>
    <cellStyle name="40% - Акцент6 3" xfId="708"/>
    <cellStyle name="40% - Акцент6 3 2" xfId="709"/>
    <cellStyle name="40% - Акцент6 3 3" xfId="710"/>
    <cellStyle name="40% - Акцент6 3_46EE.2011(v1.0)" xfId="711"/>
    <cellStyle name="40% - Акцент6 4" xfId="712"/>
    <cellStyle name="40% - Акцент6 4 2" xfId="713"/>
    <cellStyle name="40% - Акцент6 4 3" xfId="714"/>
    <cellStyle name="40% - Акцент6 4_46EE.2011(v1.0)" xfId="715"/>
    <cellStyle name="40% - Акцент6 5" xfId="716"/>
    <cellStyle name="40% - Акцент6 5 2" xfId="717"/>
    <cellStyle name="40% - Акцент6 5 3" xfId="718"/>
    <cellStyle name="40% - Акцент6 5_46EE.2011(v1.0)" xfId="719"/>
    <cellStyle name="40% - Акцент6 6" xfId="720"/>
    <cellStyle name="40% - Акцент6 6 2" xfId="721"/>
    <cellStyle name="40% - Акцент6 6 3" xfId="722"/>
    <cellStyle name="40% - Акцент6 6_46EE.2011(v1.0)" xfId="723"/>
    <cellStyle name="40% - Акцент6 7" xfId="724"/>
    <cellStyle name="40% - Акцент6 7 2" xfId="725"/>
    <cellStyle name="40% - Акцент6 7 3" xfId="726"/>
    <cellStyle name="40% - Акцент6 7_46EE.2011(v1.0)" xfId="727"/>
    <cellStyle name="40% - Акцент6 8" xfId="728"/>
    <cellStyle name="40% - Акцент6 8 2" xfId="729"/>
    <cellStyle name="40% - Акцент6 8 3" xfId="730"/>
    <cellStyle name="40% - Акцент6 8_46EE.2011(v1.0)" xfId="731"/>
    <cellStyle name="40% - Акцент6 9" xfId="732"/>
    <cellStyle name="40% - Акцент6 9 2" xfId="733"/>
    <cellStyle name="40% - Акцент6 9 3" xfId="734"/>
    <cellStyle name="40% - Акцент6 9_46EE.2011(v1.0)" xfId="735"/>
    <cellStyle name="60% - Accent1" xfId="736"/>
    <cellStyle name="60% - Accent2" xfId="737"/>
    <cellStyle name="60% - Accent3" xfId="738"/>
    <cellStyle name="60% - Accent4" xfId="739"/>
    <cellStyle name="60% - Accent5" xfId="740"/>
    <cellStyle name="60% - Accent6" xfId="741"/>
    <cellStyle name="60% - Акцент1 2" xfId="742"/>
    <cellStyle name="60% - Акцент1 2 2" xfId="743"/>
    <cellStyle name="60% - Акцент1 3" xfId="744"/>
    <cellStyle name="60% - Акцент1 3 2" xfId="745"/>
    <cellStyle name="60% - Акцент1 4" xfId="746"/>
    <cellStyle name="60% - Акцент1 4 2" xfId="747"/>
    <cellStyle name="60% - Акцент1 5" xfId="748"/>
    <cellStyle name="60% - Акцент1 5 2" xfId="749"/>
    <cellStyle name="60% - Акцент1 6" xfId="750"/>
    <cellStyle name="60% - Акцент1 6 2" xfId="751"/>
    <cellStyle name="60% - Акцент1 7" xfId="752"/>
    <cellStyle name="60% - Акцент1 7 2" xfId="753"/>
    <cellStyle name="60% - Акцент1 8" xfId="754"/>
    <cellStyle name="60% - Акцент1 8 2" xfId="755"/>
    <cellStyle name="60% - Акцент1 9" xfId="756"/>
    <cellStyle name="60% - Акцент1 9 2" xfId="757"/>
    <cellStyle name="60% - Акцент2 2" xfId="758"/>
    <cellStyle name="60% - Акцент2 2 2" xfId="759"/>
    <cellStyle name="60% - Акцент2 3" xfId="760"/>
    <cellStyle name="60% - Акцент2 3 2" xfId="761"/>
    <cellStyle name="60% - Акцент2 4" xfId="762"/>
    <cellStyle name="60% - Акцент2 4 2" xfId="763"/>
    <cellStyle name="60% - Акцент2 5" xfId="764"/>
    <cellStyle name="60% - Акцент2 5 2" xfId="765"/>
    <cellStyle name="60% - Акцент2 6" xfId="766"/>
    <cellStyle name="60% - Акцент2 6 2" xfId="767"/>
    <cellStyle name="60% - Акцент2 7" xfId="768"/>
    <cellStyle name="60% - Акцент2 7 2" xfId="769"/>
    <cellStyle name="60% - Акцент2 8" xfId="770"/>
    <cellStyle name="60% - Акцент2 8 2" xfId="771"/>
    <cellStyle name="60% - Акцент2 9" xfId="772"/>
    <cellStyle name="60% - Акцент2 9 2" xfId="773"/>
    <cellStyle name="60% - Акцент3 2" xfId="774"/>
    <cellStyle name="60% - Акцент3 2 2" xfId="775"/>
    <cellStyle name="60% - Акцент3 3" xfId="776"/>
    <cellStyle name="60% - Акцент3 3 2" xfId="777"/>
    <cellStyle name="60% - Акцент3 4" xfId="778"/>
    <cellStyle name="60% - Акцент3 4 2" xfId="779"/>
    <cellStyle name="60% - Акцент3 5" xfId="780"/>
    <cellStyle name="60% - Акцент3 5 2" xfId="781"/>
    <cellStyle name="60% - Акцент3 6" xfId="782"/>
    <cellStyle name="60% - Акцент3 6 2" xfId="783"/>
    <cellStyle name="60% - Акцент3 7" xfId="784"/>
    <cellStyle name="60% - Акцент3 7 2" xfId="785"/>
    <cellStyle name="60% - Акцент3 8" xfId="786"/>
    <cellStyle name="60% - Акцент3 8 2" xfId="787"/>
    <cellStyle name="60% - Акцент3 9" xfId="788"/>
    <cellStyle name="60% - Акцент3 9 2" xfId="789"/>
    <cellStyle name="60% - Акцент4 2" xfId="790"/>
    <cellStyle name="60% - Акцент4 2 2" xfId="791"/>
    <cellStyle name="60% - Акцент4 3" xfId="792"/>
    <cellStyle name="60% - Акцент4 3 2" xfId="793"/>
    <cellStyle name="60% - Акцент4 4" xfId="794"/>
    <cellStyle name="60% - Акцент4 4 2" xfId="795"/>
    <cellStyle name="60% - Акцент4 5" xfId="796"/>
    <cellStyle name="60% - Акцент4 5 2" xfId="797"/>
    <cellStyle name="60% - Акцент4 6" xfId="798"/>
    <cellStyle name="60% - Акцент4 6 2" xfId="799"/>
    <cellStyle name="60% - Акцент4 7" xfId="800"/>
    <cellStyle name="60% - Акцент4 7 2" xfId="801"/>
    <cellStyle name="60% - Акцент4 8" xfId="802"/>
    <cellStyle name="60% - Акцент4 8 2" xfId="803"/>
    <cellStyle name="60% - Акцент4 9" xfId="804"/>
    <cellStyle name="60% - Акцент4 9 2" xfId="805"/>
    <cellStyle name="60% - Акцент5 2" xfId="806"/>
    <cellStyle name="60% - Акцент5 2 2" xfId="807"/>
    <cellStyle name="60% - Акцент5 3" xfId="808"/>
    <cellStyle name="60% - Акцент5 3 2" xfId="809"/>
    <cellStyle name="60% - Акцент5 4" xfId="810"/>
    <cellStyle name="60% - Акцент5 4 2" xfId="811"/>
    <cellStyle name="60% - Акцент5 5" xfId="812"/>
    <cellStyle name="60% - Акцент5 5 2" xfId="813"/>
    <cellStyle name="60% - Акцент5 6" xfId="814"/>
    <cellStyle name="60% - Акцент5 6 2" xfId="815"/>
    <cellStyle name="60% - Акцент5 7" xfId="816"/>
    <cellStyle name="60% - Акцент5 7 2" xfId="817"/>
    <cellStyle name="60% - Акцент5 8" xfId="818"/>
    <cellStyle name="60% - Акцент5 8 2" xfId="819"/>
    <cellStyle name="60% - Акцент5 9" xfId="820"/>
    <cellStyle name="60% - Акцент5 9 2" xfId="821"/>
    <cellStyle name="60% - Акцент6 2" xfId="822"/>
    <cellStyle name="60% - Акцент6 2 2" xfId="823"/>
    <cellStyle name="60% - Акцент6 3" xfId="824"/>
    <cellStyle name="60% - Акцент6 3 2" xfId="825"/>
    <cellStyle name="60% - Акцент6 4" xfId="826"/>
    <cellStyle name="60% - Акцент6 4 2" xfId="827"/>
    <cellStyle name="60% - Акцент6 5" xfId="828"/>
    <cellStyle name="60% - Акцент6 5 2" xfId="829"/>
    <cellStyle name="60% - Акцент6 6" xfId="830"/>
    <cellStyle name="60% - Акцент6 6 2" xfId="831"/>
    <cellStyle name="60% - Акцент6 7" xfId="832"/>
    <cellStyle name="60% - Акцент6 7 2" xfId="833"/>
    <cellStyle name="60% - Акцент6 8" xfId="834"/>
    <cellStyle name="60% - Акцент6 8 2" xfId="835"/>
    <cellStyle name="60% - Акцент6 9" xfId="836"/>
    <cellStyle name="60% - Акцент6 9 2" xfId="837"/>
    <cellStyle name="Accent1" xfId="838"/>
    <cellStyle name="Accent2" xfId="839"/>
    <cellStyle name="Accent3" xfId="840"/>
    <cellStyle name="Accent4" xfId="841"/>
    <cellStyle name="Accent5" xfId="842"/>
    <cellStyle name="Accent6" xfId="843"/>
    <cellStyle name="Ăčďĺđńńűëęŕ" xfId="844"/>
    <cellStyle name="AFE" xfId="845"/>
    <cellStyle name="Áĺççŕůčňíűé" xfId="846"/>
    <cellStyle name="Äĺíĺćíűé [0]_(ňŕá 3č)" xfId="847"/>
    <cellStyle name="Äĺíĺćíűé_(ňŕá 3č)" xfId="848"/>
    <cellStyle name="Bad" xfId="849"/>
    <cellStyle name="Blue" xfId="850"/>
    <cellStyle name="Body_$Dollars" xfId="851"/>
    <cellStyle name="Calculation" xfId="852"/>
    <cellStyle name="Check Cell" xfId="853"/>
    <cellStyle name="Chek" xfId="854"/>
    <cellStyle name="Comma [0]_Adjusted FS 1299" xfId="855"/>
    <cellStyle name="Comma 0" xfId="856"/>
    <cellStyle name="Comma 0*" xfId="857"/>
    <cellStyle name="Comma 2" xfId="858"/>
    <cellStyle name="Comma 3*" xfId="859"/>
    <cellStyle name="Comma_Adjusted FS 1299" xfId="860"/>
    <cellStyle name="Comma0" xfId="861"/>
    <cellStyle name="Çŕůčňíűé" xfId="862"/>
    <cellStyle name="Currency [0]" xfId="863"/>
    <cellStyle name="Currency [0] 2" xfId="864"/>
    <cellStyle name="Currency [0] 2 2" xfId="865"/>
    <cellStyle name="Currency [0] 2 3" xfId="866"/>
    <cellStyle name="Currency [0] 2 4" xfId="867"/>
    <cellStyle name="Currency [0] 2 5" xfId="868"/>
    <cellStyle name="Currency [0] 2 6" xfId="869"/>
    <cellStyle name="Currency [0] 2 7" xfId="870"/>
    <cellStyle name="Currency [0] 2 8" xfId="871"/>
    <cellStyle name="Currency [0] 2 9" xfId="872"/>
    <cellStyle name="Currency [0] 3" xfId="873"/>
    <cellStyle name="Currency [0] 3 2" xfId="874"/>
    <cellStyle name="Currency [0] 3 3" xfId="875"/>
    <cellStyle name="Currency [0] 3 4" xfId="876"/>
    <cellStyle name="Currency [0] 3 5" xfId="877"/>
    <cellStyle name="Currency [0] 3 6" xfId="878"/>
    <cellStyle name="Currency [0] 3 7" xfId="879"/>
    <cellStyle name="Currency [0] 3 8" xfId="880"/>
    <cellStyle name="Currency [0] 3 9" xfId="881"/>
    <cellStyle name="Currency [0] 4" xfId="882"/>
    <cellStyle name="Currency [0] 4 2" xfId="883"/>
    <cellStyle name="Currency [0] 4 3" xfId="884"/>
    <cellStyle name="Currency [0] 4 4" xfId="885"/>
    <cellStyle name="Currency [0] 4 5" xfId="886"/>
    <cellStyle name="Currency [0] 4 6" xfId="887"/>
    <cellStyle name="Currency [0] 4 7" xfId="888"/>
    <cellStyle name="Currency [0] 4 8" xfId="889"/>
    <cellStyle name="Currency [0] 4 9" xfId="890"/>
    <cellStyle name="Currency [0] 5" xfId="891"/>
    <cellStyle name="Currency [0] 5 2" xfId="892"/>
    <cellStyle name="Currency [0] 5 3" xfId="893"/>
    <cellStyle name="Currency [0] 5 4" xfId="894"/>
    <cellStyle name="Currency [0] 5 5" xfId="895"/>
    <cellStyle name="Currency [0] 5 6" xfId="896"/>
    <cellStyle name="Currency [0] 5 7" xfId="897"/>
    <cellStyle name="Currency [0] 5 8" xfId="898"/>
    <cellStyle name="Currency [0] 5 9" xfId="899"/>
    <cellStyle name="Currency [0] 6" xfId="900"/>
    <cellStyle name="Currency [0] 6 2" xfId="901"/>
    <cellStyle name="Currency [0] 6 3" xfId="902"/>
    <cellStyle name="Currency [0] 7" xfId="903"/>
    <cellStyle name="Currency [0] 7 2" xfId="904"/>
    <cellStyle name="Currency [0] 7 3" xfId="905"/>
    <cellStyle name="Currency [0] 8" xfId="906"/>
    <cellStyle name="Currency [0] 8 2" xfId="907"/>
    <cellStyle name="Currency [0] 8 3" xfId="908"/>
    <cellStyle name="Currency 0" xfId="909"/>
    <cellStyle name="Currency 2" xfId="910"/>
    <cellStyle name="Currency_06_9m" xfId="911"/>
    <cellStyle name="Currency0" xfId="912"/>
    <cellStyle name="Currency2" xfId="913"/>
    <cellStyle name="Đ_x0010_" xfId="914"/>
    <cellStyle name="Date" xfId="915"/>
    <cellStyle name="Date Aligned" xfId="916"/>
    <cellStyle name="Dates" xfId="917"/>
    <cellStyle name="Dezimal [0]_NEGS" xfId="918"/>
    <cellStyle name="Dezimal_NEGS" xfId="919"/>
    <cellStyle name="Dotted Line" xfId="920"/>
    <cellStyle name="E&amp;Y House" xfId="921"/>
    <cellStyle name="E-mail" xfId="922"/>
    <cellStyle name="E-mail 2" xfId="923"/>
    <cellStyle name="E-mail_EE.2REK.P2011.4.78(v0.3)" xfId="924"/>
    <cellStyle name="Euro" xfId="925"/>
    <cellStyle name="ew" xfId="926"/>
    <cellStyle name="Excel Built-in Excel Built-in Excel Built-in Excel Built-in Excel Built-in Excel Built-in _x000a_bidires=100_x000d_" xfId="927"/>
    <cellStyle name="Excel Built-in Excel Built-in Excel Built-in Excel Built-in Excel Built-in Excel Built-in Обычный_1_Оренбург 2009-2013" xfId="928"/>
    <cellStyle name="Excel Built-in Excel Built-in Excel Built-in Excel Built-in Excel Built-in Excel Built-in Обычный_Лист1" xfId="929"/>
    <cellStyle name="Excel Built-in Обычный_1_Оренбург 2009-2013" xfId="930"/>
    <cellStyle name="Excel Built-in Обычный_Лист1" xfId="931"/>
    <cellStyle name="Excel Built-in Обычный_ППфакт-2007г." xfId="932"/>
    <cellStyle name="Explanatory Text" xfId="933"/>
    <cellStyle name="F2" xfId="934"/>
    <cellStyle name="F3" xfId="935"/>
    <cellStyle name="F4" xfId="936"/>
    <cellStyle name="F5" xfId="937"/>
    <cellStyle name="F6" xfId="938"/>
    <cellStyle name="F7" xfId="939"/>
    <cellStyle name="F8" xfId="940"/>
    <cellStyle name="Fixed" xfId="941"/>
    <cellStyle name="fo]_x000d__x000a_UserName=Murat Zelef_x000d__x000a_UserCompany=Bumerang_x000d__x000a__x000d__x000a_[File Paths]_x000d__x000a_WorkingDirectory=C:\EQUIS\DLWIN_x000d__x000a_DownLoader=C" xfId="942"/>
    <cellStyle name="Followed Hyperlink" xfId="943"/>
    <cellStyle name="Footnote" xfId="944"/>
    <cellStyle name="Good" xfId="945"/>
    <cellStyle name="hard no" xfId="946"/>
    <cellStyle name="Hard Percent" xfId="947"/>
    <cellStyle name="hardno" xfId="948"/>
    <cellStyle name="Header" xfId="949"/>
    <cellStyle name="Heading" xfId="950"/>
    <cellStyle name="Heading 1" xfId="951"/>
    <cellStyle name="Heading 2" xfId="952"/>
    <cellStyle name="Heading 3" xfId="953"/>
    <cellStyle name="Heading 4" xfId="954"/>
    <cellStyle name="Heading_GP.ITOG.4.78(v1.0) - для разделения" xfId="955"/>
    <cellStyle name="Heading2" xfId="956"/>
    <cellStyle name="Heading2 2" xfId="957"/>
    <cellStyle name="Heading2_EE.2REK.P2011.4.78(v0.3)" xfId="958"/>
    <cellStyle name="Hyperlink" xfId="959"/>
    <cellStyle name="Îáű÷íűé__FES" xfId="960"/>
    <cellStyle name="Îáû÷íûé_cogs" xfId="961"/>
    <cellStyle name="Îňęđűâŕâřŕ˙ń˙ ăčďĺđńńűëęŕ" xfId="962"/>
    <cellStyle name="Info" xfId="963"/>
    <cellStyle name="Input" xfId="964"/>
    <cellStyle name="InputCurrency" xfId="965"/>
    <cellStyle name="InputCurrency2" xfId="966"/>
    <cellStyle name="InputMultiple1" xfId="967"/>
    <cellStyle name="InputPercent1" xfId="968"/>
    <cellStyle name="Inputs" xfId="969"/>
    <cellStyle name="Inputs (const)" xfId="970"/>
    <cellStyle name="Inputs (const) 2" xfId="971"/>
    <cellStyle name="Inputs (const)_EE.2REK.P2011.4.78(v0.3)" xfId="972"/>
    <cellStyle name="Inputs 2" xfId="973"/>
    <cellStyle name="Inputs Co" xfId="974"/>
    <cellStyle name="Inputs_46EE.2011(v1.0)" xfId="975"/>
    <cellStyle name="Linked Cell" xfId="976"/>
    <cellStyle name="Millares [0]_RESULTS" xfId="977"/>
    <cellStyle name="Millares_RESULTS" xfId="978"/>
    <cellStyle name="Milliers [0]_RESULTS" xfId="979"/>
    <cellStyle name="Milliers_RESULTS" xfId="980"/>
    <cellStyle name="mnb" xfId="981"/>
    <cellStyle name="Moneda [0]_RESULTS" xfId="982"/>
    <cellStyle name="Moneda_RESULTS" xfId="983"/>
    <cellStyle name="Monétaire [0]_RESULTS" xfId="984"/>
    <cellStyle name="Monétaire_RESULTS" xfId="985"/>
    <cellStyle name="Multiple" xfId="986"/>
    <cellStyle name="Multiple1" xfId="987"/>
    <cellStyle name="MultipleBelow" xfId="988"/>
    <cellStyle name="namber" xfId="989"/>
    <cellStyle name="namber 10" xfId="990"/>
    <cellStyle name="namber 11" xfId="991"/>
    <cellStyle name="namber 12" xfId="992"/>
    <cellStyle name="namber 13" xfId="993"/>
    <cellStyle name="namber 14" xfId="994"/>
    <cellStyle name="namber 15" xfId="995"/>
    <cellStyle name="namber 16" xfId="996"/>
    <cellStyle name="namber 17" xfId="997"/>
    <cellStyle name="namber 18" xfId="998"/>
    <cellStyle name="namber 19" xfId="999"/>
    <cellStyle name="namber 2" xfId="1000"/>
    <cellStyle name="namber 2 10" xfId="1001"/>
    <cellStyle name="namber 2 11" xfId="1002"/>
    <cellStyle name="namber 2 12" xfId="1003"/>
    <cellStyle name="namber 2 13" xfId="1004"/>
    <cellStyle name="namber 2 14" xfId="1005"/>
    <cellStyle name="namber 2 15" xfId="1006"/>
    <cellStyle name="namber 2 16" xfId="1007"/>
    <cellStyle name="namber 2 17" xfId="1008"/>
    <cellStyle name="namber 2 18" xfId="1009"/>
    <cellStyle name="namber 2 19" xfId="1010"/>
    <cellStyle name="namber 2 2" xfId="1011"/>
    <cellStyle name="namber 2 3" xfId="1012"/>
    <cellStyle name="namber 2 4" xfId="1013"/>
    <cellStyle name="namber 2 5" xfId="1014"/>
    <cellStyle name="namber 2 6" xfId="1015"/>
    <cellStyle name="namber 2 7" xfId="1016"/>
    <cellStyle name="namber 2 8" xfId="1017"/>
    <cellStyle name="namber 2 9" xfId="1018"/>
    <cellStyle name="namber 3" xfId="1019"/>
    <cellStyle name="namber 4" xfId="1020"/>
    <cellStyle name="namber 5" xfId="1021"/>
    <cellStyle name="namber 6" xfId="1022"/>
    <cellStyle name="namber 7" xfId="1023"/>
    <cellStyle name="namber 8" xfId="1024"/>
    <cellStyle name="namber 9" xfId="1025"/>
    <cellStyle name="Neutral" xfId="1026"/>
    <cellStyle name="Norma11l" xfId="1027"/>
    <cellStyle name="normal" xfId="1028"/>
    <cellStyle name="Normal - Style1" xfId="1029"/>
    <cellStyle name="normal 10" xfId="1030"/>
    <cellStyle name="Normal 2" xfId="1031"/>
    <cellStyle name="Normal 2 2" xfId="1032"/>
    <cellStyle name="Normal 2 3" xfId="1033"/>
    <cellStyle name="normal 3" xfId="1034"/>
    <cellStyle name="normal 4" xfId="1035"/>
    <cellStyle name="normal 5" xfId="1036"/>
    <cellStyle name="normal 6" xfId="1037"/>
    <cellStyle name="normal 7" xfId="1038"/>
    <cellStyle name="normal 8" xfId="1039"/>
    <cellStyle name="normal 9" xfId="1040"/>
    <cellStyle name="Normal." xfId="1041"/>
    <cellStyle name="Normal_06_9m" xfId="1042"/>
    <cellStyle name="Normal1" xfId="1043"/>
    <cellStyle name="Normal2" xfId="1044"/>
    <cellStyle name="NormalGB" xfId="1045"/>
    <cellStyle name="Normalny_24. 02. 97." xfId="1046"/>
    <cellStyle name="normбlnм_laroux" xfId="1047"/>
    <cellStyle name="Note" xfId="1048"/>
    <cellStyle name="number" xfId="1049"/>
    <cellStyle name="Ôčíŕíńîâűé [0]_(ňŕá 3č)" xfId="1050"/>
    <cellStyle name="Ôčíŕíńîâűé_(ňŕá 3č)" xfId="1051"/>
    <cellStyle name="Option" xfId="1052"/>
    <cellStyle name="Òûñÿ÷è [0]_cogs" xfId="1053"/>
    <cellStyle name="Òûñÿ÷è_cogs" xfId="1054"/>
    <cellStyle name="Output" xfId="1055"/>
    <cellStyle name="Page Number" xfId="1056"/>
    <cellStyle name="pb_page_heading_LS" xfId="1057"/>
    <cellStyle name="Percent_RS_Lianozovo-Samara_9m01" xfId="1058"/>
    <cellStyle name="Percent1" xfId="1059"/>
    <cellStyle name="Piug" xfId="1060"/>
    <cellStyle name="Plug" xfId="1061"/>
    <cellStyle name="Price_Body" xfId="1062"/>
    <cellStyle name="prochrek" xfId="1063"/>
    <cellStyle name="Protected" xfId="1064"/>
    <cellStyle name="Salomon Logo" xfId="1065"/>
    <cellStyle name="Salomon Logo 2" xfId="1066"/>
    <cellStyle name="SAPBEXaggData" xfId="1067"/>
    <cellStyle name="SAPBEXaggDataEmph" xfId="1068"/>
    <cellStyle name="SAPBEXaggItem" xfId="1069"/>
    <cellStyle name="SAPBEXaggItemX" xfId="1070"/>
    <cellStyle name="SAPBEXchaText" xfId="1071"/>
    <cellStyle name="SAPBEXexcBad7" xfId="1072"/>
    <cellStyle name="SAPBEXexcBad8" xfId="1073"/>
    <cellStyle name="SAPBEXexcBad9" xfId="1074"/>
    <cellStyle name="SAPBEXexcCritical4" xfId="1075"/>
    <cellStyle name="SAPBEXexcCritical5" xfId="1076"/>
    <cellStyle name="SAPBEXexcCritical6" xfId="1077"/>
    <cellStyle name="SAPBEXexcGood1" xfId="1078"/>
    <cellStyle name="SAPBEXexcGood2" xfId="1079"/>
    <cellStyle name="SAPBEXexcGood3" xfId="1080"/>
    <cellStyle name="SAPBEXfilterDrill" xfId="1081"/>
    <cellStyle name="SAPBEXfilterItem" xfId="1082"/>
    <cellStyle name="SAPBEXfilterText" xfId="1083"/>
    <cellStyle name="SAPBEXformats" xfId="1084"/>
    <cellStyle name="SAPBEXheaderItem" xfId="1085"/>
    <cellStyle name="SAPBEXheaderText" xfId="1086"/>
    <cellStyle name="SAPBEXHLevel0" xfId="1087"/>
    <cellStyle name="SAPBEXHLevel0X" xfId="1088"/>
    <cellStyle name="SAPBEXHLevel1" xfId="1089"/>
    <cellStyle name="SAPBEXHLevel1X" xfId="1090"/>
    <cellStyle name="SAPBEXHLevel2" xfId="1091"/>
    <cellStyle name="SAPBEXHLevel2X" xfId="1092"/>
    <cellStyle name="SAPBEXHLevel3" xfId="1093"/>
    <cellStyle name="SAPBEXHLevel3X" xfId="1094"/>
    <cellStyle name="SAPBEXinputData" xfId="1095"/>
    <cellStyle name="SAPBEXresData" xfId="1096"/>
    <cellStyle name="SAPBEXresDataEmph" xfId="1097"/>
    <cellStyle name="SAPBEXresItem" xfId="1098"/>
    <cellStyle name="SAPBEXresItemX" xfId="1099"/>
    <cellStyle name="SAPBEXstdData" xfId="1100"/>
    <cellStyle name="SAPBEXstdDataEmph" xfId="1101"/>
    <cellStyle name="SAPBEXstdItem" xfId="1102"/>
    <cellStyle name="SAPBEXstdItemX" xfId="1103"/>
    <cellStyle name="SAPBEXtitle" xfId="1104"/>
    <cellStyle name="SAPBEXundefined" xfId="1105"/>
    <cellStyle name="st1" xfId="1106"/>
    <cellStyle name="Standard_NEGS" xfId="1107"/>
    <cellStyle name="Style 1" xfId="1108"/>
    <cellStyle name="Table Head" xfId="1109"/>
    <cellStyle name="Table Head Aligned" xfId="1110"/>
    <cellStyle name="Table Head Blue" xfId="1111"/>
    <cellStyle name="Table Head Green" xfId="1112"/>
    <cellStyle name="Table Head_Val_Sum_Graph" xfId="1113"/>
    <cellStyle name="Table Heading" xfId="1114"/>
    <cellStyle name="Table Heading 2" xfId="1115"/>
    <cellStyle name="Table Heading_EE.2REK.P2011.4.78(v0.3)" xfId="1116"/>
    <cellStyle name="Table Text" xfId="1117"/>
    <cellStyle name="Table Title" xfId="1118"/>
    <cellStyle name="Table Units" xfId="1119"/>
    <cellStyle name="Table_Header" xfId="1120"/>
    <cellStyle name="Text" xfId="1121"/>
    <cellStyle name="Text 1" xfId="1122"/>
    <cellStyle name="Text Head" xfId="1123"/>
    <cellStyle name="Text Head 1" xfId="1124"/>
    <cellStyle name="Title" xfId="1125"/>
    <cellStyle name="Total" xfId="1126"/>
    <cellStyle name="TotalCurrency" xfId="1127"/>
    <cellStyle name="Underline_Single" xfId="1128"/>
    <cellStyle name="Unit" xfId="1129"/>
    <cellStyle name="Warning Text" xfId="1130"/>
    <cellStyle name="year" xfId="1131"/>
    <cellStyle name="Акцент1 2" xfId="1132"/>
    <cellStyle name="Акцент1 2 2" xfId="1133"/>
    <cellStyle name="Акцент1 3" xfId="1134"/>
    <cellStyle name="Акцент1 3 2" xfId="1135"/>
    <cellStyle name="Акцент1 4" xfId="1136"/>
    <cellStyle name="Акцент1 4 2" xfId="1137"/>
    <cellStyle name="Акцент1 5" xfId="1138"/>
    <cellStyle name="Акцент1 5 2" xfId="1139"/>
    <cellStyle name="Акцент1 6" xfId="1140"/>
    <cellStyle name="Акцент1 6 2" xfId="1141"/>
    <cellStyle name="Акцент1 7" xfId="1142"/>
    <cellStyle name="Акцент1 7 2" xfId="1143"/>
    <cellStyle name="Акцент1 8" xfId="1144"/>
    <cellStyle name="Акцент1 8 2" xfId="1145"/>
    <cellStyle name="Акцент1 9" xfId="1146"/>
    <cellStyle name="Акцент1 9 2" xfId="1147"/>
    <cellStyle name="Акцент2 2" xfId="1148"/>
    <cellStyle name="Акцент2 2 2" xfId="1149"/>
    <cellStyle name="Акцент2 3" xfId="1150"/>
    <cellStyle name="Акцент2 3 2" xfId="1151"/>
    <cellStyle name="Акцент2 4" xfId="1152"/>
    <cellStyle name="Акцент2 4 2" xfId="1153"/>
    <cellStyle name="Акцент2 5" xfId="1154"/>
    <cellStyle name="Акцент2 5 2" xfId="1155"/>
    <cellStyle name="Акцент2 6" xfId="1156"/>
    <cellStyle name="Акцент2 6 2" xfId="1157"/>
    <cellStyle name="Акцент2 7" xfId="1158"/>
    <cellStyle name="Акцент2 7 2" xfId="1159"/>
    <cellStyle name="Акцент2 8" xfId="1160"/>
    <cellStyle name="Акцент2 8 2" xfId="1161"/>
    <cellStyle name="Акцент2 9" xfId="1162"/>
    <cellStyle name="Акцент2 9 2" xfId="1163"/>
    <cellStyle name="Акцент3 2" xfId="1164"/>
    <cellStyle name="Акцент3 2 2" xfId="1165"/>
    <cellStyle name="Акцент3 3" xfId="1166"/>
    <cellStyle name="Акцент3 3 2" xfId="1167"/>
    <cellStyle name="Акцент3 4" xfId="1168"/>
    <cellStyle name="Акцент3 4 2" xfId="1169"/>
    <cellStyle name="Акцент3 5" xfId="1170"/>
    <cellStyle name="Акцент3 5 2" xfId="1171"/>
    <cellStyle name="Акцент3 6" xfId="1172"/>
    <cellStyle name="Акцент3 6 2" xfId="1173"/>
    <cellStyle name="Акцент3 7" xfId="1174"/>
    <cellStyle name="Акцент3 7 2" xfId="1175"/>
    <cellStyle name="Акцент3 8" xfId="1176"/>
    <cellStyle name="Акцент3 8 2" xfId="1177"/>
    <cellStyle name="Акцент3 9" xfId="1178"/>
    <cellStyle name="Акцент3 9 2" xfId="1179"/>
    <cellStyle name="Акцент4 2" xfId="1180"/>
    <cellStyle name="Акцент4 2 2" xfId="1181"/>
    <cellStyle name="Акцент4 3" xfId="1182"/>
    <cellStyle name="Акцент4 3 2" xfId="1183"/>
    <cellStyle name="Акцент4 4" xfId="1184"/>
    <cellStyle name="Акцент4 4 2" xfId="1185"/>
    <cellStyle name="Акцент4 5" xfId="1186"/>
    <cellStyle name="Акцент4 5 2" xfId="1187"/>
    <cellStyle name="Акцент4 6" xfId="1188"/>
    <cellStyle name="Акцент4 6 2" xfId="1189"/>
    <cellStyle name="Акцент4 7" xfId="1190"/>
    <cellStyle name="Акцент4 7 2" xfId="1191"/>
    <cellStyle name="Акцент4 8" xfId="1192"/>
    <cellStyle name="Акцент4 8 2" xfId="1193"/>
    <cellStyle name="Акцент4 9" xfId="1194"/>
    <cellStyle name="Акцент4 9 2" xfId="1195"/>
    <cellStyle name="Акцент5 2" xfId="1196"/>
    <cellStyle name="Акцент5 2 2" xfId="1197"/>
    <cellStyle name="Акцент5 3" xfId="1198"/>
    <cellStyle name="Акцент5 3 2" xfId="1199"/>
    <cellStyle name="Акцент5 4" xfId="1200"/>
    <cellStyle name="Акцент5 4 2" xfId="1201"/>
    <cellStyle name="Акцент5 5" xfId="1202"/>
    <cellStyle name="Акцент5 5 2" xfId="1203"/>
    <cellStyle name="Акцент5 6" xfId="1204"/>
    <cellStyle name="Акцент5 6 2" xfId="1205"/>
    <cellStyle name="Акцент5 7" xfId="1206"/>
    <cellStyle name="Акцент5 7 2" xfId="1207"/>
    <cellStyle name="Акцент5 8" xfId="1208"/>
    <cellStyle name="Акцент5 8 2" xfId="1209"/>
    <cellStyle name="Акцент5 9" xfId="1210"/>
    <cellStyle name="Акцент5 9 2" xfId="1211"/>
    <cellStyle name="Акцент6 2" xfId="1212"/>
    <cellStyle name="Акцент6 2 2" xfId="1213"/>
    <cellStyle name="Акцент6 3" xfId="1214"/>
    <cellStyle name="Акцент6 3 2" xfId="1215"/>
    <cellStyle name="Акцент6 4" xfId="1216"/>
    <cellStyle name="Акцент6 4 2" xfId="1217"/>
    <cellStyle name="Акцент6 5" xfId="1218"/>
    <cellStyle name="Акцент6 5 2" xfId="1219"/>
    <cellStyle name="Акцент6 6" xfId="1220"/>
    <cellStyle name="Акцент6 6 2" xfId="1221"/>
    <cellStyle name="Акцент6 7" xfId="1222"/>
    <cellStyle name="Акцент6 7 2" xfId="1223"/>
    <cellStyle name="Акцент6 8" xfId="1224"/>
    <cellStyle name="Акцент6 8 2" xfId="1225"/>
    <cellStyle name="Акцент6 9" xfId="1226"/>
    <cellStyle name="Акцент6 9 2" xfId="1227"/>
    <cellStyle name="Беззащитный" xfId="1228"/>
    <cellStyle name="Ввод  10" xfId="1229"/>
    <cellStyle name="Ввод  2" xfId="1230"/>
    <cellStyle name="Ввод  2 2" xfId="1231"/>
    <cellStyle name="Ввод  2_46EE.2011(v1.0)" xfId="1232"/>
    <cellStyle name="Ввод  3" xfId="1233"/>
    <cellStyle name="Ввод  3 2" xfId="1234"/>
    <cellStyle name="Ввод  3_46EE.2011(v1.0)" xfId="1235"/>
    <cellStyle name="Ввод  4" xfId="1236"/>
    <cellStyle name="Ввод  4 2" xfId="1237"/>
    <cellStyle name="Ввод  4_46EE.2011(v1.0)" xfId="1238"/>
    <cellStyle name="Ввод  5" xfId="1239"/>
    <cellStyle name="Ввод  5 2" xfId="1240"/>
    <cellStyle name="Ввод  5_46EE.2011(v1.0)" xfId="1241"/>
    <cellStyle name="Ввод  6" xfId="1242"/>
    <cellStyle name="Ввод  6 2" xfId="1243"/>
    <cellStyle name="Ввод  6_46EE.2011(v1.0)" xfId="1244"/>
    <cellStyle name="Ввод  7" xfId="1245"/>
    <cellStyle name="Ввод  7 2" xfId="1246"/>
    <cellStyle name="Ввод  7_46EE.2011(v1.0)" xfId="1247"/>
    <cellStyle name="Ввод  8" xfId="1248"/>
    <cellStyle name="Ввод  8 2" xfId="1249"/>
    <cellStyle name="Ввод  8_46EE.2011(v1.0)" xfId="1250"/>
    <cellStyle name="Ввод  9" xfId="1251"/>
    <cellStyle name="Ввод  9 2" xfId="1252"/>
    <cellStyle name="Ввод  9_46EE.2011(v1.0)" xfId="1253"/>
    <cellStyle name="Верт. заголовок" xfId="1254"/>
    <cellStyle name="Вес_продукта" xfId="1255"/>
    <cellStyle name="Вывод 2" xfId="1256"/>
    <cellStyle name="Вывод 2 2" xfId="1257"/>
    <cellStyle name="Вывод 2_46EE.2011(v1.0)" xfId="1258"/>
    <cellStyle name="Вывод 3" xfId="1259"/>
    <cellStyle name="Вывод 3 2" xfId="1260"/>
    <cellStyle name="Вывод 3_46EE.2011(v1.0)" xfId="1261"/>
    <cellStyle name="Вывод 4" xfId="1262"/>
    <cellStyle name="Вывод 4 2" xfId="1263"/>
    <cellStyle name="Вывод 4_46EE.2011(v1.0)" xfId="1264"/>
    <cellStyle name="Вывод 5" xfId="1265"/>
    <cellStyle name="Вывод 5 2" xfId="1266"/>
    <cellStyle name="Вывод 5_46EE.2011(v1.0)" xfId="1267"/>
    <cellStyle name="Вывод 6" xfId="1268"/>
    <cellStyle name="Вывод 6 2" xfId="1269"/>
    <cellStyle name="Вывод 6_46EE.2011(v1.0)" xfId="1270"/>
    <cellStyle name="Вывод 7" xfId="1271"/>
    <cellStyle name="Вывод 7 2" xfId="1272"/>
    <cellStyle name="Вывод 7_46EE.2011(v1.0)" xfId="1273"/>
    <cellStyle name="Вывод 8" xfId="1274"/>
    <cellStyle name="Вывод 8 2" xfId="1275"/>
    <cellStyle name="Вывод 8_46EE.2011(v1.0)" xfId="1276"/>
    <cellStyle name="Вывод 9" xfId="1277"/>
    <cellStyle name="Вывод 9 2" xfId="1278"/>
    <cellStyle name="Вывод 9_46EE.2011(v1.0)" xfId="1279"/>
    <cellStyle name="Вычисление 2" xfId="1280"/>
    <cellStyle name="Вычисление 2 2" xfId="1281"/>
    <cellStyle name="Вычисление 2_46EE.2011(v1.0)" xfId="1282"/>
    <cellStyle name="Вычисление 3" xfId="1283"/>
    <cellStyle name="Вычисление 3 2" xfId="1284"/>
    <cellStyle name="Вычисление 3_46EE.2011(v1.0)" xfId="1285"/>
    <cellStyle name="Вычисление 4" xfId="1286"/>
    <cellStyle name="Вычисление 4 2" xfId="1287"/>
    <cellStyle name="Вычисление 4_46EE.2011(v1.0)" xfId="1288"/>
    <cellStyle name="Вычисление 5" xfId="1289"/>
    <cellStyle name="Вычисление 5 2" xfId="1290"/>
    <cellStyle name="Вычисление 5_46EE.2011(v1.0)" xfId="1291"/>
    <cellStyle name="Вычисление 6" xfId="1292"/>
    <cellStyle name="Вычисление 6 2" xfId="1293"/>
    <cellStyle name="Вычисление 6_46EE.2011(v1.0)" xfId="1294"/>
    <cellStyle name="Вычисление 7" xfId="1295"/>
    <cellStyle name="Вычисление 7 2" xfId="1296"/>
    <cellStyle name="Вычисление 7_46EE.2011(v1.0)" xfId="1297"/>
    <cellStyle name="Вычисление 8" xfId="1298"/>
    <cellStyle name="Вычисление 8 2" xfId="1299"/>
    <cellStyle name="Вычисление 8_46EE.2011(v1.0)" xfId="1300"/>
    <cellStyle name="Вычисление 9" xfId="1301"/>
    <cellStyle name="Вычисление 9 2" xfId="1302"/>
    <cellStyle name="Вычисление 9_46EE.2011(v1.0)" xfId="1303"/>
    <cellStyle name="Гиперссылка 2" xfId="1304"/>
    <cellStyle name="Гиперссылка 3" xfId="1305"/>
    <cellStyle name="Гиперссылка 4" xfId="1306"/>
    <cellStyle name="Группа" xfId="1307"/>
    <cellStyle name="Группа 0" xfId="1308"/>
    <cellStyle name="Группа 1" xfId="1309"/>
    <cellStyle name="Группа 2" xfId="1310"/>
    <cellStyle name="Группа 3" xfId="1311"/>
    <cellStyle name="Группа 4" xfId="1312"/>
    <cellStyle name="Группа 5" xfId="1313"/>
    <cellStyle name="Группа 6" xfId="1314"/>
    <cellStyle name="Группа 7" xfId="1315"/>
    <cellStyle name="Группа 8" xfId="1316"/>
    <cellStyle name="Группа_additional slides_04.12.03 _1" xfId="1317"/>
    <cellStyle name="ДАТА" xfId="1318"/>
    <cellStyle name="ДАТА 2" xfId="1319"/>
    <cellStyle name="ДАТА 3" xfId="1320"/>
    <cellStyle name="ДАТА 4" xfId="1321"/>
    <cellStyle name="ДАТА 5" xfId="1322"/>
    <cellStyle name="ДАТА 6" xfId="1323"/>
    <cellStyle name="ДАТА 7" xfId="1324"/>
    <cellStyle name="ДАТА 8" xfId="1325"/>
    <cellStyle name="ДАТА 9" xfId="1326"/>
    <cellStyle name="ДАТА_1" xfId="1327"/>
    <cellStyle name="Денежный 2" xfId="1328"/>
    <cellStyle name="Денежный 2 2" xfId="1329"/>
    <cellStyle name="Денежный 2_INDEX.STATION.2012(v1.0)_" xfId="1330"/>
    <cellStyle name="Денежный 3" xfId="1331"/>
    <cellStyle name="Заголовок" xfId="1332"/>
    <cellStyle name="Заголовок 1 2" xfId="1333"/>
    <cellStyle name="Заголовок 1 2 2" xfId="1334"/>
    <cellStyle name="Заголовок 1 2_46EE.2011(v1.0)" xfId="1335"/>
    <cellStyle name="Заголовок 1 3" xfId="1336"/>
    <cellStyle name="Заголовок 1 3 2" xfId="1337"/>
    <cellStyle name="Заголовок 1 3_46EE.2011(v1.0)" xfId="1338"/>
    <cellStyle name="Заголовок 1 4" xfId="1339"/>
    <cellStyle name="Заголовок 1 4 2" xfId="1340"/>
    <cellStyle name="Заголовок 1 4_46EE.2011(v1.0)" xfId="1341"/>
    <cellStyle name="Заголовок 1 5" xfId="1342"/>
    <cellStyle name="Заголовок 1 5 2" xfId="1343"/>
    <cellStyle name="Заголовок 1 5_46EE.2011(v1.0)" xfId="1344"/>
    <cellStyle name="Заголовок 1 6" xfId="1345"/>
    <cellStyle name="Заголовок 1 6 2" xfId="1346"/>
    <cellStyle name="Заголовок 1 6_46EE.2011(v1.0)" xfId="1347"/>
    <cellStyle name="Заголовок 1 7" xfId="1348"/>
    <cellStyle name="Заголовок 1 7 2" xfId="1349"/>
    <cellStyle name="Заголовок 1 7_46EE.2011(v1.0)" xfId="1350"/>
    <cellStyle name="Заголовок 1 8" xfId="1351"/>
    <cellStyle name="Заголовок 1 8 2" xfId="1352"/>
    <cellStyle name="Заголовок 1 8_46EE.2011(v1.0)" xfId="1353"/>
    <cellStyle name="Заголовок 1 9" xfId="1354"/>
    <cellStyle name="Заголовок 1 9 2" xfId="1355"/>
    <cellStyle name="Заголовок 1 9_46EE.2011(v1.0)" xfId="1356"/>
    <cellStyle name="Заголовок 2 2" xfId="1357"/>
    <cellStyle name="Заголовок 2 2 2" xfId="1358"/>
    <cellStyle name="Заголовок 2 2_46EE.2011(v1.0)" xfId="1359"/>
    <cellStyle name="Заголовок 2 3" xfId="1360"/>
    <cellStyle name="Заголовок 2 3 2" xfId="1361"/>
    <cellStyle name="Заголовок 2 3_46EE.2011(v1.0)" xfId="1362"/>
    <cellStyle name="Заголовок 2 4" xfId="1363"/>
    <cellStyle name="Заголовок 2 4 2" xfId="1364"/>
    <cellStyle name="Заголовок 2 4_46EE.2011(v1.0)" xfId="1365"/>
    <cellStyle name="Заголовок 2 5" xfId="1366"/>
    <cellStyle name="Заголовок 2 5 2" xfId="1367"/>
    <cellStyle name="Заголовок 2 5_46EE.2011(v1.0)" xfId="1368"/>
    <cellStyle name="Заголовок 2 6" xfId="1369"/>
    <cellStyle name="Заголовок 2 6 2" xfId="1370"/>
    <cellStyle name="Заголовок 2 6_46EE.2011(v1.0)" xfId="1371"/>
    <cellStyle name="Заголовок 2 7" xfId="1372"/>
    <cellStyle name="Заголовок 2 7 2" xfId="1373"/>
    <cellStyle name="Заголовок 2 7_46EE.2011(v1.0)" xfId="1374"/>
    <cellStyle name="Заголовок 2 8" xfId="1375"/>
    <cellStyle name="Заголовок 2 8 2" xfId="1376"/>
    <cellStyle name="Заголовок 2 8_46EE.2011(v1.0)" xfId="1377"/>
    <cellStyle name="Заголовок 2 9" xfId="1378"/>
    <cellStyle name="Заголовок 2 9 2" xfId="1379"/>
    <cellStyle name="Заголовок 2 9_46EE.2011(v1.0)" xfId="1380"/>
    <cellStyle name="Заголовок 3 2" xfId="1381"/>
    <cellStyle name="Заголовок 3 2 2" xfId="1382"/>
    <cellStyle name="Заголовок 3 2_46EE.2011(v1.0)" xfId="1383"/>
    <cellStyle name="Заголовок 3 3" xfId="1384"/>
    <cellStyle name="Заголовок 3 3 2" xfId="1385"/>
    <cellStyle name="Заголовок 3 3_46EE.2011(v1.0)" xfId="1386"/>
    <cellStyle name="Заголовок 3 4" xfId="1387"/>
    <cellStyle name="Заголовок 3 4 2" xfId="1388"/>
    <cellStyle name="Заголовок 3 4_46EE.2011(v1.0)" xfId="1389"/>
    <cellStyle name="Заголовок 3 5" xfId="1390"/>
    <cellStyle name="Заголовок 3 5 2" xfId="1391"/>
    <cellStyle name="Заголовок 3 5_46EE.2011(v1.0)" xfId="1392"/>
    <cellStyle name="Заголовок 3 6" xfId="1393"/>
    <cellStyle name="Заголовок 3 6 2" xfId="1394"/>
    <cellStyle name="Заголовок 3 6_46EE.2011(v1.0)" xfId="1395"/>
    <cellStyle name="Заголовок 3 7" xfId="1396"/>
    <cellStyle name="Заголовок 3 7 2" xfId="1397"/>
    <cellStyle name="Заголовок 3 7_46EE.2011(v1.0)" xfId="1398"/>
    <cellStyle name="Заголовок 3 8" xfId="1399"/>
    <cellStyle name="Заголовок 3 8 2" xfId="1400"/>
    <cellStyle name="Заголовок 3 8_46EE.2011(v1.0)" xfId="1401"/>
    <cellStyle name="Заголовок 3 9" xfId="1402"/>
    <cellStyle name="Заголовок 3 9 2" xfId="1403"/>
    <cellStyle name="Заголовок 3 9_46EE.2011(v1.0)" xfId="1404"/>
    <cellStyle name="Заголовок 4 2" xfId="1405"/>
    <cellStyle name="Заголовок 4 2 2" xfId="1406"/>
    <cellStyle name="Заголовок 4 3" xfId="1407"/>
    <cellStyle name="Заголовок 4 3 2" xfId="1408"/>
    <cellStyle name="Заголовок 4 4" xfId="1409"/>
    <cellStyle name="Заголовок 4 4 2" xfId="1410"/>
    <cellStyle name="Заголовок 4 5" xfId="1411"/>
    <cellStyle name="Заголовок 4 5 2" xfId="1412"/>
    <cellStyle name="Заголовок 4 6" xfId="1413"/>
    <cellStyle name="Заголовок 4 6 2" xfId="1414"/>
    <cellStyle name="Заголовок 4 7" xfId="1415"/>
    <cellStyle name="Заголовок 4 7 2" xfId="1416"/>
    <cellStyle name="Заголовок 4 8" xfId="1417"/>
    <cellStyle name="Заголовок 4 8 2" xfId="1418"/>
    <cellStyle name="Заголовок 4 9" xfId="1419"/>
    <cellStyle name="Заголовок 4 9 2" xfId="1420"/>
    <cellStyle name="ЗАГОЛОВОК1" xfId="1421"/>
    <cellStyle name="ЗАГОЛОВОК2" xfId="1422"/>
    <cellStyle name="ЗаголовокСтолбца" xfId="1423"/>
    <cellStyle name="ЗаголовокСтолбца 2" xfId="1424"/>
    <cellStyle name="ЗаголовокСтолбца 3" xfId="1425"/>
    <cellStyle name="Защитный" xfId="1426"/>
    <cellStyle name="Значение" xfId="1427"/>
    <cellStyle name="Зоголовок" xfId="1428"/>
    <cellStyle name="Итог 2" xfId="1429"/>
    <cellStyle name="Итог 2 2" xfId="1430"/>
    <cellStyle name="Итог 2_46EE.2011(v1.0)" xfId="1431"/>
    <cellStyle name="Итог 3" xfId="1432"/>
    <cellStyle name="Итог 3 2" xfId="1433"/>
    <cellStyle name="Итог 3_46EE.2011(v1.0)" xfId="1434"/>
    <cellStyle name="Итог 4" xfId="1435"/>
    <cellStyle name="Итог 4 2" xfId="1436"/>
    <cellStyle name="Итог 4_46EE.2011(v1.0)" xfId="1437"/>
    <cellStyle name="Итог 5" xfId="1438"/>
    <cellStyle name="Итог 5 2" xfId="1439"/>
    <cellStyle name="Итог 5_46EE.2011(v1.0)" xfId="1440"/>
    <cellStyle name="Итог 6" xfId="1441"/>
    <cellStyle name="Итог 6 2" xfId="1442"/>
    <cellStyle name="Итог 6_46EE.2011(v1.0)" xfId="1443"/>
    <cellStyle name="Итог 7" xfId="1444"/>
    <cellStyle name="Итог 7 2" xfId="1445"/>
    <cellStyle name="Итог 7_46EE.2011(v1.0)" xfId="1446"/>
    <cellStyle name="Итог 8" xfId="1447"/>
    <cellStyle name="Итог 8 2" xfId="1448"/>
    <cellStyle name="Итог 8_46EE.2011(v1.0)" xfId="1449"/>
    <cellStyle name="Итог 9" xfId="1450"/>
    <cellStyle name="Итог 9 2" xfId="1451"/>
    <cellStyle name="Итог 9_46EE.2011(v1.0)" xfId="1452"/>
    <cellStyle name="Итого" xfId="1453"/>
    <cellStyle name="ИТОГОВЫЙ" xfId="1454"/>
    <cellStyle name="ИТОГОВЫЙ 2" xfId="1455"/>
    <cellStyle name="ИТОГОВЫЙ 3" xfId="1456"/>
    <cellStyle name="ИТОГОВЫЙ 4" xfId="1457"/>
    <cellStyle name="ИТОГОВЫЙ 5" xfId="1458"/>
    <cellStyle name="ИТОГОВЫЙ 6" xfId="1459"/>
    <cellStyle name="ИТОГОВЫЙ 7" xfId="1460"/>
    <cellStyle name="ИТОГОВЫЙ 8" xfId="1461"/>
    <cellStyle name="ИТОГОВЫЙ 9" xfId="1462"/>
    <cellStyle name="ИТОГОВЫЙ_1" xfId="1463"/>
    <cellStyle name="Контрольная ячейка 2" xfId="1464"/>
    <cellStyle name="Контрольная ячейка 2 2" xfId="1465"/>
    <cellStyle name="Контрольная ячейка 2_46EE.2011(v1.0)" xfId="1466"/>
    <cellStyle name="Контрольная ячейка 3" xfId="1467"/>
    <cellStyle name="Контрольная ячейка 3 2" xfId="1468"/>
    <cellStyle name="Контрольная ячейка 3_46EE.2011(v1.0)" xfId="1469"/>
    <cellStyle name="Контрольная ячейка 4" xfId="1470"/>
    <cellStyle name="Контрольная ячейка 4 2" xfId="1471"/>
    <cellStyle name="Контрольная ячейка 4_46EE.2011(v1.0)" xfId="1472"/>
    <cellStyle name="Контрольная ячейка 5" xfId="1473"/>
    <cellStyle name="Контрольная ячейка 5 2" xfId="1474"/>
    <cellStyle name="Контрольная ячейка 5_46EE.2011(v1.0)" xfId="1475"/>
    <cellStyle name="Контрольная ячейка 6" xfId="1476"/>
    <cellStyle name="Контрольная ячейка 6 2" xfId="1477"/>
    <cellStyle name="Контрольная ячейка 6_46EE.2011(v1.0)" xfId="1478"/>
    <cellStyle name="Контрольная ячейка 7" xfId="1479"/>
    <cellStyle name="Контрольная ячейка 7 2" xfId="1480"/>
    <cellStyle name="Контрольная ячейка 7_46EE.2011(v1.0)" xfId="1481"/>
    <cellStyle name="Контрольная ячейка 8" xfId="1482"/>
    <cellStyle name="Контрольная ячейка 8 2" xfId="1483"/>
    <cellStyle name="Контрольная ячейка 8_46EE.2011(v1.0)" xfId="1484"/>
    <cellStyle name="Контрольная ячейка 9" xfId="1485"/>
    <cellStyle name="Контрольная ячейка 9 2" xfId="1486"/>
    <cellStyle name="Контрольная ячейка 9_46EE.2011(v1.0)" xfId="1487"/>
    <cellStyle name="Миша (бланки отчетности)" xfId="1488"/>
    <cellStyle name="Мой заголовок" xfId="1543"/>
    <cellStyle name="Мой заголовок листа" xfId="1544"/>
    <cellStyle name="Мои наименования показателей" xfId="1489"/>
    <cellStyle name="Мои наименования показателей 2" xfId="1490"/>
    <cellStyle name="Мои наименования показателей 2 2" xfId="1491"/>
    <cellStyle name="Мои наименования показателей 2 3" xfId="1492"/>
    <cellStyle name="Мои наименования показателей 2 4" xfId="1493"/>
    <cellStyle name="Мои наименования показателей 2 5" xfId="1494"/>
    <cellStyle name="Мои наименования показателей 2 6" xfId="1495"/>
    <cellStyle name="Мои наименования показателей 2 7" xfId="1496"/>
    <cellStyle name="Мои наименования показателей 2 8" xfId="1497"/>
    <cellStyle name="Мои наименования показателей 2 9" xfId="1498"/>
    <cellStyle name="Мои наименования показателей 2_1" xfId="1499"/>
    <cellStyle name="Мои наименования показателей 3" xfId="1500"/>
    <cellStyle name="Мои наименования показателей 3 2" xfId="1501"/>
    <cellStyle name="Мои наименования показателей 3 3" xfId="1502"/>
    <cellStyle name="Мои наименования показателей 3 4" xfId="1503"/>
    <cellStyle name="Мои наименования показателей 3 5" xfId="1504"/>
    <cellStyle name="Мои наименования показателей 3 6" xfId="1505"/>
    <cellStyle name="Мои наименования показателей 3 7" xfId="1506"/>
    <cellStyle name="Мои наименования показателей 3 8" xfId="1507"/>
    <cellStyle name="Мои наименования показателей 3 9" xfId="1508"/>
    <cellStyle name="Мои наименования показателей 3_1" xfId="1509"/>
    <cellStyle name="Мои наименования показателей 4" xfId="1510"/>
    <cellStyle name="Мои наименования показателей 4 2" xfId="1511"/>
    <cellStyle name="Мои наименования показателей 4 3" xfId="1512"/>
    <cellStyle name="Мои наименования показателей 4 4" xfId="1513"/>
    <cellStyle name="Мои наименования показателей 4 5" xfId="1514"/>
    <cellStyle name="Мои наименования показателей 4 6" xfId="1515"/>
    <cellStyle name="Мои наименования показателей 4 7" xfId="1516"/>
    <cellStyle name="Мои наименования показателей 4 8" xfId="1517"/>
    <cellStyle name="Мои наименования показателей 4 9" xfId="1518"/>
    <cellStyle name="Мои наименования показателей 4_1" xfId="1519"/>
    <cellStyle name="Мои наименования показателей 5" xfId="1520"/>
    <cellStyle name="Мои наименования показателей 5 2" xfId="1521"/>
    <cellStyle name="Мои наименования показателей 5 3" xfId="1522"/>
    <cellStyle name="Мои наименования показателей 5 4" xfId="1523"/>
    <cellStyle name="Мои наименования показателей 5 5" xfId="1524"/>
    <cellStyle name="Мои наименования показателей 5 6" xfId="1525"/>
    <cellStyle name="Мои наименования показателей 5 7" xfId="1526"/>
    <cellStyle name="Мои наименования показателей 5 8" xfId="1527"/>
    <cellStyle name="Мои наименования показателей 5 9" xfId="1528"/>
    <cellStyle name="Мои наименования показателей 5_1" xfId="1529"/>
    <cellStyle name="Мои наименования показателей 6" xfId="1530"/>
    <cellStyle name="Мои наименования показателей 6 2" xfId="1531"/>
    <cellStyle name="Мои наименования показателей 6 3" xfId="1532"/>
    <cellStyle name="Мои наименования показателей 6_46EE.2011(v1.0)" xfId="1533"/>
    <cellStyle name="Мои наименования показателей 7" xfId="1534"/>
    <cellStyle name="Мои наименования показателей 7 2" xfId="1535"/>
    <cellStyle name="Мои наименования показателей 7 3" xfId="1536"/>
    <cellStyle name="Мои наименования показателей 7_46EE.2011(v1.0)" xfId="1537"/>
    <cellStyle name="Мои наименования показателей 8" xfId="1538"/>
    <cellStyle name="Мои наименования показателей 8 2" xfId="1539"/>
    <cellStyle name="Мои наименования показателей 8 3" xfId="1540"/>
    <cellStyle name="Мои наименования показателей 8_46EE.2011(v1.0)" xfId="1541"/>
    <cellStyle name="Мои наименования показателей_46EE.2011" xfId="1542"/>
    <cellStyle name="назв фил" xfId="1545"/>
    <cellStyle name="Название 2" xfId="1546"/>
    <cellStyle name="Название 2 2" xfId="1547"/>
    <cellStyle name="Название 3" xfId="1548"/>
    <cellStyle name="Название 3 2" xfId="1549"/>
    <cellStyle name="Название 4" xfId="1550"/>
    <cellStyle name="Название 4 2" xfId="1551"/>
    <cellStyle name="Название 5" xfId="1552"/>
    <cellStyle name="Название 5 2" xfId="1553"/>
    <cellStyle name="Название 6" xfId="1554"/>
    <cellStyle name="Название 6 2" xfId="1555"/>
    <cellStyle name="Название 7" xfId="1556"/>
    <cellStyle name="Название 7 2" xfId="1557"/>
    <cellStyle name="Название 8" xfId="1558"/>
    <cellStyle name="Название 8 2" xfId="1559"/>
    <cellStyle name="Название 9" xfId="1560"/>
    <cellStyle name="Название 9 2" xfId="1561"/>
    <cellStyle name="Невидимый" xfId="1562"/>
    <cellStyle name="Нейтральный 2" xfId="1563"/>
    <cellStyle name="Нейтральный 2 2" xfId="1564"/>
    <cellStyle name="Нейтральный 3" xfId="1565"/>
    <cellStyle name="Нейтральный 3 2" xfId="1566"/>
    <cellStyle name="Нейтральный 4" xfId="1567"/>
    <cellStyle name="Нейтральный 4 2" xfId="1568"/>
    <cellStyle name="Нейтральный 5" xfId="1569"/>
    <cellStyle name="Нейтральный 5 2" xfId="1570"/>
    <cellStyle name="Нейтральный 6" xfId="1571"/>
    <cellStyle name="Нейтральный 6 2" xfId="1572"/>
    <cellStyle name="Нейтральный 7" xfId="1573"/>
    <cellStyle name="Нейтральный 7 2" xfId="1574"/>
    <cellStyle name="Нейтральный 8" xfId="1575"/>
    <cellStyle name="Нейтральный 8 2" xfId="1576"/>
    <cellStyle name="Нейтральный 9" xfId="1577"/>
    <cellStyle name="Нейтральный 9 2" xfId="1578"/>
    <cellStyle name="Низ1" xfId="1579"/>
    <cellStyle name="Низ2" xfId="1580"/>
    <cellStyle name="Обычный" xfId="0" builtinId="0"/>
    <cellStyle name="Обычный 10" xfId="1581"/>
    <cellStyle name="Обычный 10 2" xfId="1582"/>
    <cellStyle name="Обычный 11" xfId="1583"/>
    <cellStyle name="Обычный 11 2" xfId="1584"/>
    <cellStyle name="Обычный 11_INDEX.STATION.2012(v1.0)_" xfId="1585"/>
    <cellStyle name="Обычный 12" xfId="1586"/>
    <cellStyle name="Обычный 13" xfId="1587"/>
    <cellStyle name="Обычный 14" xfId="1588"/>
    <cellStyle name="Обычный 15" xfId="1589"/>
    <cellStyle name="Обычный 15 2" xfId="1590"/>
    <cellStyle name="Обычный 16" xfId="1591"/>
    <cellStyle name="Обычный 17" xfId="1592"/>
    <cellStyle name="Обычный 2" xfId="1593"/>
    <cellStyle name="Обычный 2 10" xfId="1594"/>
    <cellStyle name="Обычный 2 2" xfId="1595"/>
    <cellStyle name="Обычный 2 2 2" xfId="1596"/>
    <cellStyle name="Обычный 2 2 3" xfId="1597"/>
    <cellStyle name="Обычный 2 2 4" xfId="1598"/>
    <cellStyle name="Обычный 2 2_46EE.2011(v1.0)" xfId="1599"/>
    <cellStyle name="Обычный 2 3" xfId="1600"/>
    <cellStyle name="Обычный 2 3 2" xfId="1601"/>
    <cellStyle name="Обычный 2 3 3" xfId="1602"/>
    <cellStyle name="Обычный 2 3 4" xfId="1603"/>
    <cellStyle name="Обычный 2 3_46EE.2011(v1.0)" xfId="1604"/>
    <cellStyle name="Обычный 2 4" xfId="1605"/>
    <cellStyle name="Обычный 2 4 2" xfId="1606"/>
    <cellStyle name="Обычный 2 4 3" xfId="1607"/>
    <cellStyle name="Обычный 2 4 4" xfId="1608"/>
    <cellStyle name="Обычный 2 4_46EE.2011(v1.0)" xfId="1609"/>
    <cellStyle name="Обычный 2 5" xfId="1610"/>
    <cellStyle name="Обычный 2 5 2" xfId="1611"/>
    <cellStyle name="Обычный 2 5 3" xfId="1612"/>
    <cellStyle name="Обычный 2 5_46EE.2011(v1.0)" xfId="1613"/>
    <cellStyle name="Обычный 2 6" xfId="1614"/>
    <cellStyle name="Обычный 2 6 2" xfId="1615"/>
    <cellStyle name="Обычный 2 6 3" xfId="1616"/>
    <cellStyle name="Обычный 2 6_46EE.2011(v1.0)" xfId="1617"/>
    <cellStyle name="Обычный 2 7" xfId="1618"/>
    <cellStyle name="Обычный 2 8" xfId="1619"/>
    <cellStyle name="Обычный 2 9" xfId="1620"/>
    <cellStyle name="Обычный 2_1" xfId="1621"/>
    <cellStyle name="Обычный 3" xfId="1622"/>
    <cellStyle name="Обычный 3 2" xfId="1623"/>
    <cellStyle name="Обычный 3 2 2" xfId="1624"/>
    <cellStyle name="Обычный 3 3" xfId="1625"/>
    <cellStyle name="Обычный 3 4" xfId="1626"/>
    <cellStyle name="Обычный 3_1_Оренбург 2009-2013" xfId="1627"/>
    <cellStyle name="Обычный 4" xfId="1628"/>
    <cellStyle name="Обычный 4 10" xfId="1629"/>
    <cellStyle name="Обычный 4 11" xfId="1630"/>
    <cellStyle name="Обычный 4 12" xfId="1631"/>
    <cellStyle name="Обычный 4 13" xfId="1632"/>
    <cellStyle name="Обычный 4 14" xfId="1633"/>
    <cellStyle name="Обычный 4 15" xfId="1634"/>
    <cellStyle name="Обычный 4 16" xfId="1635"/>
    <cellStyle name="Обычный 4 17" xfId="1636"/>
    <cellStyle name="Обычный 4 18" xfId="1637"/>
    <cellStyle name="Обычный 4 19" xfId="1638"/>
    <cellStyle name="Обычный 4 2" xfId="1639"/>
    <cellStyle name="Обычный 4 2 10" xfId="1640"/>
    <cellStyle name="Обычный 4 2 11" xfId="1641"/>
    <cellStyle name="Обычный 4 2 12" xfId="1642"/>
    <cellStyle name="Обычный 4 2 13" xfId="1643"/>
    <cellStyle name="Обычный 4 2 14" xfId="1644"/>
    <cellStyle name="Обычный 4 2 15" xfId="1645"/>
    <cellStyle name="Обычный 4 2 16" xfId="1646"/>
    <cellStyle name="Обычный 4 2 17" xfId="1647"/>
    <cellStyle name="Обычный 4 2 18" xfId="1648"/>
    <cellStyle name="Обычный 4 2 19" xfId="1649"/>
    <cellStyle name="Обычный 4 2 2" xfId="1650"/>
    <cellStyle name="Обычный 4 2 20" xfId="1651"/>
    <cellStyle name="Обычный 4 2 3" xfId="1652"/>
    <cellStyle name="Обычный 4 2 4" xfId="1653"/>
    <cellStyle name="Обычный 4 2 5" xfId="1654"/>
    <cellStyle name="Обычный 4 2 6" xfId="1655"/>
    <cellStyle name="Обычный 4 2 7" xfId="1656"/>
    <cellStyle name="Обычный 4 2 8" xfId="1657"/>
    <cellStyle name="Обычный 4 2 9" xfId="1658"/>
    <cellStyle name="Обычный 4 2_BALANCE.WARM.2011YEAR(v1.5)" xfId="1659"/>
    <cellStyle name="Обычный 4 20" xfId="1660"/>
    <cellStyle name="Обычный 4 21" xfId="1661"/>
    <cellStyle name="Обычный 4 3" xfId="1662"/>
    <cellStyle name="Обычный 4 4" xfId="1663"/>
    <cellStyle name="Обычный 4 5" xfId="1664"/>
    <cellStyle name="Обычный 4 6" xfId="1665"/>
    <cellStyle name="Обычный 4 7" xfId="1666"/>
    <cellStyle name="Обычный 4 8" xfId="1667"/>
    <cellStyle name="Обычный 4 9" xfId="1668"/>
    <cellStyle name="Обычный 4_EE.20.MET.SVOD.2.73_v0.1" xfId="1669"/>
    <cellStyle name="Обычный 5" xfId="1670"/>
    <cellStyle name="Обычный 5 2" xfId="1671"/>
    <cellStyle name="Обычный 5_Производств. показатели" xfId="1672"/>
    <cellStyle name="Обычный 6" xfId="1673"/>
    <cellStyle name="Обычный 7" xfId="1674"/>
    <cellStyle name="Обычный 7 2" xfId="1675"/>
    <cellStyle name="Обычный 8" xfId="1676"/>
    <cellStyle name="Обычный 9" xfId="1677"/>
    <cellStyle name="Обычный 9 2" xfId="1678"/>
    <cellStyle name="Обычный 9 3" xfId="1679"/>
    <cellStyle name="Обычный_ППфакт-2007г." xfId="1680"/>
    <cellStyle name="Ошибка" xfId="1681"/>
    <cellStyle name="Плохой 2" xfId="1682"/>
    <cellStyle name="Плохой 2 2" xfId="1683"/>
    <cellStyle name="Плохой 3" xfId="1684"/>
    <cellStyle name="Плохой 3 2" xfId="1685"/>
    <cellStyle name="Плохой 4" xfId="1686"/>
    <cellStyle name="Плохой 4 2" xfId="1687"/>
    <cellStyle name="Плохой 5" xfId="1688"/>
    <cellStyle name="Плохой 5 2" xfId="1689"/>
    <cellStyle name="Плохой 6" xfId="1690"/>
    <cellStyle name="Плохой 6 2" xfId="1691"/>
    <cellStyle name="Плохой 7" xfId="1692"/>
    <cellStyle name="Плохой 7 2" xfId="1693"/>
    <cellStyle name="Плохой 8" xfId="1694"/>
    <cellStyle name="Плохой 8 2" xfId="1695"/>
    <cellStyle name="Плохой 9" xfId="1696"/>
    <cellStyle name="Плохой 9 2" xfId="1697"/>
    <cellStyle name="По центру с переносом" xfId="1698"/>
    <cellStyle name="По ширине с переносом" xfId="1699"/>
    <cellStyle name="Подгруппа" xfId="1700"/>
    <cellStyle name="Поле ввода" xfId="1701"/>
    <cellStyle name="Пояснение 2" xfId="1702"/>
    <cellStyle name="Пояснение 2 2" xfId="1703"/>
    <cellStyle name="Пояснение 3" xfId="1704"/>
    <cellStyle name="Пояснение 3 2" xfId="1705"/>
    <cellStyle name="Пояснение 4" xfId="1706"/>
    <cellStyle name="Пояснение 4 2" xfId="1707"/>
    <cellStyle name="Пояснение 5" xfId="1708"/>
    <cellStyle name="Пояснение 5 2" xfId="1709"/>
    <cellStyle name="Пояснение 6" xfId="1710"/>
    <cellStyle name="Пояснение 6 2" xfId="1711"/>
    <cellStyle name="Пояснение 7" xfId="1712"/>
    <cellStyle name="Пояснение 7 2" xfId="1713"/>
    <cellStyle name="Пояснение 8" xfId="1714"/>
    <cellStyle name="Пояснение 8 2" xfId="1715"/>
    <cellStyle name="Пояснение 9" xfId="1716"/>
    <cellStyle name="Пояснение 9 2" xfId="1717"/>
    <cellStyle name="Примечание 10" xfId="1718"/>
    <cellStyle name="Примечание 10 2" xfId="1719"/>
    <cellStyle name="Примечание 10 3" xfId="1720"/>
    <cellStyle name="Примечание 10_46EE.2011(v1.0)" xfId="1721"/>
    <cellStyle name="Примечание 11" xfId="1722"/>
    <cellStyle name="Примечание 11 2" xfId="1723"/>
    <cellStyle name="Примечание 11 3" xfId="1724"/>
    <cellStyle name="Примечание 11_46EE.2011(v1.0)" xfId="1725"/>
    <cellStyle name="Примечание 12" xfId="1726"/>
    <cellStyle name="Примечание 12 2" xfId="1727"/>
    <cellStyle name="Примечание 12 3" xfId="1728"/>
    <cellStyle name="Примечание 12_46EE.2011(v1.0)" xfId="1729"/>
    <cellStyle name="Примечание 2" xfId="1730"/>
    <cellStyle name="Примечание 2 2" xfId="1731"/>
    <cellStyle name="Примечание 2 3" xfId="1732"/>
    <cellStyle name="Примечание 2 4" xfId="1733"/>
    <cellStyle name="Примечание 2 5" xfId="1734"/>
    <cellStyle name="Примечание 2 6" xfId="1735"/>
    <cellStyle name="Примечание 2 7" xfId="1736"/>
    <cellStyle name="Примечание 2 8" xfId="1737"/>
    <cellStyle name="Примечание 2 9" xfId="1738"/>
    <cellStyle name="Примечание 2_46EE.2011(v1.0)" xfId="1739"/>
    <cellStyle name="Примечание 3" xfId="1740"/>
    <cellStyle name="Примечание 3 2" xfId="1741"/>
    <cellStyle name="Примечание 3 3" xfId="1742"/>
    <cellStyle name="Примечание 3 4" xfId="1743"/>
    <cellStyle name="Примечание 3 5" xfId="1744"/>
    <cellStyle name="Примечание 3 6" xfId="1745"/>
    <cellStyle name="Примечание 3 7" xfId="1746"/>
    <cellStyle name="Примечание 3 8" xfId="1747"/>
    <cellStyle name="Примечание 3 9" xfId="1748"/>
    <cellStyle name="Примечание 3_46EE.2011(v1.0)" xfId="1749"/>
    <cellStyle name="Примечание 4" xfId="1750"/>
    <cellStyle name="Примечание 4 2" xfId="1751"/>
    <cellStyle name="Примечание 4 3" xfId="1752"/>
    <cellStyle name="Примечание 4 4" xfId="1753"/>
    <cellStyle name="Примечание 4 5" xfId="1754"/>
    <cellStyle name="Примечание 4 6" xfId="1755"/>
    <cellStyle name="Примечание 4 7" xfId="1756"/>
    <cellStyle name="Примечание 4 8" xfId="1757"/>
    <cellStyle name="Примечание 4 9" xfId="1758"/>
    <cellStyle name="Примечание 4_46EE.2011(v1.0)" xfId="1759"/>
    <cellStyle name="Примечание 5" xfId="1760"/>
    <cellStyle name="Примечание 5 2" xfId="1761"/>
    <cellStyle name="Примечание 5 3" xfId="1762"/>
    <cellStyle name="Примечание 5 4" xfId="1763"/>
    <cellStyle name="Примечание 5 5" xfId="1764"/>
    <cellStyle name="Примечание 5 6" xfId="1765"/>
    <cellStyle name="Примечание 5 7" xfId="1766"/>
    <cellStyle name="Примечание 5 8" xfId="1767"/>
    <cellStyle name="Примечание 5 9" xfId="1768"/>
    <cellStyle name="Примечание 5_46EE.2011(v1.0)" xfId="1769"/>
    <cellStyle name="Примечание 6" xfId="1770"/>
    <cellStyle name="Примечание 6 2" xfId="1771"/>
    <cellStyle name="Примечание 6_46EE.2011(v1.0)" xfId="1772"/>
    <cellStyle name="Примечание 7" xfId="1773"/>
    <cellStyle name="Примечание 7 2" xfId="1774"/>
    <cellStyle name="Примечание 7_46EE.2011(v1.0)" xfId="1775"/>
    <cellStyle name="Примечание 8" xfId="1776"/>
    <cellStyle name="Примечание 8 2" xfId="1777"/>
    <cellStyle name="Примечание 8_46EE.2011(v1.0)" xfId="1778"/>
    <cellStyle name="Примечание 9" xfId="1779"/>
    <cellStyle name="Примечание 9 2" xfId="1780"/>
    <cellStyle name="Примечание 9_46EE.2011(v1.0)" xfId="1781"/>
    <cellStyle name="Продукт" xfId="1782"/>
    <cellStyle name="Процентный" xfId="1783" builtinId="5"/>
    <cellStyle name="Процентный 10" xfId="1784"/>
    <cellStyle name="Процентный 2" xfId="1785"/>
    <cellStyle name="Процентный 2 2" xfId="1786"/>
    <cellStyle name="Процентный 2 3" xfId="1787"/>
    <cellStyle name="Процентный 3" xfId="1788"/>
    <cellStyle name="Процентный 3 2" xfId="1789"/>
    <cellStyle name="Процентный 3 3" xfId="1790"/>
    <cellStyle name="Процентный 4" xfId="1791"/>
    <cellStyle name="Процентный 4 2" xfId="1792"/>
    <cellStyle name="Процентный 4 3" xfId="1793"/>
    <cellStyle name="Процентный 5" xfId="1794"/>
    <cellStyle name="Процентный 6" xfId="1795"/>
    <cellStyle name="Процентный 6 2" xfId="1796"/>
    <cellStyle name="Процентный 7" xfId="1797"/>
    <cellStyle name="Процентный 9" xfId="1798"/>
    <cellStyle name="Разница" xfId="1799"/>
    <cellStyle name="Рамки" xfId="1800"/>
    <cellStyle name="Сводная таблица" xfId="1801"/>
    <cellStyle name="Связанная ячейка 2" xfId="1802"/>
    <cellStyle name="Связанная ячейка 2 2" xfId="1803"/>
    <cellStyle name="Связанная ячейка 2_46EE.2011(v1.0)" xfId="1804"/>
    <cellStyle name="Связанная ячейка 3" xfId="1805"/>
    <cellStyle name="Связанная ячейка 3 2" xfId="1806"/>
    <cellStyle name="Связанная ячейка 3_46EE.2011(v1.0)" xfId="1807"/>
    <cellStyle name="Связанная ячейка 4" xfId="1808"/>
    <cellStyle name="Связанная ячейка 4 2" xfId="1809"/>
    <cellStyle name="Связанная ячейка 4_46EE.2011(v1.0)" xfId="1810"/>
    <cellStyle name="Связанная ячейка 5" xfId="1811"/>
    <cellStyle name="Связанная ячейка 5 2" xfId="1812"/>
    <cellStyle name="Связанная ячейка 5_46EE.2011(v1.0)" xfId="1813"/>
    <cellStyle name="Связанная ячейка 6" xfId="1814"/>
    <cellStyle name="Связанная ячейка 6 2" xfId="1815"/>
    <cellStyle name="Связанная ячейка 6_46EE.2011(v1.0)" xfId="1816"/>
    <cellStyle name="Связанная ячейка 7" xfId="1817"/>
    <cellStyle name="Связанная ячейка 7 2" xfId="1818"/>
    <cellStyle name="Связанная ячейка 7_46EE.2011(v1.0)" xfId="1819"/>
    <cellStyle name="Связанная ячейка 8" xfId="1820"/>
    <cellStyle name="Связанная ячейка 8 2" xfId="1821"/>
    <cellStyle name="Связанная ячейка 8_46EE.2011(v1.0)" xfId="1822"/>
    <cellStyle name="Связанная ячейка 9" xfId="1823"/>
    <cellStyle name="Связанная ячейка 9 2" xfId="1824"/>
    <cellStyle name="Связанная ячейка 9_46EE.2011(v1.0)" xfId="1825"/>
    <cellStyle name="Стиль 1" xfId="1826"/>
    <cellStyle name="Стиль 1 2" xfId="1827"/>
    <cellStyle name="Стиль 1 2 2" xfId="1828"/>
    <cellStyle name="Стиль 1 2_EE.2REK.P2011.4.78(v0.3)" xfId="1829"/>
    <cellStyle name="Стиль_названий" xfId="1830"/>
    <cellStyle name="Субсчет" xfId="1831"/>
    <cellStyle name="Счет" xfId="1832"/>
    <cellStyle name="ТЕКСТ" xfId="1833"/>
    <cellStyle name="ТЕКСТ 2" xfId="1834"/>
    <cellStyle name="ТЕКСТ 3" xfId="1835"/>
    <cellStyle name="ТЕКСТ 4" xfId="1836"/>
    <cellStyle name="ТЕКСТ 5" xfId="1837"/>
    <cellStyle name="ТЕКСТ 6" xfId="1838"/>
    <cellStyle name="ТЕКСТ 7" xfId="1839"/>
    <cellStyle name="ТЕКСТ 8" xfId="1840"/>
    <cellStyle name="ТЕКСТ 9" xfId="1841"/>
    <cellStyle name="Текст предупреждения 2" xfId="1842"/>
    <cellStyle name="Текст предупреждения 2 2" xfId="1843"/>
    <cellStyle name="Текст предупреждения 3" xfId="1844"/>
    <cellStyle name="Текст предупреждения 3 2" xfId="1845"/>
    <cellStyle name="Текст предупреждения 4" xfId="1846"/>
    <cellStyle name="Текст предупреждения 4 2" xfId="1847"/>
    <cellStyle name="Текст предупреждения 5" xfId="1848"/>
    <cellStyle name="Текст предупреждения 5 2" xfId="1849"/>
    <cellStyle name="Текст предупреждения 6" xfId="1850"/>
    <cellStyle name="Текст предупреждения 6 2" xfId="1851"/>
    <cellStyle name="Текст предупреждения 7" xfId="1852"/>
    <cellStyle name="Текст предупреждения 7 2" xfId="1853"/>
    <cellStyle name="Текст предупреждения 8" xfId="1854"/>
    <cellStyle name="Текст предупреждения 8 2" xfId="1855"/>
    <cellStyle name="Текст предупреждения 9" xfId="1856"/>
    <cellStyle name="Текст предупреждения 9 2" xfId="1857"/>
    <cellStyle name="Текстовый" xfId="1858"/>
    <cellStyle name="Текстовый 2" xfId="1859"/>
    <cellStyle name="Текстовый 3" xfId="1860"/>
    <cellStyle name="Текстовый 4" xfId="1861"/>
    <cellStyle name="Текстовый 5" xfId="1862"/>
    <cellStyle name="Текстовый 6" xfId="1863"/>
    <cellStyle name="Текстовый 7" xfId="1864"/>
    <cellStyle name="Текстовый 8" xfId="1865"/>
    <cellStyle name="Текстовый 9" xfId="1866"/>
    <cellStyle name="Текстовый_1" xfId="1867"/>
    <cellStyle name="Тысячи [0]_22гк" xfId="1868"/>
    <cellStyle name="Тысячи_22гк" xfId="1869"/>
    <cellStyle name="ФИКСИРОВАННЫЙ" xfId="1870"/>
    <cellStyle name="ФИКСИРОВАННЫЙ 2" xfId="1871"/>
    <cellStyle name="ФИКСИРОВАННЫЙ 3" xfId="1872"/>
    <cellStyle name="ФИКСИРОВАННЫЙ 4" xfId="1873"/>
    <cellStyle name="ФИКСИРОВАННЫЙ 5" xfId="1874"/>
    <cellStyle name="ФИКСИРОВАННЫЙ 6" xfId="1875"/>
    <cellStyle name="ФИКСИРОВАННЫЙ 7" xfId="1876"/>
    <cellStyle name="ФИКСИРОВАННЫЙ 8" xfId="1877"/>
    <cellStyle name="ФИКСИРОВАННЫЙ 9" xfId="1878"/>
    <cellStyle name="ФИКСИРОВАННЫЙ_1" xfId="1879"/>
    <cellStyle name="Финансовый" xfId="1880" builtinId="3"/>
    <cellStyle name="Финансовый 2" xfId="1881"/>
    <cellStyle name="Финансовый 2 10" xfId="1882"/>
    <cellStyle name="Финансовый 2 11" xfId="1883"/>
    <cellStyle name="Финансовый 2 12" xfId="1884"/>
    <cellStyle name="Финансовый 2 13" xfId="1885"/>
    <cellStyle name="Финансовый 2 14" xfId="1886"/>
    <cellStyle name="Финансовый 2 15" xfId="1887"/>
    <cellStyle name="Финансовый 2 16" xfId="1888"/>
    <cellStyle name="Финансовый 2 17" xfId="1889"/>
    <cellStyle name="Финансовый 2 18" xfId="1890"/>
    <cellStyle name="Финансовый 2 19" xfId="1891"/>
    <cellStyle name="Финансовый 2 2" xfId="1892"/>
    <cellStyle name="Финансовый 2 2 2" xfId="1893"/>
    <cellStyle name="Финансовый 2 2_INDEX.STATION.2012(v1.0)_" xfId="1894"/>
    <cellStyle name="Финансовый 2 20" xfId="1895"/>
    <cellStyle name="Финансовый 2 21" xfId="1896"/>
    <cellStyle name="Финансовый 2 22" xfId="1897"/>
    <cellStyle name="Финансовый 2 3" xfId="1898"/>
    <cellStyle name="Финансовый 2 4" xfId="1899"/>
    <cellStyle name="Финансовый 2 5" xfId="1900"/>
    <cellStyle name="Финансовый 2 6" xfId="1901"/>
    <cellStyle name="Финансовый 2 7" xfId="1902"/>
    <cellStyle name="Финансовый 2 8" xfId="1903"/>
    <cellStyle name="Финансовый 2 9" xfId="1904"/>
    <cellStyle name="Финансовый 2_46EE.2011(v1.0)" xfId="1905"/>
    <cellStyle name="Финансовый 3" xfId="1906"/>
    <cellStyle name="Финансовый 3 10" xfId="1907"/>
    <cellStyle name="Финансовый 3 11" xfId="1908"/>
    <cellStyle name="Финансовый 3 12" xfId="1909"/>
    <cellStyle name="Финансовый 3 13" xfId="1910"/>
    <cellStyle name="Финансовый 3 14" xfId="1911"/>
    <cellStyle name="Финансовый 3 15" xfId="1912"/>
    <cellStyle name="Финансовый 3 16" xfId="1913"/>
    <cellStyle name="Финансовый 3 17" xfId="1914"/>
    <cellStyle name="Финансовый 3 18" xfId="1915"/>
    <cellStyle name="Финансовый 3 19" xfId="1916"/>
    <cellStyle name="Финансовый 3 2" xfId="1917"/>
    <cellStyle name="Финансовый 3 20" xfId="1918"/>
    <cellStyle name="Финансовый 3 21" xfId="1919"/>
    <cellStyle name="Финансовый 3 22" xfId="1920"/>
    <cellStyle name="Финансовый 3 3" xfId="1921"/>
    <cellStyle name="Финансовый 3 4" xfId="1922"/>
    <cellStyle name="Финансовый 3 5" xfId="1923"/>
    <cellStyle name="Финансовый 3 6" xfId="1924"/>
    <cellStyle name="Финансовый 3 7" xfId="1925"/>
    <cellStyle name="Финансовый 3 8" xfId="1926"/>
    <cellStyle name="Финансовый 3 9" xfId="1927"/>
    <cellStyle name="Финансовый 3_INDEX.STATION.2012(v1.0)_" xfId="1928"/>
    <cellStyle name="Финансовый 4" xfId="1929"/>
    <cellStyle name="Финансовый 4 10" xfId="1930"/>
    <cellStyle name="Финансовый 4 11" xfId="1931"/>
    <cellStyle name="Финансовый 4 12" xfId="1932"/>
    <cellStyle name="Финансовый 4 13" xfId="1933"/>
    <cellStyle name="Финансовый 4 14" xfId="1934"/>
    <cellStyle name="Финансовый 4 15" xfId="1935"/>
    <cellStyle name="Финансовый 4 16" xfId="1936"/>
    <cellStyle name="Финансовый 4 17" xfId="1937"/>
    <cellStyle name="Финансовый 4 18" xfId="1938"/>
    <cellStyle name="Финансовый 4 19" xfId="1939"/>
    <cellStyle name="Финансовый 4 2" xfId="1940"/>
    <cellStyle name="Финансовый 4 2 10" xfId="1941"/>
    <cellStyle name="Финансовый 4 2 11" xfId="1942"/>
    <cellStyle name="Финансовый 4 2 12" xfId="1943"/>
    <cellStyle name="Финансовый 4 2 13" xfId="1944"/>
    <cellStyle name="Финансовый 4 2 14" xfId="1945"/>
    <cellStyle name="Финансовый 4 2 15" xfId="1946"/>
    <cellStyle name="Финансовый 4 2 16" xfId="1947"/>
    <cellStyle name="Финансовый 4 2 17" xfId="1948"/>
    <cellStyle name="Финансовый 4 2 18" xfId="1949"/>
    <cellStyle name="Финансовый 4 2 19" xfId="1950"/>
    <cellStyle name="Финансовый 4 2 2" xfId="1951"/>
    <cellStyle name="Финансовый 4 2 20" xfId="1952"/>
    <cellStyle name="Финансовый 4 2 3" xfId="1953"/>
    <cellStyle name="Финансовый 4 2 4" xfId="1954"/>
    <cellStyle name="Финансовый 4 2 5" xfId="1955"/>
    <cellStyle name="Финансовый 4 2 6" xfId="1956"/>
    <cellStyle name="Финансовый 4 2 7" xfId="1957"/>
    <cellStyle name="Финансовый 4 2 8" xfId="1958"/>
    <cellStyle name="Финансовый 4 2 9" xfId="1959"/>
    <cellStyle name="Финансовый 4 20" xfId="1960"/>
    <cellStyle name="Финансовый 4 3" xfId="1961"/>
    <cellStyle name="Финансовый 4 4" xfId="1962"/>
    <cellStyle name="Финансовый 4 5" xfId="1963"/>
    <cellStyle name="Финансовый 4 6" xfId="1964"/>
    <cellStyle name="Финансовый 4 7" xfId="1965"/>
    <cellStyle name="Финансовый 4 8" xfId="1966"/>
    <cellStyle name="Финансовый 4 9" xfId="1967"/>
    <cellStyle name="Финансовый 5" xfId="1968"/>
    <cellStyle name="Финансовый 5 10" xfId="1969"/>
    <cellStyle name="Финансовый 5 11" xfId="1970"/>
    <cellStyle name="Финансовый 5 12" xfId="1971"/>
    <cellStyle name="Финансовый 5 13" xfId="1972"/>
    <cellStyle name="Финансовый 5 14" xfId="1973"/>
    <cellStyle name="Финансовый 5 15" xfId="1974"/>
    <cellStyle name="Финансовый 5 16" xfId="1975"/>
    <cellStyle name="Финансовый 5 17" xfId="1976"/>
    <cellStyle name="Финансовый 5 18" xfId="1977"/>
    <cellStyle name="Финансовый 5 19" xfId="1978"/>
    <cellStyle name="Финансовый 5 2" xfId="1979"/>
    <cellStyle name="Финансовый 5 20" xfId="1980"/>
    <cellStyle name="Финансовый 5 3" xfId="1981"/>
    <cellStyle name="Финансовый 5 4" xfId="1982"/>
    <cellStyle name="Финансовый 5 5" xfId="1983"/>
    <cellStyle name="Финансовый 5 6" xfId="1984"/>
    <cellStyle name="Финансовый 5 7" xfId="1985"/>
    <cellStyle name="Финансовый 5 8" xfId="1986"/>
    <cellStyle name="Финансовый 5 9" xfId="1987"/>
    <cellStyle name="Финансовый 6" xfId="1988"/>
    <cellStyle name="Финансовый0[0]_FU_bal" xfId="1989"/>
    <cellStyle name="Формула" xfId="1990"/>
    <cellStyle name="Формула 2" xfId="1991"/>
    <cellStyle name="Формула_A РТ 2009 Рязаньэнерго" xfId="1992"/>
    <cellStyle name="ФормулаВБ" xfId="1993"/>
    <cellStyle name="ФормулаВБ 2" xfId="1994"/>
    <cellStyle name="ФормулаВБ 3" xfId="1995"/>
    <cellStyle name="ФормулаНаКонтроль" xfId="1996"/>
    <cellStyle name="Хороший 2" xfId="1997"/>
    <cellStyle name="Хороший 2 2" xfId="1998"/>
    <cellStyle name="Хороший 3" xfId="1999"/>
    <cellStyle name="Хороший 3 2" xfId="2000"/>
    <cellStyle name="Хороший 4" xfId="2001"/>
    <cellStyle name="Хороший 4 2" xfId="2002"/>
    <cellStyle name="Хороший 5" xfId="2003"/>
    <cellStyle name="Хороший 5 2" xfId="2004"/>
    <cellStyle name="Хороший 6" xfId="2005"/>
    <cellStyle name="Хороший 6 2" xfId="2006"/>
    <cellStyle name="Хороший 7" xfId="2007"/>
    <cellStyle name="Хороший 7 2" xfId="2008"/>
    <cellStyle name="Хороший 8" xfId="2009"/>
    <cellStyle name="Хороший 8 2" xfId="2010"/>
    <cellStyle name="Хороший 9" xfId="2011"/>
    <cellStyle name="Хороший 9 2" xfId="2012"/>
    <cellStyle name="Цена_продукта" xfId="2013"/>
    <cellStyle name="Цифры по центру с десятыми" xfId="2014"/>
    <cellStyle name="число" xfId="2015"/>
    <cellStyle name="Џђћ–…ќ’ќ›‰" xfId="2016"/>
    <cellStyle name="Шапка" xfId="2017"/>
    <cellStyle name="Шапка таблицы" xfId="2018"/>
    <cellStyle name="ШАУ" xfId="2019"/>
    <cellStyle name="ܘ_x0008_" xfId="2020"/>
    <cellStyle name="ܛ_x0008_" xfId="2021"/>
    <cellStyle name="標準_PL-CF sheet" xfId="2022"/>
    <cellStyle name="㐀കܒ_x0008_" xfId="2023"/>
    <cellStyle name="䁺_x0001_" xfId="20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Y42"/>
  <sheetViews>
    <sheetView tabSelected="1" view="pageBreakPreview" topLeftCell="A28" zoomScale="60" workbookViewId="0">
      <selection activeCell="BG15" sqref="BG15"/>
    </sheetView>
  </sheetViews>
  <sheetFormatPr defaultRowHeight="15"/>
  <cols>
    <col min="1" max="78" width="1.140625" customWidth="1"/>
  </cols>
  <sheetData>
    <row r="1" spans="1:77"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t="s">
        <v>0</v>
      </c>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7" ht="18.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t="s">
        <v>4</v>
      </c>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7" ht="18.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t="s">
        <v>5</v>
      </c>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7" ht="18.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t="s">
        <v>1</v>
      </c>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7" ht="18.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7" ht="18.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960" t="s">
        <v>2284</v>
      </c>
      <c r="AN6" s="1961"/>
      <c r="AO6" s="1961"/>
      <c r="AP6" s="1961"/>
      <c r="AQ6" s="1961"/>
      <c r="AR6" s="1961"/>
      <c r="AS6" s="1961"/>
      <c r="AT6" s="1961"/>
      <c r="AU6" s="1961"/>
      <c r="AV6" s="1961"/>
      <c r="AW6" s="1961"/>
      <c r="AX6" s="1961"/>
      <c r="AY6" s="1961"/>
      <c r="AZ6" s="1961"/>
      <c r="BA6" s="1961"/>
      <c r="BB6" s="1961"/>
      <c r="BC6" s="1961"/>
      <c r="BD6" s="1961"/>
      <c r="BE6" s="1961"/>
      <c r="BF6" s="1961"/>
      <c r="BG6" s="1961"/>
      <c r="BH6" s="1961"/>
      <c r="BI6" s="1961"/>
      <c r="BJ6" s="1961"/>
      <c r="BK6" s="1961"/>
      <c r="BL6" s="1961"/>
      <c r="BM6" s="1961"/>
      <c r="BN6" s="1961"/>
      <c r="BO6" s="1961"/>
      <c r="BP6" s="1961"/>
      <c r="BQ6" s="1961"/>
      <c r="BR6" s="1961"/>
      <c r="BS6" s="1961"/>
      <c r="BT6" s="1961"/>
      <c r="BU6" s="1961"/>
      <c r="BV6" s="1961"/>
      <c r="BW6" s="1961"/>
      <c r="BX6" s="1961"/>
      <c r="BY6" s="1961"/>
    </row>
    <row r="7" spans="1:77" ht="18.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7" ht="18.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7" ht="18.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7" ht="18.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7" ht="18.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7" ht="18.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7" ht="18.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7"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7" ht="30"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7" ht="18.7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ht="18.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ht="18.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ht="18.75" customHeight="1">
      <c r="A19" s="970" t="s">
        <v>2</v>
      </c>
      <c r="B19" s="970"/>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70"/>
      <c r="AE19" s="970"/>
      <c r="AF19" s="970"/>
      <c r="AG19" s="970"/>
      <c r="AH19" s="970"/>
      <c r="AI19" s="970"/>
      <c r="AJ19" s="970"/>
      <c r="AK19" s="970"/>
      <c r="AL19" s="970"/>
      <c r="AM19" s="970"/>
      <c r="AN19" s="970"/>
      <c r="AO19" s="970"/>
      <c r="AP19" s="970"/>
      <c r="AQ19" s="970"/>
      <c r="AR19" s="970"/>
      <c r="AS19" s="970"/>
      <c r="AT19" s="970"/>
      <c r="AU19" s="970"/>
      <c r="AV19" s="970"/>
      <c r="AW19" s="970"/>
      <c r="AX19" s="970"/>
      <c r="AY19" s="970"/>
      <c r="AZ19" s="970"/>
      <c r="BA19" s="970"/>
      <c r="BB19" s="970"/>
      <c r="BC19" s="970"/>
      <c r="BD19" s="970"/>
      <c r="BE19" s="970"/>
      <c r="BF19" s="970"/>
      <c r="BG19" s="970"/>
      <c r="BH19" s="970"/>
      <c r="BI19" s="970"/>
      <c r="BJ19" s="970"/>
      <c r="BK19" s="970"/>
      <c r="BL19" s="970"/>
      <c r="BM19" s="970"/>
      <c r="BN19" s="970"/>
      <c r="BO19" s="970"/>
      <c r="BP19" s="970"/>
      <c r="BQ19" s="970"/>
      <c r="BR19" s="970"/>
      <c r="BS19" s="970"/>
      <c r="BT19" s="970"/>
      <c r="BU19" s="970"/>
      <c r="BV19" s="970"/>
      <c r="BW19" s="970"/>
      <c r="BX19" s="970"/>
    </row>
    <row r="20" spans="1:76" ht="18.75" customHeight="1">
      <c r="A20" s="969" t="s">
        <v>6</v>
      </c>
      <c r="B20" s="969"/>
      <c r="C20" s="969"/>
      <c r="D20" s="969"/>
      <c r="E20" s="969"/>
      <c r="F20" s="969"/>
      <c r="G20" s="969"/>
      <c r="H20" s="969"/>
      <c r="I20" s="969"/>
      <c r="J20" s="969"/>
      <c r="K20" s="969"/>
      <c r="L20" s="969"/>
      <c r="M20" s="969"/>
      <c r="N20" s="969"/>
      <c r="O20" s="969"/>
      <c r="P20" s="969"/>
      <c r="Q20" s="969"/>
      <c r="R20" s="969"/>
      <c r="S20" s="969"/>
      <c r="T20" s="969"/>
      <c r="U20" s="969"/>
      <c r="V20" s="969"/>
      <c r="W20" s="969"/>
      <c r="X20" s="969"/>
      <c r="Y20" s="969"/>
      <c r="Z20" s="969"/>
      <c r="AA20" s="969"/>
      <c r="AB20" s="969"/>
      <c r="AC20" s="969"/>
      <c r="AD20" s="969"/>
      <c r="AE20" s="969"/>
      <c r="AF20" s="969"/>
      <c r="AG20" s="969"/>
      <c r="AH20" s="969"/>
      <c r="AI20" s="969"/>
      <c r="AJ20" s="969"/>
      <c r="AK20" s="969"/>
      <c r="AL20" s="969"/>
      <c r="AM20" s="969"/>
      <c r="AN20" s="969"/>
      <c r="AO20" s="969"/>
      <c r="AP20" s="969"/>
      <c r="AQ20" s="969"/>
      <c r="AR20" s="969"/>
      <c r="AS20" s="969"/>
      <c r="AT20" s="969"/>
      <c r="AU20" s="969"/>
      <c r="AV20" s="969"/>
      <c r="AW20" s="969"/>
      <c r="AX20" s="969"/>
      <c r="AY20" s="969"/>
      <c r="AZ20" s="969"/>
      <c r="BA20" s="969"/>
      <c r="BB20" s="969"/>
      <c r="BC20" s="969"/>
      <c r="BD20" s="969"/>
      <c r="BE20" s="969"/>
      <c r="BF20" s="969"/>
      <c r="BG20" s="969"/>
      <c r="BH20" s="969"/>
      <c r="BI20" s="969"/>
      <c r="BJ20" s="969"/>
      <c r="BK20" s="969"/>
      <c r="BL20" s="969"/>
      <c r="BM20" s="969"/>
      <c r="BN20" s="969"/>
      <c r="BO20" s="969"/>
      <c r="BP20" s="969"/>
      <c r="BQ20" s="969"/>
      <c r="BR20" s="969"/>
      <c r="BS20" s="969"/>
      <c r="BT20" s="969"/>
      <c r="BU20" s="969"/>
      <c r="BV20" s="969"/>
      <c r="BW20" s="969"/>
      <c r="BX20" s="969"/>
    </row>
    <row r="21" spans="1:76" ht="18.75" customHeight="1" thickBo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ht="18.75" customHeight="1">
      <c r="A22" s="2"/>
      <c r="B22" s="2"/>
      <c r="C22" s="2"/>
      <c r="D22" s="2"/>
      <c r="E22" s="2"/>
      <c r="F22" s="2"/>
      <c r="G22" s="2"/>
      <c r="H22" s="2"/>
      <c r="I22" s="2"/>
      <c r="J22" s="2"/>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2"/>
      <c r="BP22" s="2"/>
      <c r="BQ22" s="2"/>
      <c r="BR22" s="2"/>
      <c r="BS22" s="2"/>
      <c r="BT22" s="2"/>
      <c r="BU22" s="2"/>
      <c r="BV22" s="2"/>
      <c r="BW22" s="2"/>
      <c r="BX22" s="2"/>
    </row>
    <row r="23" spans="1:76" ht="18.75" customHeight="1">
      <c r="A23" s="969" t="s">
        <v>473</v>
      </c>
      <c r="B23" s="969"/>
      <c r="C23" s="969"/>
      <c r="D23" s="969"/>
      <c r="E23" s="969"/>
      <c r="F23" s="969"/>
      <c r="G23" s="969"/>
      <c r="H23" s="969"/>
      <c r="I23" s="969"/>
      <c r="J23" s="969"/>
      <c r="K23" s="969"/>
      <c r="L23" s="969"/>
      <c r="M23" s="969"/>
      <c r="N23" s="969"/>
      <c r="O23" s="969"/>
      <c r="P23" s="969"/>
      <c r="Q23" s="969"/>
      <c r="R23" s="969"/>
      <c r="S23" s="969"/>
      <c r="T23" s="969"/>
      <c r="U23" s="969"/>
      <c r="V23" s="969"/>
      <c r="W23" s="969"/>
      <c r="X23" s="969"/>
      <c r="Y23" s="969"/>
      <c r="Z23" s="969"/>
      <c r="AA23" s="969"/>
      <c r="AB23" s="969"/>
      <c r="AC23" s="969"/>
      <c r="AD23" s="969"/>
      <c r="AE23" s="969"/>
      <c r="AF23" s="969"/>
      <c r="AG23" s="969"/>
      <c r="AH23" s="969"/>
      <c r="AI23" s="969"/>
      <c r="AJ23" s="969"/>
      <c r="AK23" s="969"/>
      <c r="AL23" s="969"/>
      <c r="AM23" s="969"/>
      <c r="AN23" s="969"/>
      <c r="AO23" s="969"/>
      <c r="AP23" s="969"/>
      <c r="AQ23" s="969"/>
      <c r="AR23" s="969"/>
      <c r="AS23" s="969"/>
      <c r="AT23" s="969"/>
      <c r="AU23" s="969"/>
      <c r="AV23" s="969"/>
      <c r="AW23" s="969"/>
      <c r="AX23" s="969"/>
      <c r="AY23" s="969"/>
      <c r="AZ23" s="969"/>
      <c r="BA23" s="969"/>
      <c r="BB23" s="969"/>
      <c r="BC23" s="969"/>
      <c r="BD23" s="969"/>
      <c r="BE23" s="969"/>
      <c r="BF23" s="969"/>
      <c r="BG23" s="969"/>
      <c r="BH23" s="969"/>
      <c r="BI23" s="969"/>
      <c r="BJ23" s="969"/>
      <c r="BK23" s="969"/>
      <c r="BL23" s="969"/>
      <c r="BM23" s="969"/>
      <c r="BN23" s="969"/>
      <c r="BO23" s="969"/>
      <c r="BP23" s="969"/>
      <c r="BQ23" s="969"/>
      <c r="BR23" s="969"/>
      <c r="BS23" s="969"/>
      <c r="BT23" s="969"/>
      <c r="BU23" s="969"/>
      <c r="BV23" s="969"/>
      <c r="BW23" s="969"/>
      <c r="BX23" s="969"/>
    </row>
    <row r="24" spans="1:76" ht="18.75" customHeight="1">
      <c r="A24" s="969" t="s">
        <v>474</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969"/>
      <c r="BA24" s="969"/>
      <c r="BB24" s="969"/>
      <c r="BC24" s="969"/>
      <c r="BD24" s="969"/>
      <c r="BE24" s="969"/>
      <c r="BF24" s="969"/>
      <c r="BG24" s="969"/>
      <c r="BH24" s="969"/>
      <c r="BI24" s="969"/>
      <c r="BJ24" s="969"/>
      <c r="BK24" s="969"/>
      <c r="BL24" s="969"/>
      <c r="BM24" s="969"/>
      <c r="BN24" s="969"/>
      <c r="BO24" s="969"/>
      <c r="BP24" s="969"/>
      <c r="BQ24" s="969"/>
      <c r="BR24" s="969"/>
      <c r="BS24" s="969"/>
      <c r="BT24" s="969"/>
      <c r="BU24" s="969"/>
      <c r="BV24" s="969"/>
      <c r="BW24" s="969"/>
      <c r="BX24" s="969"/>
    </row>
    <row r="25" spans="1:76" ht="18.75" customHeight="1">
      <c r="A25" s="969" t="s">
        <v>475</v>
      </c>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69"/>
      <c r="AS25" s="969"/>
      <c r="AT25" s="969"/>
      <c r="AU25" s="969"/>
      <c r="AV25" s="969"/>
      <c r="AW25" s="969"/>
      <c r="AX25" s="969"/>
      <c r="AY25" s="969"/>
      <c r="AZ25" s="969"/>
      <c r="BA25" s="969"/>
      <c r="BB25" s="969"/>
      <c r="BC25" s="969"/>
      <c r="BD25" s="969"/>
      <c r="BE25" s="969"/>
      <c r="BF25" s="969"/>
      <c r="BG25" s="969"/>
      <c r="BH25" s="969"/>
      <c r="BI25" s="969"/>
      <c r="BJ25" s="969"/>
      <c r="BK25" s="969"/>
      <c r="BL25" s="969"/>
      <c r="BM25" s="969"/>
      <c r="BN25" s="969"/>
      <c r="BO25" s="969"/>
      <c r="BP25" s="969"/>
      <c r="BQ25" s="969"/>
      <c r="BR25" s="969"/>
      <c r="BS25" s="969"/>
      <c r="BT25" s="969"/>
      <c r="BU25" s="969"/>
      <c r="BV25" s="969"/>
      <c r="BW25" s="969"/>
      <c r="BX25" s="969"/>
    </row>
    <row r="26" spans="1:76" ht="28.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18.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ht="18.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ht="18.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ht="18.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ht="18.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ht="18.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ht="18.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ht="18.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ht="18.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ht="18.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ht="18.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ht="18.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ht="18.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ht="18.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ht="18.75" customHeight="1">
      <c r="A41" s="968" t="s">
        <v>3</v>
      </c>
      <c r="B41" s="968"/>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968"/>
      <c r="AL41" s="968"/>
      <c r="AM41" s="968"/>
      <c r="AN41" s="968"/>
      <c r="AO41" s="968"/>
      <c r="AP41" s="968"/>
      <c r="AQ41" s="968"/>
      <c r="AR41" s="968"/>
      <c r="AS41" s="968"/>
      <c r="AT41" s="968"/>
      <c r="AU41" s="968"/>
      <c r="AV41" s="968"/>
      <c r="AW41" s="968"/>
      <c r="AX41" s="968"/>
      <c r="AY41" s="968"/>
      <c r="AZ41" s="968"/>
      <c r="BA41" s="968"/>
      <c r="BB41" s="968"/>
      <c r="BC41" s="968"/>
      <c r="BD41" s="968"/>
      <c r="BE41" s="968"/>
      <c r="BF41" s="968"/>
      <c r="BG41" s="968"/>
      <c r="BH41" s="968"/>
      <c r="BI41" s="968"/>
      <c r="BJ41" s="968"/>
      <c r="BK41" s="968"/>
      <c r="BL41" s="968"/>
      <c r="BM41" s="968"/>
      <c r="BN41" s="968"/>
      <c r="BO41" s="968"/>
      <c r="BP41" s="968"/>
      <c r="BQ41" s="968"/>
      <c r="BR41" s="968"/>
      <c r="BS41" s="968"/>
      <c r="BT41" s="968"/>
      <c r="BU41" s="968"/>
      <c r="BV41" s="968"/>
      <c r="BW41" s="968"/>
      <c r="BX41" s="968"/>
    </row>
    <row r="42" spans="1:76" ht="18.75" customHeight="1">
      <c r="A42" s="968" t="s">
        <v>1902</v>
      </c>
      <c r="B42" s="968"/>
      <c r="C42" s="968"/>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968"/>
      <c r="AE42" s="968"/>
      <c r="AF42" s="968"/>
      <c r="AG42" s="968"/>
      <c r="AH42" s="968"/>
      <c r="AI42" s="968"/>
      <c r="AJ42" s="968"/>
      <c r="AK42" s="968"/>
      <c r="AL42" s="968"/>
      <c r="AM42" s="968"/>
      <c r="AN42" s="968"/>
      <c r="AO42" s="968"/>
      <c r="AP42" s="968"/>
      <c r="AQ42" s="968"/>
      <c r="AR42" s="968"/>
      <c r="AS42" s="968"/>
      <c r="AT42" s="968"/>
      <c r="AU42" s="968"/>
      <c r="AV42" s="968"/>
      <c r="AW42" s="968"/>
      <c r="AX42" s="968"/>
      <c r="AY42" s="968"/>
      <c r="AZ42" s="968"/>
      <c r="BA42" s="968"/>
      <c r="BB42" s="968"/>
      <c r="BC42" s="968"/>
      <c r="BD42" s="968"/>
      <c r="BE42" s="968"/>
      <c r="BF42" s="968"/>
      <c r="BG42" s="968"/>
      <c r="BH42" s="968"/>
      <c r="BI42" s="968"/>
      <c r="BJ42" s="968"/>
      <c r="BK42" s="968"/>
      <c r="BL42" s="968"/>
      <c r="BM42" s="968"/>
      <c r="BN42" s="968"/>
      <c r="BO42" s="968"/>
      <c r="BP42" s="968"/>
      <c r="BQ42" s="968"/>
      <c r="BR42" s="968"/>
      <c r="BS42" s="968"/>
      <c r="BT42" s="968"/>
      <c r="BU42" s="968"/>
      <c r="BV42" s="968"/>
      <c r="BW42" s="968"/>
      <c r="BX42" s="968"/>
    </row>
  </sheetData>
  <mergeCells count="8">
    <mergeCell ref="AM6:BY6"/>
    <mergeCell ref="A42:BX42"/>
    <mergeCell ref="A20:BX20"/>
    <mergeCell ref="A41:BX41"/>
    <mergeCell ref="A19:BX19"/>
    <mergeCell ref="A23:BX23"/>
    <mergeCell ref="A24:BX24"/>
    <mergeCell ref="A25:BX25"/>
  </mergeCells>
  <pageMargins left="0.98425196850393704" right="0.39370078740157483" top="0.39370078740157483" bottom="0.39370078740157483" header="0.31496062992125984" footer="0.31496062992125984"/>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dimension ref="A1:I39"/>
  <sheetViews>
    <sheetView view="pageBreakPreview" topLeftCell="A25" zoomScale="90" zoomScaleSheetLayoutView="90" workbookViewId="0">
      <selection activeCell="M27" sqref="M27"/>
    </sheetView>
  </sheetViews>
  <sheetFormatPr defaultRowHeight="15"/>
  <cols>
    <col min="1" max="1" width="48.28515625" customWidth="1"/>
    <col min="2" max="2" width="12.140625" customWidth="1"/>
    <col min="3" max="3" width="6.85546875" customWidth="1"/>
    <col min="4" max="4" width="5.85546875" customWidth="1"/>
    <col min="5" max="5" width="6.140625" customWidth="1"/>
    <col min="6" max="6" width="6" customWidth="1"/>
    <col min="7" max="7" width="7" customWidth="1"/>
    <col min="8" max="8" width="60.7109375" customWidth="1"/>
  </cols>
  <sheetData>
    <row r="1" spans="1:8" ht="21" customHeight="1">
      <c r="A1" s="1398" t="s">
        <v>1401</v>
      </c>
      <c r="B1" s="1398"/>
      <c r="C1" s="1398"/>
      <c r="D1" s="1398"/>
      <c r="E1" s="1398"/>
      <c r="F1" s="1398"/>
      <c r="G1" s="1399"/>
    </row>
    <row r="2" spans="1:8" ht="18.75" customHeight="1">
      <c r="A2" s="1400" t="s">
        <v>840</v>
      </c>
      <c r="B2" s="1400"/>
      <c r="C2" s="1400"/>
      <c r="D2" s="1400"/>
      <c r="E2" s="1400"/>
      <c r="F2" s="1400"/>
      <c r="G2" s="1399"/>
    </row>
    <row r="3" spans="1:8" ht="9.75" customHeight="1">
      <c r="A3" s="1401"/>
      <c r="B3" s="1401"/>
      <c r="C3" s="1401"/>
      <c r="D3" s="1401"/>
      <c r="E3" s="1401"/>
      <c r="F3" s="1401"/>
    </row>
    <row r="4" spans="1:8" ht="54" customHeight="1">
      <c r="A4" s="1402" t="s">
        <v>323</v>
      </c>
      <c r="B4" s="1402" t="s">
        <v>1413</v>
      </c>
      <c r="C4" s="1403" t="s">
        <v>841</v>
      </c>
      <c r="D4" s="1404"/>
      <c r="E4" s="1404"/>
      <c r="F4" s="1404"/>
      <c r="G4" s="1405"/>
    </row>
    <row r="5" spans="1:8" ht="24.75" customHeight="1">
      <c r="A5" s="1402"/>
      <c r="B5" s="1402"/>
      <c r="C5" s="700">
        <v>2015</v>
      </c>
      <c r="D5" s="700">
        <v>2016</v>
      </c>
      <c r="E5" s="700">
        <v>2017</v>
      </c>
      <c r="F5" s="700">
        <v>2018</v>
      </c>
      <c r="G5" s="701">
        <v>2019</v>
      </c>
    </row>
    <row r="6" spans="1:8" ht="20.25" customHeight="1">
      <c r="A6" s="1406" t="s">
        <v>324</v>
      </c>
      <c r="B6" s="1376"/>
      <c r="C6" s="1376"/>
      <c r="D6" s="1376"/>
      <c r="E6" s="1376"/>
      <c r="F6" s="1376"/>
      <c r="G6" s="1377"/>
    </row>
    <row r="7" spans="1:8" ht="96" customHeight="1">
      <c r="A7" s="702" t="s">
        <v>325</v>
      </c>
      <c r="B7" s="703">
        <v>1.1159420289855071</v>
      </c>
      <c r="C7" s="703">
        <v>2.1800000000000002</v>
      </c>
      <c r="D7" s="703">
        <v>2.1</v>
      </c>
      <c r="E7" s="703">
        <v>2.09</v>
      </c>
      <c r="F7" s="703">
        <v>2.08</v>
      </c>
      <c r="G7" s="703">
        <v>2.0699999999999998</v>
      </c>
      <c r="H7" s="53" t="s">
        <v>2270</v>
      </c>
    </row>
    <row r="8" spans="1:8" ht="63" customHeight="1">
      <c r="A8" s="702" t="s">
        <v>326</v>
      </c>
      <c r="B8" s="704">
        <v>77</v>
      </c>
      <c r="C8" s="704">
        <v>150</v>
      </c>
      <c r="D8" s="704">
        <v>145</v>
      </c>
      <c r="E8" s="704">
        <v>144</v>
      </c>
      <c r="F8" s="704">
        <v>143</v>
      </c>
      <c r="G8" s="704">
        <v>142</v>
      </c>
      <c r="H8" s="53" t="s">
        <v>2259</v>
      </c>
    </row>
    <row r="9" spans="1:8" ht="47.25" customHeight="1">
      <c r="A9" s="702" t="s">
        <v>327</v>
      </c>
      <c r="B9" s="704">
        <v>6900</v>
      </c>
      <c r="C9" s="704">
        <v>6900</v>
      </c>
      <c r="D9" s="704">
        <v>6900</v>
      </c>
      <c r="E9" s="704">
        <v>6900</v>
      </c>
      <c r="F9" s="704">
        <v>6900</v>
      </c>
      <c r="G9" s="704">
        <v>6900</v>
      </c>
      <c r="H9" s="53" t="s">
        <v>2260</v>
      </c>
    </row>
    <row r="10" spans="1:8" ht="78.75" customHeight="1">
      <c r="A10" s="702" t="s">
        <v>328</v>
      </c>
      <c r="B10" s="705">
        <v>4.2</v>
      </c>
      <c r="C10" s="703">
        <v>6.56</v>
      </c>
      <c r="D10" s="705">
        <v>6.5</v>
      </c>
      <c r="E10" s="703">
        <v>6.49</v>
      </c>
      <c r="F10" s="703">
        <v>6.48</v>
      </c>
      <c r="G10" s="703">
        <v>6.47</v>
      </c>
      <c r="H10" s="53" t="s">
        <v>2270</v>
      </c>
    </row>
    <row r="11" spans="1:8" ht="78.75" customHeight="1">
      <c r="A11" s="702" t="s">
        <v>329</v>
      </c>
      <c r="B11" s="704">
        <v>239</v>
      </c>
      <c r="C11" s="704">
        <v>387</v>
      </c>
      <c r="D11" s="704">
        <v>385</v>
      </c>
      <c r="E11" s="704">
        <v>383</v>
      </c>
      <c r="F11" s="704">
        <v>382</v>
      </c>
      <c r="G11" s="704">
        <v>381</v>
      </c>
      <c r="H11" s="53" t="s">
        <v>2258</v>
      </c>
    </row>
    <row r="12" spans="1:8" ht="108" customHeight="1">
      <c r="A12" s="702" t="s">
        <v>330</v>
      </c>
      <c r="B12" s="704">
        <v>5748</v>
      </c>
      <c r="C12" s="704">
        <v>5900</v>
      </c>
      <c r="D12" s="704">
        <v>5900</v>
      </c>
      <c r="E12" s="704">
        <v>5900</v>
      </c>
      <c r="F12" s="704">
        <v>5900</v>
      </c>
      <c r="G12" s="704">
        <v>5900</v>
      </c>
      <c r="H12" s="53" t="s">
        <v>2261</v>
      </c>
    </row>
    <row r="13" spans="1:8" ht="18" customHeight="1">
      <c r="A13" s="1407" t="s">
        <v>331</v>
      </c>
      <c r="B13" s="1379"/>
      <c r="C13" s="1379"/>
      <c r="D13" s="1379"/>
      <c r="E13" s="1379"/>
      <c r="F13" s="1379"/>
      <c r="G13" s="1377"/>
      <c r="H13" s="53"/>
    </row>
    <row r="14" spans="1:8" ht="63" customHeight="1">
      <c r="A14" s="702" t="s">
        <v>332</v>
      </c>
      <c r="B14" s="700">
        <v>0.218</v>
      </c>
      <c r="C14" s="700">
        <v>0.215</v>
      </c>
      <c r="D14" s="706">
        <v>0.215</v>
      </c>
      <c r="E14" s="706">
        <v>0.214</v>
      </c>
      <c r="F14" s="706">
        <v>0.21299999999999999</v>
      </c>
      <c r="G14" s="706">
        <v>0.21199999999999999</v>
      </c>
      <c r="H14" s="53"/>
    </row>
    <row r="15" spans="1:8" ht="75.75" customHeight="1">
      <c r="A15" s="702" t="s">
        <v>842</v>
      </c>
      <c r="B15" s="704">
        <v>274</v>
      </c>
      <c r="C15" s="704">
        <v>275</v>
      </c>
      <c r="D15" s="704">
        <v>275</v>
      </c>
      <c r="E15" s="704">
        <v>280</v>
      </c>
      <c r="F15" s="704">
        <v>283</v>
      </c>
      <c r="G15" s="704">
        <v>286</v>
      </c>
      <c r="H15" s="53" t="s">
        <v>2262</v>
      </c>
    </row>
    <row r="16" spans="1:8" ht="75" customHeight="1">
      <c r="A16" s="702" t="s">
        <v>333</v>
      </c>
      <c r="B16" s="703">
        <v>1258.6099999999999</v>
      </c>
      <c r="C16" s="705">
        <v>1278</v>
      </c>
      <c r="D16" s="704">
        <v>1280</v>
      </c>
      <c r="E16" s="704">
        <v>1308</v>
      </c>
      <c r="F16" s="704">
        <v>1328</v>
      </c>
      <c r="G16" s="704">
        <v>1348</v>
      </c>
      <c r="H16" s="53" t="s">
        <v>2263</v>
      </c>
    </row>
    <row r="17" spans="1:9" ht="18" customHeight="1">
      <c r="A17" s="1406" t="s">
        <v>334</v>
      </c>
      <c r="B17" s="1376"/>
      <c r="C17" s="1376"/>
      <c r="D17" s="1376"/>
      <c r="E17" s="1376"/>
      <c r="F17" s="1376"/>
      <c r="G17" s="1377"/>
      <c r="H17" s="53"/>
    </row>
    <row r="18" spans="1:9" ht="51.75" customHeight="1">
      <c r="A18" s="702" t="s">
        <v>2098</v>
      </c>
      <c r="B18" s="700">
        <v>12.94</v>
      </c>
      <c r="C18" s="700">
        <v>12.93</v>
      </c>
      <c r="D18" s="700">
        <v>12.92</v>
      </c>
      <c r="E18" s="700">
        <v>12.91</v>
      </c>
      <c r="F18" s="700">
        <v>12.9</v>
      </c>
      <c r="G18" s="700">
        <v>12.89</v>
      </c>
      <c r="H18" s="53"/>
    </row>
    <row r="19" spans="1:9" ht="63.75" customHeight="1">
      <c r="A19" s="702" t="s">
        <v>1442</v>
      </c>
      <c r="B19" s="704">
        <v>11320</v>
      </c>
      <c r="C19" s="704">
        <v>11057</v>
      </c>
      <c r="D19" s="704">
        <v>11278</v>
      </c>
      <c r="E19" s="704">
        <v>11326</v>
      </c>
      <c r="F19" s="704">
        <v>11316</v>
      </c>
      <c r="G19" s="704">
        <v>11305</v>
      </c>
      <c r="H19" s="53" t="s">
        <v>2264</v>
      </c>
    </row>
    <row r="20" spans="1:9" ht="30.75" customHeight="1">
      <c r="A20" s="702" t="s">
        <v>1441</v>
      </c>
      <c r="B20" s="704">
        <v>87478.10000000002</v>
      </c>
      <c r="C20" s="704">
        <v>85516</v>
      </c>
      <c r="D20" s="704">
        <v>87289</v>
      </c>
      <c r="E20" s="704">
        <v>87734</v>
      </c>
      <c r="F20" s="704">
        <v>87720</v>
      </c>
      <c r="G20" s="704">
        <v>87706</v>
      </c>
      <c r="H20" s="53" t="s">
        <v>2265</v>
      </c>
    </row>
    <row r="21" spans="1:9" ht="62.25" customHeight="1">
      <c r="A21" s="702" t="s">
        <v>2245</v>
      </c>
      <c r="B21" s="946" t="s">
        <v>62</v>
      </c>
      <c r="C21" s="946" t="s">
        <v>62</v>
      </c>
      <c r="D21" s="946" t="s">
        <v>62</v>
      </c>
      <c r="E21" s="946" t="s">
        <v>62</v>
      </c>
      <c r="F21" s="946" t="s">
        <v>62</v>
      </c>
      <c r="G21" s="701" t="s">
        <v>62</v>
      </c>
      <c r="H21" s="53"/>
    </row>
    <row r="22" spans="1:9" ht="44.25" customHeight="1">
      <c r="A22" s="702" t="s">
        <v>2246</v>
      </c>
      <c r="B22" s="946" t="s">
        <v>62</v>
      </c>
      <c r="C22" s="946" t="s">
        <v>62</v>
      </c>
      <c r="D22" s="946" t="s">
        <v>62</v>
      </c>
      <c r="E22" s="946" t="s">
        <v>62</v>
      </c>
      <c r="F22" s="946" t="s">
        <v>62</v>
      </c>
      <c r="G22" s="701" t="s">
        <v>62</v>
      </c>
      <c r="H22" s="53"/>
    </row>
    <row r="23" spans="1:9" ht="30" customHeight="1">
      <c r="A23" s="702" t="s">
        <v>2247</v>
      </c>
      <c r="B23" s="946" t="s">
        <v>62</v>
      </c>
      <c r="C23" s="946" t="s">
        <v>62</v>
      </c>
      <c r="D23" s="946" t="s">
        <v>62</v>
      </c>
      <c r="E23" s="946" t="s">
        <v>62</v>
      </c>
      <c r="F23" s="946" t="s">
        <v>62</v>
      </c>
      <c r="G23" s="701" t="s">
        <v>62</v>
      </c>
      <c r="H23" s="53"/>
    </row>
    <row r="24" spans="1:9" ht="72.75" customHeight="1">
      <c r="A24" s="702" t="s">
        <v>843</v>
      </c>
      <c r="B24" s="946" t="s">
        <v>62</v>
      </c>
      <c r="C24" s="946" t="s">
        <v>62</v>
      </c>
      <c r="D24" s="946" t="s">
        <v>62</v>
      </c>
      <c r="E24" s="946" t="s">
        <v>62</v>
      </c>
      <c r="F24" s="946" t="s">
        <v>62</v>
      </c>
      <c r="G24" s="701" t="s">
        <v>62</v>
      </c>
      <c r="H24" s="53"/>
    </row>
    <row r="25" spans="1:9" ht="44.25" customHeight="1">
      <c r="A25" s="702" t="s">
        <v>338</v>
      </c>
      <c r="B25" s="946" t="s">
        <v>62</v>
      </c>
      <c r="C25" s="946" t="s">
        <v>62</v>
      </c>
      <c r="D25" s="946" t="s">
        <v>62</v>
      </c>
      <c r="E25" s="946" t="s">
        <v>62</v>
      </c>
      <c r="F25" s="946" t="s">
        <v>62</v>
      </c>
      <c r="G25" s="701" t="s">
        <v>62</v>
      </c>
      <c r="H25" s="53"/>
    </row>
    <row r="26" spans="1:9" ht="29.25" customHeight="1">
      <c r="A26" s="702" t="s">
        <v>1440</v>
      </c>
      <c r="B26" s="946" t="s">
        <v>62</v>
      </c>
      <c r="C26" s="946" t="s">
        <v>62</v>
      </c>
      <c r="D26" s="946" t="s">
        <v>62</v>
      </c>
      <c r="E26" s="946" t="s">
        <v>62</v>
      </c>
      <c r="F26" s="946" t="s">
        <v>62</v>
      </c>
      <c r="G26" s="701" t="s">
        <v>62</v>
      </c>
      <c r="H26" s="53"/>
    </row>
    <row r="27" spans="1:9" ht="77.25" customHeight="1">
      <c r="A27" s="947" t="s">
        <v>2248</v>
      </c>
      <c r="B27" s="710">
        <f>B28/B29</f>
        <v>0.88266194624711758</v>
      </c>
      <c r="C27" s="710">
        <f t="shared" ref="C27:G27" si="0">C28/C29</f>
        <v>0.89</v>
      </c>
      <c r="D27" s="710">
        <f t="shared" si="0"/>
        <v>0.89000000000000012</v>
      </c>
      <c r="E27" s="710">
        <f t="shared" si="0"/>
        <v>0.89003043289944594</v>
      </c>
      <c r="F27" s="710">
        <f t="shared" si="0"/>
        <v>0.89</v>
      </c>
      <c r="G27" s="710">
        <f t="shared" si="0"/>
        <v>0.89</v>
      </c>
      <c r="H27" s="53" t="s">
        <v>2267</v>
      </c>
    </row>
    <row r="28" spans="1:9" ht="60">
      <c r="A28" s="947" t="s">
        <v>2249</v>
      </c>
      <c r="B28" s="701">
        <v>77213.59</v>
      </c>
      <c r="C28" s="701">
        <v>76109.240000000005</v>
      </c>
      <c r="D28" s="701">
        <v>77687.210000000006</v>
      </c>
      <c r="E28" s="701">
        <v>78085.929999999993</v>
      </c>
      <c r="F28" s="701">
        <v>78070.8</v>
      </c>
      <c r="G28" s="701">
        <v>78058.34</v>
      </c>
      <c r="H28" s="53" t="s">
        <v>2266</v>
      </c>
    </row>
    <row r="29" spans="1:9" ht="90">
      <c r="A29" s="947" t="s">
        <v>2250</v>
      </c>
      <c r="B29" s="948">
        <v>87478.10000000002</v>
      </c>
      <c r="C29" s="948">
        <v>85516</v>
      </c>
      <c r="D29" s="948">
        <v>87289</v>
      </c>
      <c r="E29" s="948">
        <v>87734</v>
      </c>
      <c r="F29" s="948">
        <v>87720</v>
      </c>
      <c r="G29" s="948">
        <v>87706</v>
      </c>
      <c r="H29" s="53" t="s">
        <v>2279</v>
      </c>
    </row>
    <row r="30" spans="1:9" ht="130.5" customHeight="1">
      <c r="A30" s="1408" t="s">
        <v>2251</v>
      </c>
      <c r="B30" s="1408"/>
      <c r="C30" s="1408"/>
      <c r="D30" s="1408"/>
      <c r="E30" s="1408"/>
      <c r="F30" s="1408"/>
      <c r="G30" s="1408"/>
    </row>
    <row r="31" spans="1:9" ht="8.25" customHeight="1"/>
    <row r="32" spans="1:9" ht="15.75" customHeight="1">
      <c r="A32" s="1373" t="s">
        <v>1388</v>
      </c>
      <c r="B32" s="1373"/>
      <c r="C32" s="1373"/>
      <c r="D32" s="1373"/>
      <c r="E32" s="1373"/>
      <c r="F32" s="1373"/>
      <c r="G32" s="1373"/>
      <c r="H32" s="1373"/>
      <c r="I32" s="1373"/>
    </row>
    <row r="33" spans="1:9" ht="15.75">
      <c r="A33" s="1374" t="s">
        <v>824</v>
      </c>
      <c r="B33" s="1374"/>
      <c r="C33" s="1374"/>
      <c r="D33" s="1374"/>
      <c r="E33" s="1374"/>
      <c r="F33" s="1374"/>
      <c r="G33" s="1374"/>
      <c r="H33" s="1374"/>
      <c r="I33" s="1374"/>
    </row>
    <row r="34" spans="1:9" ht="7.5" customHeight="1">
      <c r="A34" s="375"/>
      <c r="B34" s="375"/>
      <c r="C34" s="375"/>
      <c r="D34" s="375"/>
      <c r="E34" s="375"/>
      <c r="F34" s="375"/>
      <c r="G34" s="375"/>
      <c r="H34" s="375"/>
      <c r="I34" s="375"/>
    </row>
    <row r="35" spans="1:9" ht="15.75">
      <c r="A35" s="5" t="s">
        <v>1389</v>
      </c>
      <c r="B35" s="5"/>
      <c r="C35" s="386"/>
      <c r="D35" s="385"/>
      <c r="E35" s="385"/>
      <c r="F35" s="385"/>
      <c r="G35" s="5"/>
      <c r="H35" s="5"/>
      <c r="I35" s="5"/>
    </row>
    <row r="36" spans="1:9" ht="15.75">
      <c r="A36" s="725" t="s">
        <v>2111</v>
      </c>
      <c r="B36" s="5"/>
      <c r="C36" s="386"/>
      <c r="D36" s="385"/>
      <c r="E36" s="385"/>
      <c r="F36" s="385"/>
      <c r="G36" s="5"/>
      <c r="H36" s="5"/>
      <c r="I36" s="5"/>
    </row>
    <row r="37" spans="1:9" ht="15.75">
      <c r="A37" s="5" t="s">
        <v>2112</v>
      </c>
      <c r="B37" s="5"/>
      <c r="C37" s="386"/>
      <c r="D37" s="385"/>
      <c r="E37" s="385"/>
      <c r="F37" s="385"/>
      <c r="G37" s="5"/>
      <c r="H37" s="726">
        <v>1635314.1326098694</v>
      </c>
      <c r="I37" s="5"/>
    </row>
    <row r="38" spans="1:9" ht="15.75">
      <c r="A38" s="5" t="s">
        <v>2109</v>
      </c>
      <c r="B38" s="5"/>
      <c r="C38" s="386"/>
      <c r="D38" s="385"/>
      <c r="E38" s="385"/>
      <c r="F38" s="385"/>
      <c r="G38" s="5"/>
      <c r="H38" s="726">
        <v>1571899.366834705</v>
      </c>
      <c r="I38" s="5"/>
    </row>
    <row r="39" spans="1:9" ht="15.75">
      <c r="A39" s="5" t="s">
        <v>2110</v>
      </c>
      <c r="B39" s="5"/>
      <c r="C39" s="386"/>
      <c r="D39" s="385"/>
      <c r="E39" s="385"/>
      <c r="F39" s="385"/>
      <c r="G39" s="5"/>
      <c r="H39" s="726">
        <v>1754397.9317563481</v>
      </c>
      <c r="I39" s="5"/>
    </row>
  </sheetData>
  <mergeCells count="12">
    <mergeCell ref="A6:G6"/>
    <mergeCell ref="A13:G13"/>
    <mergeCell ref="A17:G17"/>
    <mergeCell ref="A30:G30"/>
    <mergeCell ref="A33:I33"/>
    <mergeCell ref="A32:I32"/>
    <mergeCell ref="A1:G1"/>
    <mergeCell ref="A2:G2"/>
    <mergeCell ref="A3:F3"/>
    <mergeCell ref="A4:A5"/>
    <mergeCell ref="B4:B5"/>
    <mergeCell ref="C4:G4"/>
  </mergeCells>
  <pageMargins left="0.98425196850393704" right="0.39370078740157483" top="0.39370078740157483" bottom="0.39370078740157483" header="0.31496062992125984" footer="0.31496062992125984"/>
  <pageSetup paperSize="9" scale="95" orientation="portrait" r:id="rId1"/>
  <rowBreaks count="1" manualBreakCount="1">
    <brk id="16" max="6" man="1"/>
  </rowBreaks>
</worksheet>
</file>

<file path=xl/worksheets/sheet11.xml><?xml version="1.0" encoding="utf-8"?>
<worksheet xmlns="http://schemas.openxmlformats.org/spreadsheetml/2006/main" xmlns:r="http://schemas.openxmlformats.org/officeDocument/2006/relationships">
  <dimension ref="A1:AE198"/>
  <sheetViews>
    <sheetView view="pageBreakPreview" zoomScale="80" zoomScaleSheetLayoutView="80" workbookViewId="0">
      <selection activeCell="AL27" sqref="AL27"/>
    </sheetView>
  </sheetViews>
  <sheetFormatPr defaultRowHeight="15"/>
  <cols>
    <col min="1" max="1" width="6.28515625" customWidth="1"/>
    <col min="2" max="2" width="38.7109375" customWidth="1"/>
    <col min="3" max="4" width="12.140625" customWidth="1"/>
    <col min="5" max="27" width="0" hidden="1" customWidth="1"/>
    <col min="28" max="28" width="1.5703125" hidden="1" customWidth="1"/>
    <col min="29" max="30" width="9" customWidth="1"/>
  </cols>
  <sheetData>
    <row r="1" spans="1:30" ht="16.5" customHeight="1">
      <c r="A1" s="1411" t="s">
        <v>1400</v>
      </c>
      <c r="B1" s="1411"/>
      <c r="C1" s="1411"/>
      <c r="D1" s="1411"/>
      <c r="E1" s="1411"/>
      <c r="F1" s="1411"/>
      <c r="G1" s="1411"/>
      <c r="H1" s="1411"/>
      <c r="I1" s="1411"/>
      <c r="J1" s="1411"/>
      <c r="K1" s="1411"/>
      <c r="L1" s="1411"/>
      <c r="M1" s="1411"/>
      <c r="N1" s="1411"/>
      <c r="O1" s="1411"/>
      <c r="P1" s="1411"/>
      <c r="Q1" s="1411"/>
      <c r="R1" s="1411"/>
      <c r="S1" s="1411"/>
      <c r="T1" s="1411"/>
      <c r="U1" s="1411"/>
      <c r="V1" s="1411"/>
      <c r="W1" s="1411"/>
      <c r="X1" s="1411"/>
      <c r="Y1" s="1411"/>
      <c r="Z1" s="1411"/>
      <c r="AA1" s="1411"/>
      <c r="AB1" s="1411"/>
      <c r="AC1" s="1411"/>
      <c r="AD1" s="1411"/>
    </row>
    <row r="2" spans="1:30" ht="16.5" customHeight="1">
      <c r="A2" s="1412" t="s">
        <v>953</v>
      </c>
      <c r="B2" s="1412"/>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row>
    <row r="3" spans="1:30" ht="15.75">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row>
    <row r="4" spans="1:30" ht="18" customHeight="1">
      <c r="A4" s="1413" t="s">
        <v>1393</v>
      </c>
      <c r="B4" s="1413"/>
      <c r="C4" s="1413"/>
      <c r="D4" s="1413"/>
      <c r="E4" s="1413"/>
      <c r="F4" s="1413"/>
      <c r="G4" s="1413"/>
      <c r="H4" s="1413"/>
      <c r="I4" s="1413"/>
      <c r="J4" s="1413"/>
      <c r="K4" s="1413"/>
      <c r="L4" s="1413"/>
      <c r="M4" s="1413"/>
      <c r="N4" s="1413"/>
      <c r="O4" s="1413"/>
      <c r="P4" s="1413"/>
      <c r="Q4" s="1413"/>
      <c r="R4" s="1413"/>
      <c r="S4" s="1413"/>
      <c r="T4" s="1413"/>
      <c r="U4" s="1413"/>
      <c r="V4" s="1413"/>
      <c r="W4" s="1413"/>
      <c r="X4" s="1413"/>
      <c r="Y4" s="1413"/>
      <c r="Z4" s="1413"/>
      <c r="AA4" s="1413"/>
      <c r="AB4" s="1413"/>
      <c r="AC4" s="1413"/>
      <c r="AD4" s="1413"/>
    </row>
    <row r="5" spans="1:30" ht="16.5" customHeight="1">
      <c r="A5" s="1414" t="s">
        <v>954</v>
      </c>
      <c r="B5" s="1414"/>
      <c r="C5" s="1414"/>
      <c r="D5" s="1414"/>
      <c r="E5" s="1414"/>
      <c r="F5" s="1414"/>
      <c r="G5" s="1414"/>
      <c r="H5" s="1414"/>
      <c r="I5" s="1414"/>
      <c r="J5" s="1414"/>
      <c r="K5" s="1414"/>
      <c r="L5" s="1414"/>
      <c r="M5" s="1414"/>
      <c r="N5" s="1414"/>
      <c r="O5" s="1414"/>
      <c r="P5" s="1414"/>
      <c r="Q5" s="1414"/>
      <c r="R5" s="1414"/>
      <c r="S5" s="1414"/>
      <c r="T5" s="1414"/>
      <c r="U5" s="1414"/>
      <c r="V5" s="1414"/>
      <c r="W5" s="1414"/>
      <c r="X5" s="1414"/>
      <c r="Y5" s="1414"/>
      <c r="Z5" s="1414"/>
      <c r="AA5" s="1414"/>
      <c r="AB5" s="1414"/>
      <c r="AC5" s="1414"/>
      <c r="AD5" s="1414"/>
    </row>
    <row r="6" spans="1:30" ht="16.5" customHeight="1">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1:30" ht="57" customHeight="1">
      <c r="A7" s="1415" t="s">
        <v>7</v>
      </c>
      <c r="B7" s="1416" t="s">
        <v>8</v>
      </c>
      <c r="C7" s="1418" t="s">
        <v>864</v>
      </c>
      <c r="D7" s="1419"/>
      <c r="E7" s="1420" t="s">
        <v>865</v>
      </c>
      <c r="F7" s="1421"/>
      <c r="G7" s="1420" t="s">
        <v>866</v>
      </c>
      <c r="H7" s="1421"/>
      <c r="I7" s="1420" t="s">
        <v>867</v>
      </c>
      <c r="J7" s="1421"/>
      <c r="K7" s="1420" t="s">
        <v>868</v>
      </c>
      <c r="L7" s="1421"/>
      <c r="M7" s="1420" t="s">
        <v>869</v>
      </c>
      <c r="N7" s="1421"/>
      <c r="O7" s="1420" t="s">
        <v>870</v>
      </c>
      <c r="P7" s="1421"/>
      <c r="Q7" s="1433" t="s">
        <v>871</v>
      </c>
      <c r="R7" s="1434"/>
      <c r="S7" s="1433" t="s">
        <v>872</v>
      </c>
      <c r="T7" s="1434"/>
      <c r="U7" s="1422" t="s">
        <v>873</v>
      </c>
      <c r="V7" s="1423"/>
      <c r="W7" s="1422" t="s">
        <v>874</v>
      </c>
      <c r="X7" s="1423"/>
      <c r="Y7" s="1422" t="s">
        <v>875</v>
      </c>
      <c r="Z7" s="1423"/>
      <c r="AA7" s="1422" t="s">
        <v>876</v>
      </c>
      <c r="AB7" s="1423"/>
      <c r="AC7" s="1424" t="s">
        <v>490</v>
      </c>
      <c r="AD7" s="1424"/>
    </row>
    <row r="8" spans="1:30" ht="66.75" customHeight="1">
      <c r="A8" s="1415"/>
      <c r="B8" s="1417"/>
      <c r="C8" s="237" t="s">
        <v>877</v>
      </c>
      <c r="D8" s="237" t="s">
        <v>878</v>
      </c>
      <c r="E8" s="29" t="s">
        <v>879</v>
      </c>
      <c r="F8" s="29" t="s">
        <v>880</v>
      </c>
      <c r="G8" s="29" t="s">
        <v>879</v>
      </c>
      <c r="H8" s="29" t="s">
        <v>880</v>
      </c>
      <c r="I8" s="29" t="s">
        <v>879</v>
      </c>
      <c r="J8" s="29" t="s">
        <v>880</v>
      </c>
      <c r="K8" s="29" t="s">
        <v>879</v>
      </c>
      <c r="L8" s="29" t="s">
        <v>880</v>
      </c>
      <c r="M8" s="29" t="s">
        <v>879</v>
      </c>
      <c r="N8" s="29" t="s">
        <v>880</v>
      </c>
      <c r="O8" s="29" t="s">
        <v>879</v>
      </c>
      <c r="P8" s="29" t="s">
        <v>880</v>
      </c>
      <c r="Q8" s="29" t="s">
        <v>879</v>
      </c>
      <c r="R8" s="29" t="s">
        <v>880</v>
      </c>
      <c r="S8" s="29" t="s">
        <v>879</v>
      </c>
      <c r="T8" s="29" t="s">
        <v>880</v>
      </c>
      <c r="U8" s="29" t="s">
        <v>879</v>
      </c>
      <c r="V8" s="29" t="s">
        <v>880</v>
      </c>
      <c r="W8" s="29" t="s">
        <v>879</v>
      </c>
      <c r="X8" s="29" t="s">
        <v>880</v>
      </c>
      <c r="Y8" s="29" t="s">
        <v>879</v>
      </c>
      <c r="Z8" s="29" t="s">
        <v>880</v>
      </c>
      <c r="AA8" s="29" t="s">
        <v>879</v>
      </c>
      <c r="AB8" s="29" t="s">
        <v>880</v>
      </c>
      <c r="AC8" s="238" t="s">
        <v>491</v>
      </c>
      <c r="AD8" s="238" t="s">
        <v>492</v>
      </c>
    </row>
    <row r="9" spans="1:30">
      <c r="A9" s="239">
        <v>1</v>
      </c>
      <c r="B9" s="240">
        <v>2</v>
      </c>
      <c r="C9" s="241">
        <v>3</v>
      </c>
      <c r="D9" s="300">
        <v>4</v>
      </c>
      <c r="E9" s="29"/>
      <c r="F9" s="29"/>
      <c r="G9" s="29"/>
      <c r="H9" s="29"/>
      <c r="I9" s="29"/>
      <c r="J9" s="29"/>
      <c r="K9" s="29"/>
      <c r="L9" s="29"/>
      <c r="M9" s="29"/>
      <c r="N9" s="29"/>
      <c r="O9" s="29"/>
      <c r="P9" s="29"/>
      <c r="Q9" s="242"/>
      <c r="R9" s="242"/>
      <c r="S9" s="242"/>
      <c r="T9" s="242"/>
      <c r="U9" s="242"/>
      <c r="V9" s="242"/>
      <c r="W9" s="242"/>
      <c r="X9" s="242"/>
      <c r="Y9" s="242"/>
      <c r="Z9" s="242"/>
      <c r="AA9" s="242"/>
      <c r="AB9" s="242"/>
      <c r="AC9" s="29">
        <v>5</v>
      </c>
      <c r="AD9" s="29">
        <v>6</v>
      </c>
    </row>
    <row r="10" spans="1:30" ht="15.75" customHeight="1">
      <c r="A10" s="1409" t="s">
        <v>955</v>
      </c>
      <c r="B10" s="1410"/>
      <c r="C10" s="1410"/>
      <c r="D10" s="1410"/>
      <c r="E10" s="1410"/>
      <c r="F10" s="1410"/>
      <c r="G10" s="1410"/>
      <c r="H10" s="1410"/>
      <c r="I10" s="1410"/>
      <c r="J10" s="1410"/>
      <c r="K10" s="1410"/>
      <c r="L10" s="1410"/>
      <c r="M10" s="1410"/>
      <c r="N10" s="1410"/>
      <c r="O10" s="1410"/>
      <c r="P10" s="1410"/>
      <c r="Q10" s="1410"/>
      <c r="R10" s="1410"/>
      <c r="S10" s="1410"/>
      <c r="T10" s="1410"/>
      <c r="U10" s="1410"/>
      <c r="V10" s="1410"/>
      <c r="W10" s="1410"/>
      <c r="X10" s="1410"/>
      <c r="Y10" s="1410"/>
      <c r="Z10" s="1410"/>
      <c r="AA10" s="1410"/>
      <c r="AB10" s="1410"/>
      <c r="AC10" s="1410"/>
      <c r="AD10" s="1410"/>
    </row>
    <row r="11" spans="1:30" ht="15.75">
      <c r="A11" s="277" t="s">
        <v>956</v>
      </c>
      <c r="B11" s="278"/>
      <c r="C11" s="301">
        <f t="shared" ref="C11:AB11" si="0">SUM(C12:C108)</f>
        <v>38695.120000000003</v>
      </c>
      <c r="D11" s="301">
        <f t="shared" si="0"/>
        <v>35302.538465600002</v>
      </c>
      <c r="E11" s="301">
        <f t="shared" si="0"/>
        <v>0</v>
      </c>
      <c r="F11" s="301">
        <f t="shared" si="0"/>
        <v>899.63100000000009</v>
      </c>
      <c r="G11" s="301">
        <f t="shared" si="0"/>
        <v>0</v>
      </c>
      <c r="H11" s="301">
        <f t="shared" si="0"/>
        <v>2082.0640000000003</v>
      </c>
      <c r="I11" s="301">
        <f t="shared" si="0"/>
        <v>0</v>
      </c>
      <c r="J11" s="301">
        <f t="shared" si="0"/>
        <v>635.471</v>
      </c>
      <c r="K11" s="301">
        <f t="shared" si="0"/>
        <v>0</v>
      </c>
      <c r="L11" s="301">
        <f t="shared" si="0"/>
        <v>1099.5</v>
      </c>
      <c r="M11" s="301">
        <f t="shared" si="0"/>
        <v>0</v>
      </c>
      <c r="N11" s="301">
        <f t="shared" si="0"/>
        <v>293.86</v>
      </c>
      <c r="O11" s="301">
        <f t="shared" si="0"/>
        <v>0</v>
      </c>
      <c r="P11" s="301">
        <f t="shared" si="0"/>
        <v>835.56192999999996</v>
      </c>
      <c r="Q11" s="301">
        <f t="shared" si="0"/>
        <v>0</v>
      </c>
      <c r="R11" s="301">
        <f t="shared" si="0"/>
        <v>920.85</v>
      </c>
      <c r="S11" s="301">
        <f t="shared" si="0"/>
        <v>0</v>
      </c>
      <c r="T11" s="301">
        <f t="shared" si="0"/>
        <v>197.404</v>
      </c>
      <c r="U11" s="301">
        <f t="shared" si="0"/>
        <v>0</v>
      </c>
      <c r="V11" s="301">
        <f t="shared" si="0"/>
        <v>4044.2712556000001</v>
      </c>
      <c r="W11" s="301">
        <f t="shared" si="0"/>
        <v>0</v>
      </c>
      <c r="X11" s="301">
        <f t="shared" si="0"/>
        <v>-32.656999999999975</v>
      </c>
      <c r="Y11" s="301">
        <f t="shared" si="0"/>
        <v>0</v>
      </c>
      <c r="Z11" s="301">
        <f t="shared" si="0"/>
        <v>1957.11904</v>
      </c>
      <c r="AA11" s="301">
        <f t="shared" si="0"/>
        <v>0</v>
      </c>
      <c r="AB11" s="301">
        <f t="shared" si="0"/>
        <v>21988.92324</v>
      </c>
      <c r="AC11" s="302"/>
      <c r="AD11" s="302"/>
    </row>
    <row r="12" spans="1:30">
      <c r="A12" s="260" t="s">
        <v>137</v>
      </c>
      <c r="B12" s="303" t="s">
        <v>957</v>
      </c>
      <c r="C12" s="304">
        <v>366.47</v>
      </c>
      <c r="D12" s="244">
        <f>F12+H12+J12+L12+N12+P12+R12+T12+V12+X12+Z12+AB12</f>
        <v>181.89214000000001</v>
      </c>
      <c r="E12" s="305"/>
      <c r="F12" s="249"/>
      <c r="G12" s="249"/>
      <c r="H12" s="249"/>
      <c r="I12" s="249"/>
      <c r="J12" s="249"/>
      <c r="K12" s="249"/>
      <c r="L12" s="249"/>
      <c r="M12" s="249"/>
      <c r="N12" s="249"/>
      <c r="O12" s="249"/>
      <c r="P12" s="249"/>
      <c r="Q12" s="250"/>
      <c r="R12" s="250"/>
      <c r="S12" s="250"/>
      <c r="T12" s="250"/>
      <c r="U12" s="250"/>
      <c r="V12" s="250"/>
      <c r="W12" s="250"/>
      <c r="X12" s="244">
        <v>50</v>
      </c>
      <c r="Y12" s="250"/>
      <c r="Z12" s="250"/>
      <c r="AA12" s="250"/>
      <c r="AB12" s="244">
        <v>131.89214000000001</v>
      </c>
      <c r="AC12" s="306" t="s">
        <v>884</v>
      </c>
      <c r="AD12" s="307" t="s">
        <v>885</v>
      </c>
    </row>
    <row r="13" spans="1:30" ht="27.75" customHeight="1">
      <c r="A13" s="260" t="s">
        <v>138</v>
      </c>
      <c r="B13" s="254" t="s">
        <v>958</v>
      </c>
      <c r="C13" s="304">
        <v>1202.99</v>
      </c>
      <c r="D13" s="244">
        <f t="shared" ref="D13:D61" si="1">F13+H13+J13+L13+N13+P13+R13+T13+V13+X13+Z13+AB13</f>
        <v>1200.24575</v>
      </c>
      <c r="E13" s="305"/>
      <c r="F13" s="249"/>
      <c r="G13" s="249"/>
      <c r="H13" s="249"/>
      <c r="I13" s="249"/>
      <c r="J13" s="249"/>
      <c r="K13" s="249"/>
      <c r="L13" s="249"/>
      <c r="M13" s="249"/>
      <c r="N13" s="249"/>
      <c r="O13" s="249"/>
      <c r="P13" s="249"/>
      <c r="Q13" s="250"/>
      <c r="R13" s="250"/>
      <c r="S13" s="250"/>
      <c r="T13" s="250"/>
      <c r="U13" s="250"/>
      <c r="V13" s="244">
        <v>98</v>
      </c>
      <c r="W13" s="250"/>
      <c r="X13" s="250"/>
      <c r="Y13" s="250"/>
      <c r="Z13" s="250"/>
      <c r="AA13" s="250"/>
      <c r="AB13" s="244">
        <v>1102.24575</v>
      </c>
      <c r="AC13" s="306" t="s">
        <v>884</v>
      </c>
      <c r="AD13" s="307" t="s">
        <v>885</v>
      </c>
    </row>
    <row r="14" spans="1:30" ht="24.75" customHeight="1">
      <c r="A14" s="260" t="s">
        <v>139</v>
      </c>
      <c r="B14" s="254" t="s">
        <v>959</v>
      </c>
      <c r="C14" s="304">
        <v>400</v>
      </c>
      <c r="D14" s="244">
        <f t="shared" si="1"/>
        <v>0</v>
      </c>
      <c r="E14" s="305"/>
      <c r="F14" s="249"/>
      <c r="G14" s="249"/>
      <c r="H14" s="249"/>
      <c r="I14" s="249"/>
      <c r="J14" s="249"/>
      <c r="K14" s="249"/>
      <c r="L14" s="249"/>
      <c r="M14" s="249"/>
      <c r="N14" s="249"/>
      <c r="O14" s="249"/>
      <c r="P14" s="249"/>
      <c r="Q14" s="250"/>
      <c r="R14" s="250"/>
      <c r="S14" s="250"/>
      <c r="T14" s="250"/>
      <c r="U14" s="250"/>
      <c r="V14" s="250"/>
      <c r="W14" s="250"/>
      <c r="X14" s="250"/>
      <c r="Y14" s="250"/>
      <c r="Z14" s="250"/>
      <c r="AA14" s="250"/>
      <c r="AB14" s="250"/>
      <c r="AC14" s="306" t="s">
        <v>884</v>
      </c>
      <c r="AD14" s="307" t="s">
        <v>885</v>
      </c>
    </row>
    <row r="15" spans="1:30" ht="26.25" customHeight="1">
      <c r="A15" s="260" t="s">
        <v>136</v>
      </c>
      <c r="B15" s="308" t="s">
        <v>960</v>
      </c>
      <c r="C15" s="304">
        <v>400</v>
      </c>
      <c r="D15" s="244">
        <f t="shared" si="1"/>
        <v>130.95920000000001</v>
      </c>
      <c r="E15" s="305"/>
      <c r="F15" s="249"/>
      <c r="G15" s="249"/>
      <c r="H15" s="249"/>
      <c r="I15" s="249"/>
      <c r="J15" s="249"/>
      <c r="K15" s="249"/>
      <c r="L15" s="249"/>
      <c r="M15" s="249"/>
      <c r="N15" s="249"/>
      <c r="O15" s="249"/>
      <c r="P15" s="249"/>
      <c r="Q15" s="250"/>
      <c r="R15" s="250"/>
      <c r="S15" s="250"/>
      <c r="T15" s="250"/>
      <c r="U15" s="250"/>
      <c r="V15" s="250"/>
      <c r="W15" s="250"/>
      <c r="X15" s="250"/>
      <c r="Y15" s="250"/>
      <c r="Z15" s="250"/>
      <c r="AA15" s="250"/>
      <c r="AB15" s="244">
        <f>88.22369+42.73551</f>
        <v>130.95920000000001</v>
      </c>
      <c r="AC15" s="306" t="s">
        <v>884</v>
      </c>
      <c r="AD15" s="307" t="s">
        <v>885</v>
      </c>
    </row>
    <row r="16" spans="1:30" ht="27.75" customHeight="1">
      <c r="A16" s="260" t="s">
        <v>140</v>
      </c>
      <c r="B16" s="308" t="s">
        <v>961</v>
      </c>
      <c r="C16" s="304">
        <v>1405</v>
      </c>
      <c r="D16" s="244">
        <f t="shared" si="1"/>
        <v>763.09065999999996</v>
      </c>
      <c r="E16" s="305"/>
      <c r="F16" s="249"/>
      <c r="G16" s="249"/>
      <c r="H16" s="249"/>
      <c r="I16" s="249"/>
      <c r="J16" s="249"/>
      <c r="K16" s="249"/>
      <c r="L16" s="249"/>
      <c r="M16" s="249"/>
      <c r="N16" s="249"/>
      <c r="O16" s="249"/>
      <c r="P16" s="249"/>
      <c r="Q16" s="250"/>
      <c r="R16" s="250"/>
      <c r="S16" s="250"/>
      <c r="T16" s="250"/>
      <c r="U16" s="250"/>
      <c r="V16" s="250"/>
      <c r="W16" s="250"/>
      <c r="X16" s="250"/>
      <c r="Y16" s="250"/>
      <c r="Z16" s="250"/>
      <c r="AA16" s="250"/>
      <c r="AB16" s="244">
        <v>763.09065999999996</v>
      </c>
      <c r="AC16" s="306" t="s">
        <v>884</v>
      </c>
      <c r="AD16" s="307" t="s">
        <v>885</v>
      </c>
    </row>
    <row r="17" spans="1:30" ht="22.5" customHeight="1">
      <c r="A17" s="260" t="s">
        <v>141</v>
      </c>
      <c r="B17" s="308" t="s">
        <v>962</v>
      </c>
      <c r="C17" s="304">
        <v>435</v>
      </c>
      <c r="D17" s="244">
        <f t="shared" si="1"/>
        <v>250.35003</v>
      </c>
      <c r="E17" s="305"/>
      <c r="F17" s="249"/>
      <c r="G17" s="249"/>
      <c r="H17" s="249"/>
      <c r="I17" s="249"/>
      <c r="J17" s="249"/>
      <c r="K17" s="249"/>
      <c r="L17" s="249"/>
      <c r="M17" s="249"/>
      <c r="N17" s="249"/>
      <c r="O17" s="249"/>
      <c r="P17" s="249"/>
      <c r="Q17" s="250"/>
      <c r="R17" s="250"/>
      <c r="S17" s="250"/>
      <c r="T17" s="250"/>
      <c r="U17" s="250"/>
      <c r="V17" s="244">
        <v>45</v>
      </c>
      <c r="W17" s="250"/>
      <c r="X17" s="250"/>
      <c r="Y17" s="250"/>
      <c r="Z17" s="250"/>
      <c r="AA17" s="250"/>
      <c r="AB17" s="244">
        <v>205.35003</v>
      </c>
      <c r="AC17" s="306" t="s">
        <v>884</v>
      </c>
      <c r="AD17" s="307" t="s">
        <v>885</v>
      </c>
    </row>
    <row r="18" spans="1:30" ht="30" customHeight="1">
      <c r="A18" s="260" t="s">
        <v>142</v>
      </c>
      <c r="B18" s="308" t="s">
        <v>963</v>
      </c>
      <c r="C18" s="304">
        <v>845.32</v>
      </c>
      <c r="D18" s="244">
        <f t="shared" si="1"/>
        <v>0</v>
      </c>
      <c r="E18" s="305"/>
      <c r="F18" s="249"/>
      <c r="G18" s="249"/>
      <c r="H18" s="249"/>
      <c r="I18" s="249"/>
      <c r="J18" s="249"/>
      <c r="K18" s="249"/>
      <c r="L18" s="249"/>
      <c r="M18" s="249"/>
      <c r="N18" s="249"/>
      <c r="O18" s="249"/>
      <c r="P18" s="249"/>
      <c r="Q18" s="250"/>
      <c r="R18" s="250"/>
      <c r="S18" s="250"/>
      <c r="T18" s="250"/>
      <c r="U18" s="250"/>
      <c r="V18" s="250"/>
      <c r="W18" s="250"/>
      <c r="X18" s="250"/>
      <c r="Y18" s="250"/>
      <c r="Z18" s="250"/>
      <c r="AA18" s="250"/>
      <c r="AB18" s="250"/>
      <c r="AC18" s="306" t="s">
        <v>884</v>
      </c>
      <c r="AD18" s="307" t="s">
        <v>885</v>
      </c>
    </row>
    <row r="19" spans="1:30" ht="41.25" customHeight="1">
      <c r="A19" s="260" t="s">
        <v>143</v>
      </c>
      <c r="B19" s="308" t="s">
        <v>964</v>
      </c>
      <c r="C19" s="304">
        <v>64</v>
      </c>
      <c r="D19" s="244">
        <f t="shared" si="1"/>
        <v>64</v>
      </c>
      <c r="E19" s="305"/>
      <c r="F19" s="249"/>
      <c r="G19" s="249"/>
      <c r="H19" s="249"/>
      <c r="I19" s="249"/>
      <c r="J19" s="249"/>
      <c r="K19" s="249"/>
      <c r="L19" s="249"/>
      <c r="M19" s="249"/>
      <c r="N19" s="249"/>
      <c r="O19" s="249"/>
      <c r="P19" s="249"/>
      <c r="Q19" s="250"/>
      <c r="R19" s="250"/>
      <c r="S19" s="250"/>
      <c r="T19" s="250"/>
      <c r="U19" s="250"/>
      <c r="V19" s="250"/>
      <c r="W19" s="250"/>
      <c r="X19" s="250"/>
      <c r="Y19" s="250"/>
      <c r="Z19" s="244">
        <v>64</v>
      </c>
      <c r="AA19" s="250"/>
      <c r="AB19" s="250"/>
      <c r="AC19" s="306" t="s">
        <v>884</v>
      </c>
      <c r="AD19" s="307" t="s">
        <v>885</v>
      </c>
    </row>
    <row r="20" spans="1:30" ht="43.5" customHeight="1">
      <c r="A20" s="260" t="s">
        <v>144</v>
      </c>
      <c r="B20" s="308" t="s">
        <v>965</v>
      </c>
      <c r="C20" s="304">
        <v>325</v>
      </c>
      <c r="D20" s="244">
        <f t="shared" si="1"/>
        <v>325</v>
      </c>
      <c r="E20" s="305"/>
      <c r="F20" s="249"/>
      <c r="G20" s="249"/>
      <c r="H20" s="249"/>
      <c r="I20" s="249"/>
      <c r="J20" s="249"/>
      <c r="K20" s="249"/>
      <c r="L20" s="249"/>
      <c r="M20" s="249"/>
      <c r="N20" s="249"/>
      <c r="O20" s="249"/>
      <c r="P20" s="249"/>
      <c r="Q20" s="250"/>
      <c r="R20" s="250"/>
      <c r="S20" s="250"/>
      <c r="T20" s="250"/>
      <c r="U20" s="250"/>
      <c r="V20" s="250"/>
      <c r="W20" s="250"/>
      <c r="X20" s="250"/>
      <c r="Y20" s="250"/>
      <c r="Z20" s="250"/>
      <c r="AA20" s="250"/>
      <c r="AB20" s="244">
        <v>325</v>
      </c>
      <c r="AC20" s="306" t="s">
        <v>884</v>
      </c>
      <c r="AD20" s="307" t="s">
        <v>885</v>
      </c>
    </row>
    <row r="21" spans="1:30" ht="24" customHeight="1">
      <c r="A21" s="260" t="s">
        <v>145</v>
      </c>
      <c r="B21" s="254" t="s">
        <v>966</v>
      </c>
      <c r="C21" s="304">
        <v>294.24</v>
      </c>
      <c r="D21" s="244">
        <f t="shared" si="1"/>
        <v>231.9255</v>
      </c>
      <c r="E21" s="305"/>
      <c r="F21" s="249"/>
      <c r="G21" s="249"/>
      <c r="H21" s="249"/>
      <c r="I21" s="249"/>
      <c r="J21" s="249"/>
      <c r="K21" s="249"/>
      <c r="L21" s="249"/>
      <c r="M21" s="249"/>
      <c r="N21" s="249"/>
      <c r="O21" s="249"/>
      <c r="P21" s="249"/>
      <c r="Q21" s="250"/>
      <c r="R21" s="250"/>
      <c r="S21" s="250"/>
      <c r="T21" s="250"/>
      <c r="U21" s="250"/>
      <c r="V21" s="244">
        <v>44</v>
      </c>
      <c r="W21" s="250"/>
      <c r="X21" s="250"/>
      <c r="Y21" s="250"/>
      <c r="Z21" s="250"/>
      <c r="AA21" s="250"/>
      <c r="AB21" s="244">
        <v>187.9255</v>
      </c>
      <c r="AC21" s="306" t="s">
        <v>884</v>
      </c>
      <c r="AD21" s="307" t="s">
        <v>885</v>
      </c>
    </row>
    <row r="22" spans="1:30" ht="30" customHeight="1">
      <c r="A22" s="260" t="s">
        <v>146</v>
      </c>
      <c r="B22" s="254" t="s">
        <v>967</v>
      </c>
      <c r="C22" s="304">
        <v>722.76</v>
      </c>
      <c r="D22" s="244">
        <f t="shared" si="1"/>
        <v>722.75972000000002</v>
      </c>
      <c r="E22" s="305"/>
      <c r="F22" s="249"/>
      <c r="G22" s="249"/>
      <c r="H22" s="249"/>
      <c r="I22" s="249"/>
      <c r="J22" s="249"/>
      <c r="K22" s="249"/>
      <c r="L22" s="249"/>
      <c r="M22" s="249"/>
      <c r="N22" s="249"/>
      <c r="O22" s="249"/>
      <c r="P22" s="249"/>
      <c r="Q22" s="250"/>
      <c r="R22" s="250"/>
      <c r="S22" s="250"/>
      <c r="T22" s="250"/>
      <c r="U22" s="250"/>
      <c r="V22" s="304">
        <v>70</v>
      </c>
      <c r="W22" s="250"/>
      <c r="X22" s="250"/>
      <c r="Y22" s="250"/>
      <c r="Z22" s="244">
        <v>652.75972000000002</v>
      </c>
      <c r="AA22" s="250"/>
      <c r="AB22" s="304"/>
      <c r="AC22" s="306" t="s">
        <v>884</v>
      </c>
      <c r="AD22" s="307" t="s">
        <v>885</v>
      </c>
    </row>
    <row r="23" spans="1:30" ht="19.5" customHeight="1">
      <c r="A23" s="260" t="s">
        <v>147</v>
      </c>
      <c r="B23" s="254" t="s">
        <v>968</v>
      </c>
      <c r="C23" s="304">
        <v>961</v>
      </c>
      <c r="D23" s="244">
        <f t="shared" si="1"/>
        <v>859.93970999999999</v>
      </c>
      <c r="E23" s="305"/>
      <c r="F23" s="249"/>
      <c r="G23" s="249"/>
      <c r="H23" s="249"/>
      <c r="I23" s="249"/>
      <c r="J23" s="249"/>
      <c r="K23" s="249"/>
      <c r="L23" s="249"/>
      <c r="M23" s="249"/>
      <c r="N23" s="249"/>
      <c r="O23" s="249"/>
      <c r="P23" s="249"/>
      <c r="Q23" s="250"/>
      <c r="R23" s="250"/>
      <c r="S23" s="250"/>
      <c r="T23" s="250"/>
      <c r="U23" s="250"/>
      <c r="V23" s="304">
        <v>91</v>
      </c>
      <c r="W23" s="250"/>
      <c r="X23" s="250"/>
      <c r="Y23" s="250"/>
      <c r="Z23" s="250"/>
      <c r="AA23" s="250"/>
      <c r="AB23" s="304">
        <v>768.93970999999999</v>
      </c>
      <c r="AC23" s="306" t="s">
        <v>884</v>
      </c>
      <c r="AD23" s="307" t="s">
        <v>885</v>
      </c>
    </row>
    <row r="24" spans="1:30" ht="14.25" hidden="1" customHeight="1">
      <c r="A24" s="260"/>
      <c r="B24" s="254"/>
      <c r="C24" s="309">
        <v>99.1</v>
      </c>
      <c r="D24" s="310">
        <v>-0.25</v>
      </c>
      <c r="E24" s="305"/>
      <c r="F24" s="249"/>
      <c r="G24" s="249"/>
      <c r="H24" s="249"/>
      <c r="I24" s="249"/>
      <c r="J24" s="249"/>
      <c r="K24" s="249"/>
      <c r="L24" s="249"/>
      <c r="M24" s="249"/>
      <c r="N24" s="249"/>
      <c r="O24" s="249"/>
      <c r="P24" s="249"/>
      <c r="Q24" s="250"/>
      <c r="R24" s="250"/>
      <c r="S24" s="250"/>
      <c r="T24" s="250"/>
      <c r="U24" s="250"/>
      <c r="V24" s="304"/>
      <c r="W24" s="250"/>
      <c r="X24" s="250"/>
      <c r="Y24" s="250"/>
      <c r="Z24" s="250"/>
      <c r="AA24" s="250"/>
      <c r="AB24" s="304"/>
      <c r="AC24" s="306"/>
      <c r="AD24" s="307"/>
    </row>
    <row r="25" spans="1:30" ht="30" customHeight="1">
      <c r="A25" s="260" t="s">
        <v>148</v>
      </c>
      <c r="B25" s="254" t="s">
        <v>969</v>
      </c>
      <c r="C25" s="304">
        <v>696</v>
      </c>
      <c r="D25" s="244">
        <f t="shared" si="1"/>
        <v>0</v>
      </c>
      <c r="E25" s="305"/>
      <c r="F25" s="249"/>
      <c r="G25" s="249"/>
      <c r="H25" s="249"/>
      <c r="I25" s="249"/>
      <c r="J25" s="249"/>
      <c r="K25" s="249"/>
      <c r="L25" s="249"/>
      <c r="M25" s="249"/>
      <c r="N25" s="249"/>
      <c r="O25" s="249"/>
      <c r="P25" s="249"/>
      <c r="Q25" s="250"/>
      <c r="R25" s="250"/>
      <c r="S25" s="250"/>
      <c r="T25" s="250"/>
      <c r="U25" s="250"/>
      <c r="V25" s="311"/>
      <c r="W25" s="250"/>
      <c r="X25" s="250"/>
      <c r="Y25" s="250"/>
      <c r="Z25" s="250"/>
      <c r="AA25" s="250"/>
      <c r="AB25" s="311"/>
      <c r="AC25" s="306" t="s">
        <v>884</v>
      </c>
      <c r="AD25" s="307" t="s">
        <v>885</v>
      </c>
    </row>
    <row r="26" spans="1:30" ht="29.25" customHeight="1">
      <c r="A26" s="260" t="s">
        <v>149</v>
      </c>
      <c r="B26" s="254" t="s">
        <v>970</v>
      </c>
      <c r="C26" s="304">
        <v>100</v>
      </c>
      <c r="D26" s="244">
        <f t="shared" si="1"/>
        <v>0</v>
      </c>
      <c r="E26" s="305"/>
      <c r="F26" s="249"/>
      <c r="G26" s="249"/>
      <c r="H26" s="249"/>
      <c r="I26" s="249"/>
      <c r="J26" s="249"/>
      <c r="K26" s="249"/>
      <c r="L26" s="249"/>
      <c r="M26" s="249"/>
      <c r="N26" s="249"/>
      <c r="O26" s="249"/>
      <c r="P26" s="249"/>
      <c r="Q26" s="250"/>
      <c r="R26" s="250"/>
      <c r="S26" s="250"/>
      <c r="T26" s="250"/>
      <c r="U26" s="250"/>
      <c r="V26" s="311"/>
      <c r="W26" s="250"/>
      <c r="X26" s="250"/>
      <c r="Y26" s="250"/>
      <c r="Z26" s="250"/>
      <c r="AA26" s="250"/>
      <c r="AB26" s="311"/>
      <c r="AC26" s="306" t="s">
        <v>884</v>
      </c>
      <c r="AD26" s="307" t="s">
        <v>885</v>
      </c>
    </row>
    <row r="27" spans="1:30" ht="22.5" customHeight="1">
      <c r="A27" s="260" t="s">
        <v>150</v>
      </c>
      <c r="B27" s="254" t="s">
        <v>971</v>
      </c>
      <c r="C27" s="304">
        <v>326.2</v>
      </c>
      <c r="D27" s="244">
        <f t="shared" si="1"/>
        <v>326.2</v>
      </c>
      <c r="E27" s="305"/>
      <c r="F27" s="249"/>
      <c r="G27" s="249"/>
      <c r="H27" s="249"/>
      <c r="I27" s="249"/>
      <c r="J27" s="249"/>
      <c r="K27" s="249"/>
      <c r="L27" s="249"/>
      <c r="M27" s="249"/>
      <c r="N27" s="249"/>
      <c r="O27" s="249"/>
      <c r="P27" s="249"/>
      <c r="Q27" s="250"/>
      <c r="R27" s="250"/>
      <c r="S27" s="250"/>
      <c r="T27" s="250"/>
      <c r="U27" s="250"/>
      <c r="V27" s="304">
        <v>80</v>
      </c>
      <c r="W27" s="250"/>
      <c r="X27" s="250"/>
      <c r="Y27" s="250"/>
      <c r="Z27" s="250"/>
      <c r="AA27" s="250"/>
      <c r="AB27" s="304">
        <f>246.2</f>
        <v>246.2</v>
      </c>
      <c r="AC27" s="306" t="s">
        <v>884</v>
      </c>
      <c r="AD27" s="307" t="s">
        <v>885</v>
      </c>
    </row>
    <row r="28" spans="1:30" ht="17.25" customHeight="1">
      <c r="A28" s="260" t="s">
        <v>151</v>
      </c>
      <c r="B28" s="254" t="s">
        <v>972</v>
      </c>
      <c r="C28" s="304">
        <v>213</v>
      </c>
      <c r="D28" s="244">
        <f t="shared" si="1"/>
        <v>164.54655</v>
      </c>
      <c r="E28" s="305"/>
      <c r="F28" s="249"/>
      <c r="G28" s="249"/>
      <c r="H28" s="249"/>
      <c r="I28" s="249"/>
      <c r="J28" s="249"/>
      <c r="K28" s="249"/>
      <c r="L28" s="249"/>
      <c r="M28" s="249"/>
      <c r="N28" s="249"/>
      <c r="O28" s="249"/>
      <c r="P28" s="249"/>
      <c r="Q28" s="250"/>
      <c r="R28" s="250"/>
      <c r="S28" s="250"/>
      <c r="T28" s="250"/>
      <c r="U28" s="250"/>
      <c r="V28" s="250"/>
      <c r="W28" s="250"/>
      <c r="X28" s="250"/>
      <c r="Y28" s="250"/>
      <c r="Z28" s="250"/>
      <c r="AA28" s="250"/>
      <c r="AB28" s="244">
        <f>108.99105+55.5555</f>
        <v>164.54655</v>
      </c>
      <c r="AC28" s="306" t="s">
        <v>884</v>
      </c>
      <c r="AD28" s="307" t="s">
        <v>885</v>
      </c>
    </row>
    <row r="29" spans="1:30" ht="23.25" customHeight="1">
      <c r="A29" s="260" t="s">
        <v>152</v>
      </c>
      <c r="B29" s="254" t="s">
        <v>973</v>
      </c>
      <c r="C29" s="304">
        <v>73</v>
      </c>
      <c r="D29" s="244">
        <f t="shared" si="1"/>
        <v>0</v>
      </c>
      <c r="E29" s="305"/>
      <c r="F29" s="249"/>
      <c r="G29" s="249"/>
      <c r="H29" s="249"/>
      <c r="I29" s="249"/>
      <c r="J29" s="249"/>
      <c r="K29" s="249"/>
      <c r="L29" s="249"/>
      <c r="M29" s="249"/>
      <c r="N29" s="249"/>
      <c r="O29" s="249"/>
      <c r="P29" s="249"/>
      <c r="Q29" s="250"/>
      <c r="R29" s="250"/>
      <c r="S29" s="250"/>
      <c r="T29" s="250"/>
      <c r="U29" s="250"/>
      <c r="V29" s="250"/>
      <c r="W29" s="250"/>
      <c r="X29" s="250"/>
      <c r="Y29" s="250"/>
      <c r="Z29" s="250"/>
      <c r="AA29" s="250"/>
      <c r="AB29" s="250"/>
      <c r="AC29" s="306" t="s">
        <v>884</v>
      </c>
      <c r="AD29" s="307" t="s">
        <v>885</v>
      </c>
    </row>
    <row r="30" spans="1:30" ht="30.75" customHeight="1">
      <c r="A30" s="260" t="s">
        <v>153</v>
      </c>
      <c r="B30" s="254" t="s">
        <v>974</v>
      </c>
      <c r="C30" s="304">
        <v>120</v>
      </c>
      <c r="D30" s="244">
        <f t="shared" si="1"/>
        <v>120</v>
      </c>
      <c r="E30" s="305"/>
      <c r="F30" s="249"/>
      <c r="G30" s="249"/>
      <c r="H30" s="249"/>
      <c r="I30" s="249"/>
      <c r="J30" s="249"/>
      <c r="K30" s="249"/>
      <c r="L30" s="249"/>
      <c r="M30" s="249"/>
      <c r="N30" s="249"/>
      <c r="O30" s="249"/>
      <c r="P30" s="249"/>
      <c r="Q30" s="250"/>
      <c r="R30" s="250"/>
      <c r="S30" s="250"/>
      <c r="T30" s="250"/>
      <c r="U30" s="250"/>
      <c r="V30" s="250"/>
      <c r="W30" s="250"/>
      <c r="X30" s="244">
        <v>120</v>
      </c>
      <c r="Y30" s="250"/>
      <c r="Z30" s="250"/>
      <c r="AA30" s="250"/>
      <c r="AB30" s="250"/>
      <c r="AC30" s="306" t="s">
        <v>884</v>
      </c>
      <c r="AD30" s="307" t="s">
        <v>885</v>
      </c>
    </row>
    <row r="31" spans="1:30" ht="30.75" customHeight="1">
      <c r="A31" s="260" t="s">
        <v>154</v>
      </c>
      <c r="B31" s="254" t="s">
        <v>975</v>
      </c>
      <c r="C31" s="304">
        <v>265</v>
      </c>
      <c r="D31" s="244">
        <f t="shared" si="1"/>
        <v>229.69623000000001</v>
      </c>
      <c r="E31" s="305"/>
      <c r="F31" s="249"/>
      <c r="G31" s="249"/>
      <c r="H31" s="249"/>
      <c r="I31" s="249"/>
      <c r="J31" s="249"/>
      <c r="K31" s="249"/>
      <c r="L31" s="249"/>
      <c r="M31" s="249"/>
      <c r="N31" s="249"/>
      <c r="O31" s="249"/>
      <c r="P31" s="249"/>
      <c r="Q31" s="250"/>
      <c r="R31" s="250"/>
      <c r="S31" s="250"/>
      <c r="T31" s="250"/>
      <c r="U31" s="250"/>
      <c r="V31" s="304">
        <v>93</v>
      </c>
      <c r="W31" s="250"/>
      <c r="X31" s="250"/>
      <c r="Y31" s="250"/>
      <c r="Z31" s="250"/>
      <c r="AA31" s="250"/>
      <c r="AB31" s="304">
        <v>136.69623000000001</v>
      </c>
      <c r="AC31" s="306" t="s">
        <v>884</v>
      </c>
      <c r="AD31" s="307" t="s">
        <v>885</v>
      </c>
    </row>
    <row r="32" spans="1:30" ht="28.5" customHeight="1">
      <c r="A32" s="260" t="s">
        <v>155</v>
      </c>
      <c r="B32" s="254" t="s">
        <v>976</v>
      </c>
      <c r="C32" s="304">
        <v>865</v>
      </c>
      <c r="D32" s="244">
        <f t="shared" si="1"/>
        <v>0</v>
      </c>
      <c r="E32" s="305"/>
      <c r="F32" s="249"/>
      <c r="G32" s="249"/>
      <c r="H32" s="249"/>
      <c r="I32" s="249"/>
      <c r="J32" s="249"/>
      <c r="K32" s="249"/>
      <c r="L32" s="249"/>
      <c r="M32" s="249"/>
      <c r="N32" s="249"/>
      <c r="O32" s="249"/>
      <c r="P32" s="249"/>
      <c r="Q32" s="250"/>
      <c r="R32" s="250"/>
      <c r="S32" s="250"/>
      <c r="T32" s="250"/>
      <c r="U32" s="250"/>
      <c r="V32" s="312"/>
      <c r="W32" s="250"/>
      <c r="X32" s="250"/>
      <c r="Y32" s="250"/>
      <c r="Z32" s="250"/>
      <c r="AA32" s="250"/>
      <c r="AB32" s="312"/>
      <c r="AC32" s="306" t="s">
        <v>884</v>
      </c>
      <c r="AD32" s="307" t="s">
        <v>885</v>
      </c>
    </row>
    <row r="33" spans="1:30" ht="21" customHeight="1">
      <c r="A33" s="260" t="s">
        <v>156</v>
      </c>
      <c r="B33" s="254" t="s">
        <v>977</v>
      </c>
      <c r="C33" s="304">
        <v>696</v>
      </c>
      <c r="D33" s="244">
        <f t="shared" si="1"/>
        <v>0</v>
      </c>
      <c r="E33" s="305"/>
      <c r="F33" s="249"/>
      <c r="G33" s="249"/>
      <c r="H33" s="249"/>
      <c r="I33" s="249"/>
      <c r="J33" s="249"/>
      <c r="K33" s="249"/>
      <c r="L33" s="249"/>
      <c r="M33" s="249"/>
      <c r="N33" s="249"/>
      <c r="O33" s="249"/>
      <c r="P33" s="249"/>
      <c r="Q33" s="250"/>
      <c r="R33" s="250"/>
      <c r="S33" s="250"/>
      <c r="T33" s="250"/>
      <c r="U33" s="250"/>
      <c r="V33" s="250"/>
      <c r="W33" s="250"/>
      <c r="X33" s="250"/>
      <c r="Y33" s="250"/>
      <c r="Z33" s="250"/>
      <c r="AA33" s="250"/>
      <c r="AB33" s="250"/>
      <c r="AC33" s="306" t="s">
        <v>884</v>
      </c>
      <c r="AD33" s="307" t="s">
        <v>885</v>
      </c>
    </row>
    <row r="34" spans="1:30" ht="18.75" customHeight="1">
      <c r="A34" s="260" t="s">
        <v>157</v>
      </c>
      <c r="B34" s="313" t="s">
        <v>978</v>
      </c>
      <c r="C34" s="304">
        <v>810</v>
      </c>
      <c r="D34" s="244">
        <f t="shared" si="1"/>
        <v>773.67155000000002</v>
      </c>
      <c r="E34" s="305"/>
      <c r="F34" s="249"/>
      <c r="G34" s="249"/>
      <c r="H34" s="249"/>
      <c r="I34" s="249"/>
      <c r="J34" s="249"/>
      <c r="K34" s="249"/>
      <c r="L34" s="249"/>
      <c r="M34" s="249"/>
      <c r="N34" s="249"/>
      <c r="O34" s="249"/>
      <c r="P34" s="249"/>
      <c r="Q34" s="250"/>
      <c r="R34" s="250"/>
      <c r="S34" s="250"/>
      <c r="T34" s="250"/>
      <c r="U34" s="250"/>
      <c r="V34" s="258">
        <v>100</v>
      </c>
      <c r="W34" s="250"/>
      <c r="X34" s="250"/>
      <c r="Y34" s="250"/>
      <c r="Z34" s="250"/>
      <c r="AA34" s="250"/>
      <c r="AB34" s="258">
        <v>673.67155000000002</v>
      </c>
      <c r="AC34" s="306" t="s">
        <v>884</v>
      </c>
      <c r="AD34" s="307" t="s">
        <v>885</v>
      </c>
    </row>
    <row r="35" spans="1:30" ht="16.5" customHeight="1">
      <c r="A35" s="260" t="s">
        <v>158</v>
      </c>
      <c r="B35" s="254" t="s">
        <v>979</v>
      </c>
      <c r="C35" s="304">
        <v>111</v>
      </c>
      <c r="D35" s="244">
        <f t="shared" si="1"/>
        <v>104</v>
      </c>
      <c r="E35" s="305"/>
      <c r="F35" s="249"/>
      <c r="G35" s="249"/>
      <c r="H35" s="249"/>
      <c r="I35" s="249"/>
      <c r="J35" s="249"/>
      <c r="K35" s="249"/>
      <c r="L35" s="249"/>
      <c r="M35" s="249"/>
      <c r="N35" s="249"/>
      <c r="O35" s="249"/>
      <c r="P35" s="249"/>
      <c r="Q35" s="250"/>
      <c r="R35" s="250"/>
      <c r="S35" s="250"/>
      <c r="T35" s="250"/>
      <c r="U35" s="250"/>
      <c r="V35" s="250"/>
      <c r="W35" s="250"/>
      <c r="X35" s="250"/>
      <c r="Y35" s="250"/>
      <c r="Z35" s="250"/>
      <c r="AA35" s="250"/>
      <c r="AB35" s="244">
        <v>104</v>
      </c>
      <c r="AC35" s="306" t="s">
        <v>884</v>
      </c>
      <c r="AD35" s="307" t="s">
        <v>885</v>
      </c>
    </row>
    <row r="36" spans="1:30" ht="25.5" customHeight="1">
      <c r="A36" s="260" t="s">
        <v>159</v>
      </c>
      <c r="B36" s="254" t="s">
        <v>980</v>
      </c>
      <c r="C36" s="304">
        <v>650</v>
      </c>
      <c r="D36" s="244">
        <f t="shared" si="1"/>
        <v>644.09432000000004</v>
      </c>
      <c r="E36" s="305"/>
      <c r="F36" s="249"/>
      <c r="G36" s="249"/>
      <c r="H36" s="249"/>
      <c r="I36" s="249"/>
      <c r="J36" s="249"/>
      <c r="K36" s="249"/>
      <c r="L36" s="249"/>
      <c r="M36" s="249"/>
      <c r="N36" s="249"/>
      <c r="O36" s="249"/>
      <c r="P36" s="249"/>
      <c r="Q36" s="250"/>
      <c r="R36" s="250"/>
      <c r="S36" s="250"/>
      <c r="T36" s="250"/>
      <c r="U36" s="250"/>
      <c r="V36" s="311"/>
      <c r="W36" s="250"/>
      <c r="X36" s="250"/>
      <c r="Y36" s="250"/>
      <c r="Z36" s="244">
        <v>644.09432000000004</v>
      </c>
      <c r="AA36" s="250"/>
      <c r="AB36" s="311"/>
      <c r="AC36" s="306" t="s">
        <v>884</v>
      </c>
      <c r="AD36" s="307" t="s">
        <v>885</v>
      </c>
    </row>
    <row r="37" spans="1:30" ht="28.5" customHeight="1">
      <c r="A37" s="260" t="s">
        <v>160</v>
      </c>
      <c r="B37" s="254" t="s">
        <v>981</v>
      </c>
      <c r="C37" s="304">
        <v>4900</v>
      </c>
      <c r="D37" s="244">
        <f t="shared" si="1"/>
        <v>4709.4700300000004</v>
      </c>
      <c r="E37" s="305"/>
      <c r="F37" s="249"/>
      <c r="G37" s="249"/>
      <c r="H37" s="249"/>
      <c r="I37" s="249"/>
      <c r="J37" s="249"/>
      <c r="K37" s="249"/>
      <c r="L37" s="249"/>
      <c r="M37" s="249"/>
      <c r="N37" s="249"/>
      <c r="O37" s="249"/>
      <c r="P37" s="249"/>
      <c r="Q37" s="250"/>
      <c r="R37" s="250"/>
      <c r="S37" s="250"/>
      <c r="T37" s="250"/>
      <c r="U37" s="250"/>
      <c r="V37" s="304">
        <v>350</v>
      </c>
      <c r="W37" s="250"/>
      <c r="X37" s="250"/>
      <c r="Y37" s="250"/>
      <c r="Z37" s="250"/>
      <c r="AA37" s="250"/>
      <c r="AB37" s="304">
        <v>4359.4700300000004</v>
      </c>
      <c r="AC37" s="306" t="s">
        <v>884</v>
      </c>
      <c r="AD37" s="307" t="s">
        <v>885</v>
      </c>
    </row>
    <row r="38" spans="1:30" ht="21.75" customHeight="1">
      <c r="A38" s="260" t="s">
        <v>161</v>
      </c>
      <c r="B38" s="254" t="s">
        <v>982</v>
      </c>
      <c r="C38" s="304">
        <v>655</v>
      </c>
      <c r="D38" s="244">
        <f t="shared" si="1"/>
        <v>529.61199999999997</v>
      </c>
      <c r="E38" s="305"/>
      <c r="F38" s="249"/>
      <c r="G38" s="249"/>
      <c r="H38" s="249"/>
      <c r="I38" s="249"/>
      <c r="J38" s="249"/>
      <c r="K38" s="249"/>
      <c r="L38" s="249"/>
      <c r="M38" s="249"/>
      <c r="N38" s="249"/>
      <c r="O38" s="249"/>
      <c r="P38" s="249"/>
      <c r="Q38" s="250"/>
      <c r="R38" s="250"/>
      <c r="S38" s="250"/>
      <c r="T38" s="250"/>
      <c r="U38" s="250"/>
      <c r="V38" s="250"/>
      <c r="W38" s="250"/>
      <c r="X38" s="250"/>
      <c r="Y38" s="250"/>
      <c r="Z38" s="250"/>
      <c r="AA38" s="250"/>
      <c r="AB38" s="244">
        <v>529.61199999999997</v>
      </c>
      <c r="AC38" s="306" t="s">
        <v>884</v>
      </c>
      <c r="AD38" s="307" t="s">
        <v>885</v>
      </c>
    </row>
    <row r="39" spans="1:30" ht="18" customHeight="1">
      <c r="A39" s="260" t="s">
        <v>162</v>
      </c>
      <c r="B39" s="254" t="s">
        <v>983</v>
      </c>
      <c r="C39" s="304">
        <v>220</v>
      </c>
      <c r="D39" s="244">
        <f t="shared" si="1"/>
        <v>180.76974999999999</v>
      </c>
      <c r="E39" s="305"/>
      <c r="F39" s="249"/>
      <c r="G39" s="249"/>
      <c r="H39" s="249"/>
      <c r="I39" s="249"/>
      <c r="J39" s="249"/>
      <c r="K39" s="249"/>
      <c r="L39" s="249"/>
      <c r="M39" s="249"/>
      <c r="N39" s="249"/>
      <c r="O39" s="249"/>
      <c r="P39" s="249"/>
      <c r="Q39" s="250"/>
      <c r="R39" s="250"/>
      <c r="S39" s="250"/>
      <c r="T39" s="250"/>
      <c r="U39" s="250"/>
      <c r="V39" s="304">
        <v>80</v>
      </c>
      <c r="W39" s="244"/>
      <c r="X39" s="244"/>
      <c r="Y39" s="244"/>
      <c r="Z39" s="244"/>
      <c r="AA39" s="244"/>
      <c r="AB39" s="304">
        <v>100.76975</v>
      </c>
      <c r="AC39" s="306" t="s">
        <v>884</v>
      </c>
      <c r="AD39" s="307" t="s">
        <v>885</v>
      </c>
    </row>
    <row r="40" spans="1:30" ht="18" customHeight="1">
      <c r="A40" s="260" t="s">
        <v>163</v>
      </c>
      <c r="B40" s="313" t="s">
        <v>984</v>
      </c>
      <c r="C40" s="304">
        <v>515</v>
      </c>
      <c r="D40" s="244">
        <f t="shared" si="1"/>
        <v>105</v>
      </c>
      <c r="E40" s="305"/>
      <c r="F40" s="249"/>
      <c r="G40" s="249"/>
      <c r="H40" s="249"/>
      <c r="I40" s="249"/>
      <c r="J40" s="249"/>
      <c r="K40" s="249"/>
      <c r="L40" s="249"/>
      <c r="M40" s="249"/>
      <c r="N40" s="249"/>
      <c r="O40" s="249"/>
      <c r="P40" s="249"/>
      <c r="Q40" s="250"/>
      <c r="R40" s="250"/>
      <c r="S40" s="250"/>
      <c r="T40" s="250"/>
      <c r="U40" s="250"/>
      <c r="V40" s="304">
        <v>105</v>
      </c>
      <c r="W40" s="244"/>
      <c r="X40" s="244"/>
      <c r="Y40" s="244"/>
      <c r="Z40" s="244"/>
      <c r="AA40" s="244"/>
      <c r="AB40" s="304"/>
      <c r="AC40" s="306" t="s">
        <v>884</v>
      </c>
      <c r="AD40" s="307" t="s">
        <v>885</v>
      </c>
    </row>
    <row r="41" spans="1:30" ht="33" customHeight="1">
      <c r="A41" s="260" t="s">
        <v>164</v>
      </c>
      <c r="B41" s="254" t="s">
        <v>985</v>
      </c>
      <c r="C41" s="304">
        <v>96</v>
      </c>
      <c r="D41" s="244">
        <f t="shared" si="1"/>
        <v>0</v>
      </c>
      <c r="E41" s="305"/>
      <c r="F41" s="249"/>
      <c r="G41" s="249"/>
      <c r="H41" s="249"/>
      <c r="I41" s="249"/>
      <c r="J41" s="249"/>
      <c r="K41" s="249"/>
      <c r="L41" s="249"/>
      <c r="M41" s="249"/>
      <c r="N41" s="249"/>
      <c r="O41" s="249"/>
      <c r="P41" s="249"/>
      <c r="Q41" s="250"/>
      <c r="R41" s="250"/>
      <c r="S41" s="250"/>
      <c r="T41" s="250"/>
      <c r="U41" s="250"/>
      <c r="V41" s="250"/>
      <c r="W41" s="244"/>
      <c r="X41" s="244"/>
      <c r="Y41" s="244"/>
      <c r="Z41" s="244"/>
      <c r="AA41" s="244"/>
      <c r="AB41" s="244"/>
      <c r="AC41" s="306" t="s">
        <v>884</v>
      </c>
      <c r="AD41" s="307" t="s">
        <v>885</v>
      </c>
    </row>
    <row r="42" spans="1:30" ht="17.25" customHeight="1">
      <c r="A42" s="260" t="s">
        <v>165</v>
      </c>
      <c r="B42" s="254" t="s">
        <v>986</v>
      </c>
      <c r="C42" s="304">
        <v>840</v>
      </c>
      <c r="D42" s="244">
        <f t="shared" si="1"/>
        <v>0</v>
      </c>
      <c r="E42" s="305"/>
      <c r="F42" s="249"/>
      <c r="G42" s="249"/>
      <c r="H42" s="249"/>
      <c r="I42" s="249"/>
      <c r="J42" s="249"/>
      <c r="K42" s="249"/>
      <c r="L42" s="249"/>
      <c r="M42" s="249"/>
      <c r="N42" s="249"/>
      <c r="O42" s="249"/>
      <c r="P42" s="249"/>
      <c r="Q42" s="250"/>
      <c r="R42" s="250"/>
      <c r="S42" s="250"/>
      <c r="T42" s="250"/>
      <c r="U42" s="250"/>
      <c r="V42" s="250"/>
      <c r="W42" s="244"/>
      <c r="X42" s="244"/>
      <c r="Y42" s="244"/>
      <c r="Z42" s="244"/>
      <c r="AA42" s="244"/>
      <c r="AB42" s="244"/>
      <c r="AC42" s="306" t="s">
        <v>884</v>
      </c>
      <c r="AD42" s="307" t="s">
        <v>885</v>
      </c>
    </row>
    <row r="43" spans="1:30" ht="28.5" customHeight="1">
      <c r="A43" s="260" t="s">
        <v>166</v>
      </c>
      <c r="B43" s="254" t="s">
        <v>987</v>
      </c>
      <c r="C43" s="304">
        <v>2600</v>
      </c>
      <c r="D43" s="244">
        <f t="shared" si="1"/>
        <v>0</v>
      </c>
      <c r="E43" s="305"/>
      <c r="F43" s="249"/>
      <c r="G43" s="249"/>
      <c r="H43" s="249"/>
      <c r="I43" s="249"/>
      <c r="J43" s="249"/>
      <c r="K43" s="249"/>
      <c r="L43" s="249"/>
      <c r="M43" s="249"/>
      <c r="N43" s="249"/>
      <c r="O43" s="249"/>
      <c r="P43" s="249"/>
      <c r="Q43" s="250"/>
      <c r="R43" s="250"/>
      <c r="S43" s="250"/>
      <c r="T43" s="250"/>
      <c r="U43" s="250"/>
      <c r="V43" s="250"/>
      <c r="W43" s="244"/>
      <c r="X43" s="244"/>
      <c r="Y43" s="244"/>
      <c r="Z43" s="244"/>
      <c r="AA43" s="244"/>
      <c r="AB43" s="244"/>
      <c r="AC43" s="306" t="s">
        <v>884</v>
      </c>
      <c r="AD43" s="307" t="s">
        <v>885</v>
      </c>
    </row>
    <row r="44" spans="1:30" ht="29.25" customHeight="1">
      <c r="A44" s="260" t="s">
        <v>167</v>
      </c>
      <c r="B44" s="254" t="s">
        <v>988</v>
      </c>
      <c r="C44" s="304">
        <v>91</v>
      </c>
      <c r="D44" s="244">
        <f t="shared" si="1"/>
        <v>0</v>
      </c>
      <c r="E44" s="305"/>
      <c r="F44" s="249"/>
      <c r="G44" s="249"/>
      <c r="H44" s="249"/>
      <c r="I44" s="249"/>
      <c r="J44" s="249"/>
      <c r="K44" s="249"/>
      <c r="L44" s="249"/>
      <c r="M44" s="249"/>
      <c r="N44" s="249"/>
      <c r="O44" s="249"/>
      <c r="P44" s="249"/>
      <c r="Q44" s="250"/>
      <c r="R44" s="250"/>
      <c r="S44" s="250"/>
      <c r="T44" s="250"/>
      <c r="U44" s="250"/>
      <c r="V44" s="250"/>
      <c r="W44" s="244"/>
      <c r="X44" s="244"/>
      <c r="Y44" s="244"/>
      <c r="Z44" s="244"/>
      <c r="AA44" s="244"/>
      <c r="AB44" s="244"/>
      <c r="AC44" s="306" t="s">
        <v>884</v>
      </c>
      <c r="AD44" s="307" t="s">
        <v>885</v>
      </c>
    </row>
    <row r="45" spans="1:30" ht="29.25" customHeight="1">
      <c r="A45" s="260" t="s">
        <v>168</v>
      </c>
      <c r="B45" s="254" t="s">
        <v>989</v>
      </c>
      <c r="C45" s="304">
        <v>91</v>
      </c>
      <c r="D45" s="244">
        <f t="shared" si="1"/>
        <v>0</v>
      </c>
      <c r="E45" s="305"/>
      <c r="F45" s="249"/>
      <c r="G45" s="249"/>
      <c r="H45" s="249"/>
      <c r="I45" s="249"/>
      <c r="J45" s="249"/>
      <c r="K45" s="249"/>
      <c r="L45" s="249"/>
      <c r="M45" s="249"/>
      <c r="N45" s="249"/>
      <c r="O45" s="249"/>
      <c r="P45" s="249"/>
      <c r="Q45" s="250"/>
      <c r="R45" s="250"/>
      <c r="S45" s="250"/>
      <c r="T45" s="250"/>
      <c r="U45" s="250"/>
      <c r="V45" s="250"/>
      <c r="W45" s="244"/>
      <c r="X45" s="244"/>
      <c r="Y45" s="244"/>
      <c r="Z45" s="244"/>
      <c r="AA45" s="244"/>
      <c r="AB45" s="244"/>
      <c r="AC45" s="306" t="s">
        <v>884</v>
      </c>
      <c r="AD45" s="307" t="s">
        <v>885</v>
      </c>
    </row>
    <row r="46" spans="1:30" ht="18.75" customHeight="1">
      <c r="A46" s="260" t="s">
        <v>169</v>
      </c>
      <c r="B46" s="254" t="s">
        <v>990</v>
      </c>
      <c r="C46" s="304">
        <v>70</v>
      </c>
      <c r="D46" s="244">
        <f t="shared" si="1"/>
        <v>0</v>
      </c>
      <c r="E46" s="305"/>
      <c r="F46" s="249"/>
      <c r="G46" s="249"/>
      <c r="H46" s="249"/>
      <c r="I46" s="249"/>
      <c r="J46" s="249"/>
      <c r="K46" s="249"/>
      <c r="L46" s="249"/>
      <c r="M46" s="249"/>
      <c r="N46" s="249"/>
      <c r="O46" s="249"/>
      <c r="P46" s="249"/>
      <c r="Q46" s="250"/>
      <c r="R46" s="250"/>
      <c r="S46" s="250"/>
      <c r="T46" s="250"/>
      <c r="U46" s="250"/>
      <c r="V46" s="250"/>
      <c r="W46" s="244"/>
      <c r="X46" s="244"/>
      <c r="Y46" s="244"/>
      <c r="Z46" s="244"/>
      <c r="AA46" s="244"/>
      <c r="AB46" s="244"/>
      <c r="AC46" s="306" t="s">
        <v>884</v>
      </c>
      <c r="AD46" s="307" t="s">
        <v>885</v>
      </c>
    </row>
    <row r="47" spans="1:30" ht="18.75" customHeight="1">
      <c r="A47" s="260" t="s">
        <v>170</v>
      </c>
      <c r="B47" s="254" t="s">
        <v>991</v>
      </c>
      <c r="C47" s="304">
        <v>58</v>
      </c>
      <c r="D47" s="244">
        <f t="shared" si="1"/>
        <v>0</v>
      </c>
      <c r="E47" s="305"/>
      <c r="F47" s="249"/>
      <c r="G47" s="249"/>
      <c r="H47" s="249"/>
      <c r="I47" s="249"/>
      <c r="J47" s="249"/>
      <c r="K47" s="249"/>
      <c r="L47" s="249"/>
      <c r="M47" s="249"/>
      <c r="N47" s="249"/>
      <c r="O47" s="249"/>
      <c r="P47" s="249"/>
      <c r="Q47" s="250"/>
      <c r="R47" s="250"/>
      <c r="S47" s="250"/>
      <c r="T47" s="250"/>
      <c r="U47" s="250"/>
      <c r="V47" s="250"/>
      <c r="W47" s="244"/>
      <c r="X47" s="244"/>
      <c r="Y47" s="244"/>
      <c r="Z47" s="244"/>
      <c r="AA47" s="244"/>
      <c r="AB47" s="244"/>
      <c r="AC47" s="306" t="s">
        <v>884</v>
      </c>
      <c r="AD47" s="307" t="s">
        <v>885</v>
      </c>
    </row>
    <row r="48" spans="1:30" ht="21" customHeight="1">
      <c r="A48" s="260" t="s">
        <v>171</v>
      </c>
      <c r="B48" s="254" t="s">
        <v>992</v>
      </c>
      <c r="C48" s="304">
        <v>220</v>
      </c>
      <c r="D48" s="244">
        <f t="shared" si="1"/>
        <v>0</v>
      </c>
      <c r="E48" s="305"/>
      <c r="F48" s="249"/>
      <c r="G48" s="249"/>
      <c r="H48" s="249"/>
      <c r="I48" s="249"/>
      <c r="J48" s="249"/>
      <c r="K48" s="249"/>
      <c r="L48" s="249"/>
      <c r="M48" s="249"/>
      <c r="N48" s="249"/>
      <c r="O48" s="249"/>
      <c r="P48" s="249"/>
      <c r="Q48" s="250"/>
      <c r="R48" s="250"/>
      <c r="S48" s="250"/>
      <c r="T48" s="250"/>
      <c r="U48" s="250"/>
      <c r="V48" s="250"/>
      <c r="W48" s="244"/>
      <c r="X48" s="244"/>
      <c r="Y48" s="244"/>
      <c r="Z48" s="244"/>
      <c r="AA48" s="244"/>
      <c r="AB48" s="244"/>
      <c r="AC48" s="306" t="s">
        <v>884</v>
      </c>
      <c r="AD48" s="307" t="s">
        <v>885</v>
      </c>
    </row>
    <row r="49" spans="1:30" ht="18.75" customHeight="1">
      <c r="A49" s="260" t="s">
        <v>172</v>
      </c>
      <c r="B49" s="254" t="s">
        <v>993</v>
      </c>
      <c r="C49" s="304">
        <v>180</v>
      </c>
      <c r="D49" s="244">
        <f t="shared" si="1"/>
        <v>0</v>
      </c>
      <c r="E49" s="305"/>
      <c r="F49" s="249"/>
      <c r="G49" s="249"/>
      <c r="H49" s="249"/>
      <c r="I49" s="249"/>
      <c r="J49" s="249"/>
      <c r="K49" s="249"/>
      <c r="L49" s="249"/>
      <c r="M49" s="249"/>
      <c r="N49" s="249"/>
      <c r="O49" s="249"/>
      <c r="P49" s="249"/>
      <c r="Q49" s="250"/>
      <c r="R49" s="250"/>
      <c r="S49" s="250"/>
      <c r="T49" s="250"/>
      <c r="U49" s="250"/>
      <c r="V49" s="250"/>
      <c r="W49" s="244"/>
      <c r="X49" s="244"/>
      <c r="Y49" s="244"/>
      <c r="Z49" s="244"/>
      <c r="AA49" s="244"/>
      <c r="AB49" s="244"/>
      <c r="AC49" s="306" t="s">
        <v>884</v>
      </c>
      <c r="AD49" s="307" t="s">
        <v>885</v>
      </c>
    </row>
    <row r="50" spans="1:30" ht="18.75" customHeight="1">
      <c r="A50" s="260" t="s">
        <v>173</v>
      </c>
      <c r="B50" s="254" t="s">
        <v>994</v>
      </c>
      <c r="C50" s="304">
        <v>212</v>
      </c>
      <c r="D50" s="244">
        <f t="shared" si="1"/>
        <v>160.63</v>
      </c>
      <c r="E50" s="305"/>
      <c r="F50" s="249"/>
      <c r="G50" s="249"/>
      <c r="H50" s="249"/>
      <c r="I50" s="249"/>
      <c r="J50" s="249"/>
      <c r="K50" s="249"/>
      <c r="L50" s="249"/>
      <c r="M50" s="249"/>
      <c r="N50" s="249"/>
      <c r="O50" s="249"/>
      <c r="P50" s="249"/>
      <c r="Q50" s="250"/>
      <c r="R50" s="250"/>
      <c r="S50" s="250"/>
      <c r="T50" s="250"/>
      <c r="U50" s="250"/>
      <c r="V50" s="250"/>
      <c r="W50" s="244"/>
      <c r="X50" s="244"/>
      <c r="Y50" s="244"/>
      <c r="Z50" s="244"/>
      <c r="AA50" s="244"/>
      <c r="AB50" s="244">
        <v>160.63</v>
      </c>
      <c r="AC50" s="306" t="s">
        <v>884</v>
      </c>
      <c r="AD50" s="307" t="s">
        <v>885</v>
      </c>
    </row>
    <row r="51" spans="1:30" ht="18" customHeight="1">
      <c r="A51" s="260" t="s">
        <v>174</v>
      </c>
      <c r="B51" s="254" t="s">
        <v>995</v>
      </c>
      <c r="C51" s="304">
        <v>66</v>
      </c>
      <c r="D51" s="244">
        <f t="shared" si="1"/>
        <v>0</v>
      </c>
      <c r="E51" s="305"/>
      <c r="F51" s="249"/>
      <c r="G51" s="249"/>
      <c r="H51" s="249"/>
      <c r="I51" s="249"/>
      <c r="J51" s="249"/>
      <c r="K51" s="249"/>
      <c r="L51" s="249"/>
      <c r="M51" s="249"/>
      <c r="N51" s="249"/>
      <c r="O51" s="249"/>
      <c r="P51" s="249"/>
      <c r="Q51" s="250"/>
      <c r="R51" s="250"/>
      <c r="S51" s="250"/>
      <c r="T51" s="250"/>
      <c r="U51" s="250"/>
      <c r="V51" s="250"/>
      <c r="W51" s="244"/>
      <c r="X51" s="244"/>
      <c r="Y51" s="244"/>
      <c r="Z51" s="244"/>
      <c r="AA51" s="244"/>
      <c r="AB51" s="244"/>
      <c r="AC51" s="306" t="s">
        <v>884</v>
      </c>
      <c r="AD51" s="307" t="s">
        <v>885</v>
      </c>
    </row>
    <row r="52" spans="1:30" ht="25.5" customHeight="1">
      <c r="A52" s="260" t="s">
        <v>175</v>
      </c>
      <c r="B52" s="254" t="s">
        <v>996</v>
      </c>
      <c r="C52" s="304">
        <v>80</v>
      </c>
      <c r="D52" s="244">
        <f t="shared" si="1"/>
        <v>80</v>
      </c>
      <c r="E52" s="305"/>
      <c r="F52" s="249"/>
      <c r="G52" s="249"/>
      <c r="H52" s="249"/>
      <c r="I52" s="249"/>
      <c r="J52" s="249"/>
      <c r="K52" s="249"/>
      <c r="L52" s="249"/>
      <c r="M52" s="249"/>
      <c r="N52" s="249"/>
      <c r="O52" s="249"/>
      <c r="P52" s="249"/>
      <c r="Q52" s="250"/>
      <c r="R52" s="250"/>
      <c r="S52" s="250"/>
      <c r="T52" s="250"/>
      <c r="U52" s="250"/>
      <c r="V52" s="250"/>
      <c r="W52" s="244"/>
      <c r="X52" s="244">
        <v>80</v>
      </c>
      <c r="Y52" s="244"/>
      <c r="Z52" s="244"/>
      <c r="AA52" s="244"/>
      <c r="AB52" s="244"/>
      <c r="AC52" s="306" t="s">
        <v>884</v>
      </c>
      <c r="AD52" s="307" t="s">
        <v>885</v>
      </c>
    </row>
    <row r="53" spans="1:30" ht="16.5" customHeight="1">
      <c r="A53" s="260" t="s">
        <v>997</v>
      </c>
      <c r="B53" s="254" t="s">
        <v>998</v>
      </c>
      <c r="C53" s="304">
        <v>74</v>
      </c>
      <c r="D53" s="244">
        <f t="shared" si="1"/>
        <v>74</v>
      </c>
      <c r="E53" s="305"/>
      <c r="F53" s="249"/>
      <c r="G53" s="249"/>
      <c r="H53" s="249"/>
      <c r="I53" s="249"/>
      <c r="J53" s="249"/>
      <c r="K53" s="249"/>
      <c r="L53" s="249"/>
      <c r="M53" s="249"/>
      <c r="N53" s="249"/>
      <c r="O53" s="249"/>
      <c r="P53" s="249"/>
      <c r="Q53" s="250"/>
      <c r="R53" s="250"/>
      <c r="S53" s="250"/>
      <c r="T53" s="250"/>
      <c r="U53" s="250"/>
      <c r="V53" s="250"/>
      <c r="W53" s="244"/>
      <c r="X53" s="244">
        <v>74</v>
      </c>
      <c r="Y53" s="244"/>
      <c r="Z53" s="244"/>
      <c r="AA53" s="244"/>
      <c r="AB53" s="244"/>
      <c r="AC53" s="306" t="s">
        <v>884</v>
      </c>
      <c r="AD53" s="307" t="s">
        <v>885</v>
      </c>
    </row>
    <row r="54" spans="1:30" ht="18.75" customHeight="1">
      <c r="A54" s="260" t="s">
        <v>999</v>
      </c>
      <c r="B54" s="254" t="s">
        <v>1000</v>
      </c>
      <c r="C54" s="304"/>
      <c r="D54" s="244">
        <f t="shared" si="1"/>
        <v>55</v>
      </c>
      <c r="E54" s="305"/>
      <c r="F54" s="249"/>
      <c r="G54" s="249"/>
      <c r="H54" s="249"/>
      <c r="I54" s="249"/>
      <c r="J54" s="249"/>
      <c r="K54" s="249"/>
      <c r="L54" s="249"/>
      <c r="M54" s="249"/>
      <c r="N54" s="249"/>
      <c r="O54" s="249"/>
      <c r="P54" s="249"/>
      <c r="Q54" s="250"/>
      <c r="R54" s="250"/>
      <c r="S54" s="250"/>
      <c r="T54" s="258"/>
      <c r="U54" s="250"/>
      <c r="V54" s="258">
        <v>55</v>
      </c>
      <c r="W54" s="244"/>
      <c r="X54" s="244"/>
      <c r="Y54" s="244"/>
      <c r="Z54" s="258"/>
      <c r="AA54" s="244"/>
      <c r="AB54" s="258"/>
      <c r="AC54" s="306" t="s">
        <v>884</v>
      </c>
      <c r="AD54" s="307" t="s">
        <v>885</v>
      </c>
    </row>
    <row r="55" spans="1:30" ht="22.5" customHeight="1">
      <c r="A55" s="260" t="s">
        <v>1001</v>
      </c>
      <c r="B55" s="254" t="s">
        <v>1002</v>
      </c>
      <c r="C55" s="304">
        <v>230.1</v>
      </c>
      <c r="D55" s="244">
        <v>22.48</v>
      </c>
      <c r="E55" s="305"/>
      <c r="F55" s="249">
        <v>22.48</v>
      </c>
      <c r="G55" s="249"/>
      <c r="H55" s="249"/>
      <c r="I55" s="249"/>
      <c r="J55" s="249"/>
      <c r="K55" s="249"/>
      <c r="L55" s="249"/>
      <c r="M55" s="249"/>
      <c r="N55" s="249"/>
      <c r="O55" s="249"/>
      <c r="P55" s="249"/>
      <c r="Q55" s="250"/>
      <c r="R55" s="250"/>
      <c r="S55" s="250"/>
      <c r="T55" s="258"/>
      <c r="U55" s="250"/>
      <c r="V55" s="258"/>
      <c r="W55" s="244"/>
      <c r="X55" s="244"/>
      <c r="Y55" s="244"/>
      <c r="Z55" s="258"/>
      <c r="AA55" s="244"/>
      <c r="AB55" s="258"/>
      <c r="AC55" s="306" t="s">
        <v>884</v>
      </c>
      <c r="AD55" s="307" t="s">
        <v>885</v>
      </c>
    </row>
    <row r="56" spans="1:30" ht="21" customHeight="1">
      <c r="A56" s="260" t="s">
        <v>1003</v>
      </c>
      <c r="B56" s="308" t="s">
        <v>1004</v>
      </c>
      <c r="C56" s="304">
        <v>129.80000000000001</v>
      </c>
      <c r="D56" s="1425">
        <v>164.7</v>
      </c>
      <c r="E56" s="305"/>
      <c r="F56" s="1427"/>
      <c r="G56" s="249"/>
      <c r="H56" s="249"/>
      <c r="I56" s="249"/>
      <c r="J56" s="249"/>
      <c r="K56" s="249"/>
      <c r="L56" s="249"/>
      <c r="M56" s="249"/>
      <c r="N56" s="249"/>
      <c r="O56" s="249"/>
      <c r="P56" s="1429"/>
      <c r="Q56" s="250"/>
      <c r="R56" s="1425">
        <v>164.7</v>
      </c>
      <c r="S56" s="250"/>
      <c r="T56" s="258"/>
      <c r="U56" s="250"/>
      <c r="V56" s="258"/>
      <c r="W56" s="244"/>
      <c r="X56" s="244"/>
      <c r="Y56" s="244"/>
      <c r="Z56" s="258"/>
      <c r="AA56" s="244"/>
      <c r="AB56" s="258"/>
      <c r="AC56" s="306" t="s">
        <v>884</v>
      </c>
      <c r="AD56" s="1431" t="s">
        <v>885</v>
      </c>
    </row>
    <row r="57" spans="1:30" ht="17.25" customHeight="1">
      <c r="A57" s="260" t="s">
        <v>1005</v>
      </c>
      <c r="B57" s="308" t="s">
        <v>1006</v>
      </c>
      <c r="C57" s="304">
        <v>94.4</v>
      </c>
      <c r="D57" s="1426"/>
      <c r="E57" s="305"/>
      <c r="F57" s="1428"/>
      <c r="G57" s="249"/>
      <c r="H57" s="249"/>
      <c r="I57" s="249"/>
      <c r="J57" s="249"/>
      <c r="K57" s="249"/>
      <c r="L57" s="249"/>
      <c r="M57" s="249"/>
      <c r="N57" s="249"/>
      <c r="O57" s="249"/>
      <c r="P57" s="1430"/>
      <c r="Q57" s="250"/>
      <c r="R57" s="1426"/>
      <c r="S57" s="250"/>
      <c r="T57" s="258"/>
      <c r="U57" s="250"/>
      <c r="V57" s="258"/>
      <c r="W57" s="244"/>
      <c r="X57" s="244"/>
      <c r="Y57" s="244"/>
      <c r="Z57" s="258"/>
      <c r="AA57" s="244"/>
      <c r="AB57" s="258"/>
      <c r="AC57" s="306" t="s">
        <v>884</v>
      </c>
      <c r="AD57" s="1432"/>
    </row>
    <row r="58" spans="1:30" ht="19.5" customHeight="1">
      <c r="A58" s="260" t="s">
        <v>1007</v>
      </c>
      <c r="B58" s="308" t="s">
        <v>1008</v>
      </c>
      <c r="C58" s="304">
        <v>10600</v>
      </c>
      <c r="D58" s="244">
        <f t="shared" si="1"/>
        <v>10173.17884</v>
      </c>
      <c r="E58" s="305"/>
      <c r="F58" s="249"/>
      <c r="G58" s="249"/>
      <c r="H58" s="249"/>
      <c r="I58" s="249"/>
      <c r="J58" s="249"/>
      <c r="K58" s="249"/>
      <c r="L58" s="249"/>
      <c r="M58" s="249"/>
      <c r="N58" s="249"/>
      <c r="O58" s="249"/>
      <c r="P58" s="249"/>
      <c r="Q58" s="250"/>
      <c r="R58" s="250"/>
      <c r="S58" s="250"/>
      <c r="T58" s="258"/>
      <c r="U58" s="250"/>
      <c r="V58" s="258"/>
      <c r="W58" s="244"/>
      <c r="X58" s="244"/>
      <c r="Y58" s="244"/>
      <c r="Z58" s="258"/>
      <c r="AA58" s="244"/>
      <c r="AB58" s="258">
        <v>10173.17884</v>
      </c>
      <c r="AC58" s="306" t="s">
        <v>884</v>
      </c>
      <c r="AD58" s="307" t="s">
        <v>885</v>
      </c>
    </row>
    <row r="59" spans="1:30" ht="29.25" customHeight="1">
      <c r="A59" s="260" t="s">
        <v>1009</v>
      </c>
      <c r="B59" s="254" t="s">
        <v>1010</v>
      </c>
      <c r="C59" s="304">
        <v>963.74</v>
      </c>
      <c r="D59" s="244">
        <f t="shared" si="1"/>
        <v>963.74279000000001</v>
      </c>
      <c r="E59" s="305"/>
      <c r="F59" s="249"/>
      <c r="G59" s="249"/>
      <c r="H59" s="249"/>
      <c r="I59" s="249"/>
      <c r="J59" s="249"/>
      <c r="K59" s="249"/>
      <c r="L59" s="249"/>
      <c r="M59" s="249"/>
      <c r="N59" s="249"/>
      <c r="O59" s="249"/>
      <c r="P59" s="249"/>
      <c r="Q59" s="250"/>
      <c r="R59" s="250"/>
      <c r="S59" s="250"/>
      <c r="T59" s="258"/>
      <c r="U59" s="250"/>
      <c r="V59" s="258">
        <v>963.74279000000001</v>
      </c>
      <c r="W59" s="244"/>
      <c r="X59" s="244"/>
      <c r="Y59" s="244"/>
      <c r="Z59" s="258"/>
      <c r="AA59" s="244"/>
      <c r="AB59" s="258"/>
      <c r="AC59" s="306" t="s">
        <v>884</v>
      </c>
      <c r="AD59" s="307" t="s">
        <v>885</v>
      </c>
    </row>
    <row r="60" spans="1:30" ht="27.75" customHeight="1">
      <c r="A60" s="260" t="s">
        <v>1011</v>
      </c>
      <c r="B60" s="254" t="s">
        <v>1012</v>
      </c>
      <c r="C60" s="304">
        <v>454</v>
      </c>
      <c r="D60" s="244">
        <f t="shared" si="1"/>
        <v>453.55993000000001</v>
      </c>
      <c r="E60" s="305"/>
      <c r="F60" s="249"/>
      <c r="G60" s="249"/>
      <c r="H60" s="249"/>
      <c r="I60" s="249"/>
      <c r="J60" s="249"/>
      <c r="K60" s="249"/>
      <c r="L60" s="249"/>
      <c r="M60" s="249"/>
      <c r="N60" s="249"/>
      <c r="O60" s="249"/>
      <c r="P60" s="257">
        <v>453.55993000000001</v>
      </c>
      <c r="Q60" s="250"/>
      <c r="R60" s="250"/>
      <c r="S60" s="250"/>
      <c r="T60" s="258"/>
      <c r="U60" s="250"/>
      <c r="V60" s="258"/>
      <c r="W60" s="244"/>
      <c r="X60" s="244"/>
      <c r="Y60" s="244"/>
      <c r="Z60" s="258"/>
      <c r="AA60" s="244"/>
      <c r="AB60" s="314"/>
      <c r="AC60" s="306" t="s">
        <v>884</v>
      </c>
      <c r="AD60" s="307" t="s">
        <v>885</v>
      </c>
    </row>
    <row r="61" spans="1:30" ht="27.75" customHeight="1">
      <c r="A61" s="260" t="s">
        <v>1013</v>
      </c>
      <c r="B61" s="254" t="s">
        <v>1014</v>
      </c>
      <c r="C61" s="304">
        <v>170</v>
      </c>
      <c r="D61" s="244">
        <f t="shared" si="1"/>
        <v>0</v>
      </c>
      <c r="E61" s="305"/>
      <c r="F61" s="249"/>
      <c r="G61" s="249"/>
      <c r="H61" s="249"/>
      <c r="I61" s="249"/>
      <c r="J61" s="249"/>
      <c r="K61" s="249"/>
      <c r="L61" s="249"/>
      <c r="M61" s="249"/>
      <c r="N61" s="249"/>
      <c r="O61" s="249"/>
      <c r="P61" s="249"/>
      <c r="Q61" s="250"/>
      <c r="R61" s="250"/>
      <c r="S61" s="250"/>
      <c r="T61" s="258"/>
      <c r="U61" s="250"/>
      <c r="V61" s="265"/>
      <c r="W61" s="244"/>
      <c r="X61" s="244"/>
      <c r="Y61" s="244"/>
      <c r="Z61" s="258"/>
      <c r="AA61" s="244"/>
      <c r="AB61" s="244"/>
      <c r="AC61" s="306" t="s">
        <v>884</v>
      </c>
      <c r="AD61" s="307" t="s">
        <v>885</v>
      </c>
    </row>
    <row r="62" spans="1:30" ht="29.25" customHeight="1">
      <c r="A62" s="260" t="s">
        <v>1015</v>
      </c>
      <c r="B62" s="315" t="s">
        <v>1016</v>
      </c>
      <c r="C62" s="304">
        <v>2129</v>
      </c>
      <c r="D62" s="244">
        <f>F62+H62+J62+L62+N62+P62+R62+T62+V62+X62+Z62+AB62</f>
        <v>1775.4597655999999</v>
      </c>
      <c r="E62" s="305"/>
      <c r="F62" s="249"/>
      <c r="G62" s="249"/>
      <c r="H62" s="249"/>
      <c r="I62" s="249"/>
      <c r="J62" s="249"/>
      <c r="K62" s="249"/>
      <c r="L62" s="249"/>
      <c r="M62" s="249"/>
      <c r="N62" s="249"/>
      <c r="O62" s="249"/>
      <c r="P62" s="265"/>
      <c r="Q62" s="250"/>
      <c r="R62" s="316"/>
      <c r="S62" s="250"/>
      <c r="T62" s="250"/>
      <c r="U62" s="250"/>
      <c r="V62" s="244">
        <f>1201.94192*1.18</f>
        <v>1418.2914655999998</v>
      </c>
      <c r="W62" s="244"/>
      <c r="X62" s="258">
        <f>-412*1.18</f>
        <v>-486.15999999999997</v>
      </c>
      <c r="Y62" s="244"/>
      <c r="Z62" s="244"/>
      <c r="AA62" s="244"/>
      <c r="AB62" s="244">
        <v>843.32830000000001</v>
      </c>
      <c r="AC62" s="306" t="s">
        <v>884</v>
      </c>
      <c r="AD62" s="307" t="s">
        <v>885</v>
      </c>
    </row>
    <row r="63" spans="1:30" ht="19.5" customHeight="1">
      <c r="A63" s="260" t="s">
        <v>1017</v>
      </c>
      <c r="B63" s="254" t="s">
        <v>1018</v>
      </c>
      <c r="C63" s="317">
        <v>100</v>
      </c>
      <c r="D63" s="1425">
        <v>145.65</v>
      </c>
      <c r="E63" s="305"/>
      <c r="F63" s="249"/>
      <c r="G63" s="249"/>
      <c r="H63" s="1429">
        <v>145.65</v>
      </c>
      <c r="I63" s="249"/>
      <c r="J63" s="249"/>
      <c r="K63" s="249"/>
      <c r="L63" s="249"/>
      <c r="M63" s="249"/>
      <c r="N63" s="249"/>
      <c r="O63" s="249"/>
      <c r="P63" s="249"/>
      <c r="Q63" s="250"/>
      <c r="R63" s="250"/>
      <c r="S63" s="250"/>
      <c r="T63" s="250"/>
      <c r="U63" s="250"/>
      <c r="V63" s="250"/>
      <c r="W63" s="244"/>
      <c r="X63" s="244"/>
      <c r="Y63" s="244"/>
      <c r="Z63" s="244"/>
      <c r="AA63" s="244"/>
      <c r="AB63" s="244"/>
      <c r="AC63" s="306" t="s">
        <v>884</v>
      </c>
      <c r="AD63" s="1431" t="s">
        <v>885</v>
      </c>
    </row>
    <row r="64" spans="1:30" ht="17.25" customHeight="1">
      <c r="A64" s="260" t="s">
        <v>1019</v>
      </c>
      <c r="B64" s="308" t="s">
        <v>1020</v>
      </c>
      <c r="C64" s="304">
        <v>110</v>
      </c>
      <c r="D64" s="1426"/>
      <c r="E64" s="305"/>
      <c r="F64" s="249"/>
      <c r="G64" s="249"/>
      <c r="H64" s="1430"/>
      <c r="I64" s="249"/>
      <c r="J64" s="249"/>
      <c r="K64" s="249"/>
      <c r="L64" s="249"/>
      <c r="M64" s="249"/>
      <c r="N64" s="249"/>
      <c r="O64" s="249"/>
      <c r="P64" s="249"/>
      <c r="Q64" s="250"/>
      <c r="R64" s="250"/>
      <c r="S64" s="250"/>
      <c r="T64" s="258"/>
      <c r="U64" s="250"/>
      <c r="V64" s="258"/>
      <c r="W64" s="244"/>
      <c r="X64" s="244"/>
      <c r="Y64" s="244"/>
      <c r="Z64" s="258"/>
      <c r="AA64" s="244"/>
      <c r="AB64" s="258"/>
      <c r="AC64" s="306" t="s">
        <v>884</v>
      </c>
      <c r="AD64" s="1432"/>
    </row>
    <row r="65" spans="1:30" ht="15.75" customHeight="1">
      <c r="A65" s="260" t="s">
        <v>1021</v>
      </c>
      <c r="B65" s="254" t="s">
        <v>1022</v>
      </c>
      <c r="C65" s="318">
        <v>250</v>
      </c>
      <c r="D65" s="1425">
        <v>25.45</v>
      </c>
      <c r="E65" s="305"/>
      <c r="F65" s="249"/>
      <c r="G65" s="249"/>
      <c r="H65" s="249"/>
      <c r="I65" s="249"/>
      <c r="J65" s="249"/>
      <c r="K65" s="249"/>
      <c r="L65" s="249"/>
      <c r="M65" s="249"/>
      <c r="N65" s="249"/>
      <c r="O65" s="249"/>
      <c r="P65" s="249"/>
      <c r="Q65" s="250"/>
      <c r="R65" s="250"/>
      <c r="S65" s="250"/>
      <c r="T65" s="250"/>
      <c r="U65" s="250"/>
      <c r="V65" s="250"/>
      <c r="W65" s="244"/>
      <c r="X65" s="1425">
        <v>25.45</v>
      </c>
      <c r="Y65" s="244"/>
      <c r="Z65" s="244"/>
      <c r="AA65" s="244"/>
      <c r="AB65" s="244"/>
      <c r="AC65" s="306" t="s">
        <v>884</v>
      </c>
      <c r="AD65" s="1431" t="s">
        <v>885</v>
      </c>
    </row>
    <row r="66" spans="1:30" ht="16.5" customHeight="1">
      <c r="A66" s="260" t="s">
        <v>1023</v>
      </c>
      <c r="B66" s="254" t="s">
        <v>1024</v>
      </c>
      <c r="C66" s="318">
        <v>50</v>
      </c>
      <c r="D66" s="1426"/>
      <c r="E66" s="305"/>
      <c r="F66" s="249"/>
      <c r="G66" s="249"/>
      <c r="H66" s="249"/>
      <c r="I66" s="249"/>
      <c r="J66" s="249"/>
      <c r="K66" s="249"/>
      <c r="L66" s="249"/>
      <c r="M66" s="249"/>
      <c r="N66" s="249"/>
      <c r="O66" s="249"/>
      <c r="P66" s="249"/>
      <c r="Q66" s="250"/>
      <c r="R66" s="250"/>
      <c r="S66" s="250"/>
      <c r="T66" s="250"/>
      <c r="U66" s="250"/>
      <c r="V66" s="250"/>
      <c r="W66" s="244"/>
      <c r="X66" s="1426"/>
      <c r="Y66" s="244"/>
      <c r="Z66" s="244"/>
      <c r="AA66" s="244"/>
      <c r="AB66" s="244"/>
      <c r="AC66" s="306" t="s">
        <v>884</v>
      </c>
      <c r="AD66" s="1432"/>
    </row>
    <row r="67" spans="1:30" ht="18" customHeight="1">
      <c r="A67" s="260" t="s">
        <v>1025</v>
      </c>
      <c r="B67" s="254" t="s">
        <v>1026</v>
      </c>
      <c r="C67" s="319"/>
      <c r="D67" s="244">
        <f t="shared" ref="D67:D106" si="2">F67+H67+J67+L67+N67+P67+R67+T67+V67+X67+Z67+AB67</f>
        <v>98</v>
      </c>
      <c r="E67" s="305"/>
      <c r="F67" s="249"/>
      <c r="G67" s="249"/>
      <c r="H67" s="249"/>
      <c r="I67" s="249"/>
      <c r="J67" s="249"/>
      <c r="K67" s="249"/>
      <c r="L67" s="249"/>
      <c r="M67" s="249"/>
      <c r="N67" s="249"/>
      <c r="O67" s="249"/>
      <c r="P67" s="249"/>
      <c r="Q67" s="250"/>
      <c r="R67" s="250"/>
      <c r="S67" s="250"/>
      <c r="T67" s="250"/>
      <c r="U67" s="250"/>
      <c r="V67" s="250"/>
      <c r="W67" s="244"/>
      <c r="X67" s="244"/>
      <c r="Y67" s="244"/>
      <c r="Z67" s="244"/>
      <c r="AA67" s="244"/>
      <c r="AB67" s="244">
        <v>98</v>
      </c>
      <c r="AC67" s="306" t="s">
        <v>884</v>
      </c>
      <c r="AD67" s="307" t="s">
        <v>885</v>
      </c>
    </row>
    <row r="68" spans="1:30" ht="13.5" customHeight="1">
      <c r="A68" s="260" t="s">
        <v>1027</v>
      </c>
      <c r="B68" s="254" t="s">
        <v>1028</v>
      </c>
      <c r="C68" s="319"/>
      <c r="D68" s="244">
        <f t="shared" si="2"/>
        <v>52.23</v>
      </c>
      <c r="E68" s="305"/>
      <c r="F68" s="249">
        <v>52.23</v>
      </c>
      <c r="G68" s="249"/>
      <c r="H68" s="249"/>
      <c r="I68" s="249"/>
      <c r="J68" s="249"/>
      <c r="K68" s="249"/>
      <c r="L68" s="249"/>
      <c r="M68" s="249"/>
      <c r="N68" s="249"/>
      <c r="O68" s="249"/>
      <c r="P68" s="249"/>
      <c r="Q68" s="250"/>
      <c r="R68" s="250"/>
      <c r="S68" s="250"/>
      <c r="T68" s="250"/>
      <c r="U68" s="250"/>
      <c r="V68" s="250"/>
      <c r="W68" s="244"/>
      <c r="X68" s="244"/>
      <c r="Y68" s="244"/>
      <c r="Z68" s="244"/>
      <c r="AA68" s="244"/>
      <c r="AB68" s="244"/>
      <c r="AC68" s="306" t="s">
        <v>884</v>
      </c>
      <c r="AD68" s="307" t="s">
        <v>885</v>
      </c>
    </row>
    <row r="69" spans="1:30" ht="13.5" customHeight="1">
      <c r="A69" s="260" t="s">
        <v>1029</v>
      </c>
      <c r="B69" s="254" t="s">
        <v>1030</v>
      </c>
      <c r="C69" s="319"/>
      <c r="D69" s="244">
        <f t="shared" si="2"/>
        <v>93.9</v>
      </c>
      <c r="E69" s="305"/>
      <c r="F69" s="249">
        <v>93.9</v>
      </c>
      <c r="G69" s="249"/>
      <c r="H69" s="249"/>
      <c r="I69" s="249"/>
      <c r="J69" s="249"/>
      <c r="K69" s="249"/>
      <c r="L69" s="249"/>
      <c r="M69" s="249"/>
      <c r="N69" s="249"/>
      <c r="O69" s="249"/>
      <c r="P69" s="249"/>
      <c r="Q69" s="250"/>
      <c r="R69" s="250"/>
      <c r="S69" s="250"/>
      <c r="T69" s="250"/>
      <c r="U69" s="250"/>
      <c r="V69" s="250"/>
      <c r="W69" s="244"/>
      <c r="X69" s="244"/>
      <c r="Y69" s="244"/>
      <c r="Z69" s="244"/>
      <c r="AA69" s="244"/>
      <c r="AB69" s="244"/>
      <c r="AC69" s="306" t="s">
        <v>884</v>
      </c>
      <c r="AD69" s="307" t="s">
        <v>885</v>
      </c>
    </row>
    <row r="70" spans="1:30" ht="15.75" customHeight="1">
      <c r="A70" s="260" t="s">
        <v>1031</v>
      </c>
      <c r="B70" s="254" t="s">
        <v>1032</v>
      </c>
      <c r="C70" s="319"/>
      <c r="D70" s="244">
        <f t="shared" si="2"/>
        <v>136.11000000000001</v>
      </c>
      <c r="E70" s="305"/>
      <c r="F70" s="249">
        <v>136.11000000000001</v>
      </c>
      <c r="G70" s="249"/>
      <c r="H70" s="249"/>
      <c r="I70" s="249"/>
      <c r="J70" s="249"/>
      <c r="K70" s="249"/>
      <c r="L70" s="249"/>
      <c r="M70" s="249"/>
      <c r="N70" s="249"/>
      <c r="O70" s="249"/>
      <c r="P70" s="249"/>
      <c r="Q70" s="250"/>
      <c r="R70" s="250"/>
      <c r="S70" s="250"/>
      <c r="T70" s="250"/>
      <c r="U70" s="250"/>
      <c r="V70" s="250"/>
      <c r="W70" s="244"/>
      <c r="X70" s="244"/>
      <c r="Y70" s="244"/>
      <c r="Z70" s="244"/>
      <c r="AA70" s="244"/>
      <c r="AB70" s="244"/>
      <c r="AC70" s="306" t="s">
        <v>884</v>
      </c>
      <c r="AD70" s="307" t="s">
        <v>885</v>
      </c>
    </row>
    <row r="71" spans="1:30" ht="15.75" customHeight="1">
      <c r="A71" s="260" t="s">
        <v>1033</v>
      </c>
      <c r="B71" s="254" t="s">
        <v>1034</v>
      </c>
      <c r="C71" s="319"/>
      <c r="D71" s="244">
        <f t="shared" si="2"/>
        <v>60.26</v>
      </c>
      <c r="E71" s="305"/>
      <c r="F71" s="249">
        <v>60.26</v>
      </c>
      <c r="G71" s="249"/>
      <c r="H71" s="249"/>
      <c r="I71" s="249"/>
      <c r="J71" s="249"/>
      <c r="K71" s="249"/>
      <c r="L71" s="249"/>
      <c r="M71" s="249"/>
      <c r="N71" s="249"/>
      <c r="O71" s="249"/>
      <c r="P71" s="249"/>
      <c r="Q71" s="250"/>
      <c r="R71" s="250"/>
      <c r="S71" s="250"/>
      <c r="T71" s="250"/>
      <c r="U71" s="250"/>
      <c r="V71" s="250"/>
      <c r="W71" s="244"/>
      <c r="X71" s="244"/>
      <c r="Y71" s="244"/>
      <c r="Z71" s="244"/>
      <c r="AA71" s="244"/>
      <c r="AB71" s="244"/>
      <c r="AC71" s="306" t="s">
        <v>884</v>
      </c>
      <c r="AD71" s="307" t="s">
        <v>885</v>
      </c>
    </row>
    <row r="72" spans="1:30" ht="16.5" customHeight="1">
      <c r="A72" s="260" t="s">
        <v>1035</v>
      </c>
      <c r="B72" s="254" t="s">
        <v>1036</v>
      </c>
      <c r="C72" s="319"/>
      <c r="D72" s="244">
        <f t="shared" si="2"/>
        <v>287.63</v>
      </c>
      <c r="E72" s="305"/>
      <c r="F72" s="249">
        <v>287.63</v>
      </c>
      <c r="G72" s="249"/>
      <c r="H72" s="249"/>
      <c r="I72" s="249"/>
      <c r="J72" s="249"/>
      <c r="K72" s="249"/>
      <c r="L72" s="249"/>
      <c r="M72" s="249"/>
      <c r="N72" s="249"/>
      <c r="O72" s="249"/>
      <c r="P72" s="249"/>
      <c r="Q72" s="250"/>
      <c r="R72" s="250"/>
      <c r="S72" s="250"/>
      <c r="T72" s="250"/>
      <c r="U72" s="250"/>
      <c r="V72" s="250"/>
      <c r="W72" s="244"/>
      <c r="X72" s="244"/>
      <c r="Y72" s="244"/>
      <c r="Z72" s="244"/>
      <c r="AA72" s="244"/>
      <c r="AB72" s="244"/>
      <c r="AC72" s="306" t="s">
        <v>884</v>
      </c>
      <c r="AD72" s="307" t="s">
        <v>885</v>
      </c>
    </row>
    <row r="73" spans="1:30" ht="15.75" customHeight="1">
      <c r="A73" s="260" t="s">
        <v>1037</v>
      </c>
      <c r="B73" s="254" t="s">
        <v>1038</v>
      </c>
      <c r="C73" s="319"/>
      <c r="D73" s="244">
        <f t="shared" si="2"/>
        <v>239.47</v>
      </c>
      <c r="E73" s="305"/>
      <c r="F73" s="249">
        <v>239.47</v>
      </c>
      <c r="G73" s="249"/>
      <c r="H73" s="249"/>
      <c r="I73" s="249"/>
      <c r="J73" s="249"/>
      <c r="K73" s="249"/>
      <c r="L73" s="249"/>
      <c r="M73" s="249"/>
      <c r="N73" s="249"/>
      <c r="O73" s="249"/>
      <c r="P73" s="249"/>
      <c r="Q73" s="250"/>
      <c r="R73" s="250"/>
      <c r="S73" s="250"/>
      <c r="T73" s="250"/>
      <c r="U73" s="250"/>
      <c r="V73" s="250"/>
      <c r="W73" s="244"/>
      <c r="X73" s="244"/>
      <c r="Y73" s="244"/>
      <c r="Z73" s="244"/>
      <c r="AA73" s="244"/>
      <c r="AB73" s="244"/>
      <c r="AC73" s="306" t="s">
        <v>884</v>
      </c>
      <c r="AD73" s="307" t="s">
        <v>885</v>
      </c>
    </row>
    <row r="74" spans="1:30" ht="14.25" customHeight="1">
      <c r="A74" s="260" t="s">
        <v>1039</v>
      </c>
      <c r="B74" s="254" t="s">
        <v>1040</v>
      </c>
      <c r="C74" s="319"/>
      <c r="D74" s="244">
        <f t="shared" si="2"/>
        <v>155.53</v>
      </c>
      <c r="E74" s="305"/>
      <c r="F74" s="249"/>
      <c r="G74" s="249"/>
      <c r="H74" s="249">
        <v>155.53</v>
      </c>
      <c r="I74" s="249"/>
      <c r="J74" s="249"/>
      <c r="K74" s="249"/>
      <c r="L74" s="249"/>
      <c r="M74" s="249"/>
      <c r="N74" s="249"/>
      <c r="O74" s="249"/>
      <c r="P74" s="249"/>
      <c r="Q74" s="250"/>
      <c r="R74" s="250"/>
      <c r="S74" s="250"/>
      <c r="T74" s="250"/>
      <c r="U74" s="250"/>
      <c r="V74" s="250"/>
      <c r="W74" s="244"/>
      <c r="X74" s="244"/>
      <c r="Y74" s="244"/>
      <c r="Z74" s="244"/>
      <c r="AA74" s="244"/>
      <c r="AB74" s="244"/>
      <c r="AC74" s="306" t="s">
        <v>884</v>
      </c>
      <c r="AD74" s="307" t="s">
        <v>885</v>
      </c>
    </row>
    <row r="75" spans="1:30" ht="18.75" customHeight="1">
      <c r="A75" s="260" t="s">
        <v>1041</v>
      </c>
      <c r="B75" s="254" t="s">
        <v>1042</v>
      </c>
      <c r="C75" s="319"/>
      <c r="D75" s="244">
        <f t="shared" si="2"/>
        <v>55.22</v>
      </c>
      <c r="E75" s="305"/>
      <c r="F75" s="249"/>
      <c r="G75" s="249"/>
      <c r="H75" s="249">
        <v>55.22</v>
      </c>
      <c r="I75" s="249"/>
      <c r="J75" s="249"/>
      <c r="K75" s="249"/>
      <c r="L75" s="249"/>
      <c r="M75" s="249"/>
      <c r="N75" s="249"/>
      <c r="O75" s="249"/>
      <c r="P75" s="249"/>
      <c r="Q75" s="250"/>
      <c r="R75" s="250"/>
      <c r="S75" s="250"/>
      <c r="T75" s="250"/>
      <c r="U75" s="250"/>
      <c r="V75" s="250"/>
      <c r="W75" s="244"/>
      <c r="X75" s="244"/>
      <c r="Y75" s="244"/>
      <c r="Z75" s="244"/>
      <c r="AA75" s="244"/>
      <c r="AB75" s="244"/>
      <c r="AC75" s="306" t="s">
        <v>884</v>
      </c>
      <c r="AD75" s="307" t="s">
        <v>885</v>
      </c>
    </row>
    <row r="76" spans="1:30" ht="18.75" customHeight="1">
      <c r="A76" s="260" t="s">
        <v>1043</v>
      </c>
      <c r="B76" s="254" t="s">
        <v>1044</v>
      </c>
      <c r="C76" s="319"/>
      <c r="D76" s="244">
        <f t="shared" si="2"/>
        <v>728</v>
      </c>
      <c r="E76" s="305"/>
      <c r="F76" s="249"/>
      <c r="G76" s="249"/>
      <c r="H76" s="249">
        <v>728</v>
      </c>
      <c r="I76" s="249"/>
      <c r="J76" s="249"/>
      <c r="K76" s="249"/>
      <c r="L76" s="249"/>
      <c r="M76" s="249"/>
      <c r="N76" s="249"/>
      <c r="O76" s="249"/>
      <c r="P76" s="249"/>
      <c r="Q76" s="250"/>
      <c r="R76" s="250"/>
      <c r="S76" s="250"/>
      <c r="T76" s="250"/>
      <c r="U76" s="250"/>
      <c r="V76" s="250"/>
      <c r="W76" s="244"/>
      <c r="X76" s="244"/>
      <c r="Y76" s="244"/>
      <c r="Z76" s="244"/>
      <c r="AA76" s="244"/>
      <c r="AB76" s="244"/>
      <c r="AC76" s="306" t="s">
        <v>884</v>
      </c>
      <c r="AD76" s="307" t="s">
        <v>885</v>
      </c>
    </row>
    <row r="77" spans="1:30" ht="18.75" customHeight="1">
      <c r="A77" s="260" t="s">
        <v>1045</v>
      </c>
      <c r="B77" s="254" t="s">
        <v>1046</v>
      </c>
      <c r="C77" s="319"/>
      <c r="D77" s="244">
        <f t="shared" si="2"/>
        <v>94.94</v>
      </c>
      <c r="E77" s="305"/>
      <c r="F77" s="249"/>
      <c r="G77" s="249"/>
      <c r="H77" s="249">
        <v>94.94</v>
      </c>
      <c r="I77" s="249"/>
      <c r="J77" s="249"/>
      <c r="K77" s="249"/>
      <c r="L77" s="249"/>
      <c r="M77" s="249"/>
      <c r="N77" s="249"/>
      <c r="O77" s="249"/>
      <c r="P77" s="249"/>
      <c r="Q77" s="250"/>
      <c r="R77" s="250"/>
      <c r="S77" s="250"/>
      <c r="T77" s="250"/>
      <c r="U77" s="250"/>
      <c r="V77" s="250"/>
      <c r="W77" s="244"/>
      <c r="X77" s="244"/>
      <c r="Y77" s="244"/>
      <c r="Z77" s="244"/>
      <c r="AA77" s="244"/>
      <c r="AB77" s="244"/>
      <c r="AC77" s="306" t="s">
        <v>884</v>
      </c>
      <c r="AD77" s="307" t="s">
        <v>885</v>
      </c>
    </row>
    <row r="78" spans="1:30" ht="18.75" customHeight="1">
      <c r="A78" s="260" t="s">
        <v>1047</v>
      </c>
      <c r="B78" s="254" t="s">
        <v>1048</v>
      </c>
      <c r="C78" s="319"/>
      <c r="D78" s="244">
        <f t="shared" si="2"/>
        <v>52.93</v>
      </c>
      <c r="E78" s="305"/>
      <c r="F78" s="249"/>
      <c r="G78" s="249"/>
      <c r="H78" s="249">
        <v>52.93</v>
      </c>
      <c r="I78" s="249"/>
      <c r="J78" s="249"/>
      <c r="K78" s="249"/>
      <c r="L78" s="249"/>
      <c r="M78" s="249"/>
      <c r="N78" s="249"/>
      <c r="O78" s="249"/>
      <c r="P78" s="249"/>
      <c r="Q78" s="250"/>
      <c r="R78" s="250"/>
      <c r="S78" s="250"/>
      <c r="T78" s="250"/>
      <c r="U78" s="250"/>
      <c r="V78" s="250"/>
      <c r="W78" s="244"/>
      <c r="X78" s="244"/>
      <c r="Y78" s="244"/>
      <c r="Z78" s="244"/>
      <c r="AA78" s="244"/>
      <c r="AB78" s="244"/>
      <c r="AC78" s="306" t="s">
        <v>884</v>
      </c>
      <c r="AD78" s="307" t="s">
        <v>885</v>
      </c>
    </row>
    <row r="79" spans="1:30" ht="18.75" customHeight="1">
      <c r="A79" s="260" t="s">
        <v>1049</v>
      </c>
      <c r="B79" s="254" t="s">
        <v>1050</v>
      </c>
      <c r="C79" s="319"/>
      <c r="D79" s="244">
        <f t="shared" si="2"/>
        <v>795.27</v>
      </c>
      <c r="E79" s="305"/>
      <c r="F79" s="249"/>
      <c r="G79" s="249"/>
      <c r="H79" s="249">
        <v>795.27</v>
      </c>
      <c r="I79" s="249"/>
      <c r="J79" s="249"/>
      <c r="K79" s="249"/>
      <c r="L79" s="249"/>
      <c r="M79" s="249"/>
      <c r="N79" s="249"/>
      <c r="O79" s="249"/>
      <c r="P79" s="249"/>
      <c r="Q79" s="250"/>
      <c r="R79" s="250"/>
      <c r="S79" s="250"/>
      <c r="T79" s="250"/>
      <c r="U79" s="250"/>
      <c r="V79" s="250"/>
      <c r="W79" s="244"/>
      <c r="X79" s="244"/>
      <c r="Y79" s="244"/>
      <c r="Z79" s="244"/>
      <c r="AA79" s="244"/>
      <c r="AB79" s="244"/>
      <c r="AC79" s="306" t="s">
        <v>884</v>
      </c>
      <c r="AD79" s="307" t="s">
        <v>885</v>
      </c>
    </row>
    <row r="80" spans="1:30" ht="15" customHeight="1">
      <c r="A80" s="260" t="s">
        <v>1051</v>
      </c>
      <c r="B80" s="254" t="s">
        <v>1052</v>
      </c>
      <c r="C80" s="319"/>
      <c r="D80" s="244">
        <f t="shared" si="2"/>
        <v>372.7</v>
      </c>
      <c r="E80" s="305"/>
      <c r="F80" s="249"/>
      <c r="G80" s="249"/>
      <c r="H80" s="249"/>
      <c r="I80" s="249"/>
      <c r="J80" s="249">
        <v>372.7</v>
      </c>
      <c r="K80" s="249"/>
      <c r="L80" s="249"/>
      <c r="M80" s="249"/>
      <c r="N80" s="249"/>
      <c r="O80" s="249"/>
      <c r="P80" s="249"/>
      <c r="Q80" s="250"/>
      <c r="R80" s="250"/>
      <c r="S80" s="250"/>
      <c r="T80" s="250"/>
      <c r="U80" s="250"/>
      <c r="V80" s="250"/>
      <c r="W80" s="244"/>
      <c r="X80" s="244"/>
      <c r="Y80" s="244"/>
      <c r="Z80" s="244"/>
      <c r="AA80" s="244"/>
      <c r="AB80" s="244"/>
      <c r="AC80" s="306" t="s">
        <v>884</v>
      </c>
      <c r="AD80" s="307" t="s">
        <v>885</v>
      </c>
    </row>
    <row r="81" spans="1:30" ht="27" customHeight="1">
      <c r="A81" s="260" t="s">
        <v>1053</v>
      </c>
      <c r="B81" s="254" t="s">
        <v>1054</v>
      </c>
      <c r="C81" s="319"/>
      <c r="D81" s="244">
        <f t="shared" si="2"/>
        <v>113.41</v>
      </c>
      <c r="E81" s="305"/>
      <c r="F81" s="249"/>
      <c r="G81" s="249"/>
      <c r="H81" s="249"/>
      <c r="I81" s="249"/>
      <c r="J81" s="249">
        <v>113.41</v>
      </c>
      <c r="K81" s="249"/>
      <c r="L81" s="249"/>
      <c r="M81" s="249"/>
      <c r="N81" s="249"/>
      <c r="O81" s="249"/>
      <c r="P81" s="249"/>
      <c r="Q81" s="250"/>
      <c r="R81" s="250"/>
      <c r="S81" s="250"/>
      <c r="T81" s="250"/>
      <c r="U81" s="250"/>
      <c r="V81" s="250"/>
      <c r="W81" s="244"/>
      <c r="X81" s="244"/>
      <c r="Y81" s="244"/>
      <c r="Z81" s="244"/>
      <c r="AA81" s="244"/>
      <c r="AB81" s="244"/>
      <c r="AC81" s="306" t="s">
        <v>884</v>
      </c>
      <c r="AD81" s="307" t="s">
        <v>885</v>
      </c>
    </row>
    <row r="82" spans="1:30" ht="13.5" customHeight="1">
      <c r="A82" s="260" t="s">
        <v>1055</v>
      </c>
      <c r="B82" s="254" t="s">
        <v>1056</v>
      </c>
      <c r="C82" s="319"/>
      <c r="D82" s="244">
        <f t="shared" si="2"/>
        <v>20.39</v>
      </c>
      <c r="E82" s="305"/>
      <c r="F82" s="249"/>
      <c r="G82" s="249"/>
      <c r="H82" s="249"/>
      <c r="I82" s="249"/>
      <c r="J82" s="249">
        <v>20.39</v>
      </c>
      <c r="K82" s="249"/>
      <c r="L82" s="249"/>
      <c r="M82" s="249"/>
      <c r="N82" s="249"/>
      <c r="O82" s="249"/>
      <c r="P82" s="249"/>
      <c r="Q82" s="250"/>
      <c r="R82" s="250"/>
      <c r="S82" s="250"/>
      <c r="T82" s="250"/>
      <c r="U82" s="250"/>
      <c r="V82" s="250"/>
      <c r="W82" s="244"/>
      <c r="X82" s="244"/>
      <c r="Y82" s="244"/>
      <c r="Z82" s="244"/>
      <c r="AA82" s="244"/>
      <c r="AB82" s="244"/>
      <c r="AC82" s="306" t="s">
        <v>884</v>
      </c>
      <c r="AD82" s="307" t="s">
        <v>885</v>
      </c>
    </row>
    <row r="83" spans="1:30" ht="16.5" customHeight="1">
      <c r="A83" s="260" t="s">
        <v>1057</v>
      </c>
      <c r="B83" s="254" t="s">
        <v>1058</v>
      </c>
      <c r="C83" s="319"/>
      <c r="D83" s="244">
        <f>F83+H83+J83+L83+N83+P83+R83+T83+V83+X83+Z83+AB83</f>
        <v>463.9</v>
      </c>
      <c r="E83" s="305"/>
      <c r="F83" s="249"/>
      <c r="G83" s="249"/>
      <c r="H83" s="249"/>
      <c r="I83" s="249"/>
      <c r="J83" s="249"/>
      <c r="K83" s="249"/>
      <c r="L83" s="249">
        <v>463.9</v>
      </c>
      <c r="M83" s="249"/>
      <c r="N83" s="249"/>
      <c r="O83" s="249"/>
      <c r="P83" s="249"/>
      <c r="Q83" s="250"/>
      <c r="R83" s="250"/>
      <c r="S83" s="250"/>
      <c r="T83" s="250"/>
      <c r="U83" s="250"/>
      <c r="V83" s="250"/>
      <c r="W83" s="244"/>
      <c r="X83" s="244"/>
      <c r="Y83" s="244"/>
      <c r="Z83" s="244"/>
      <c r="AA83" s="244"/>
      <c r="AB83" s="244"/>
      <c r="AC83" s="306" t="s">
        <v>884</v>
      </c>
      <c r="AD83" s="307" t="s">
        <v>885</v>
      </c>
    </row>
    <row r="84" spans="1:30" ht="16.5" customHeight="1">
      <c r="A84" s="260" t="s">
        <v>1059</v>
      </c>
      <c r="B84" s="254" t="s">
        <v>1060</v>
      </c>
      <c r="C84" s="319"/>
      <c r="D84" s="244">
        <f t="shared" si="2"/>
        <v>77.23</v>
      </c>
      <c r="E84" s="305"/>
      <c r="F84" s="249"/>
      <c r="G84" s="249"/>
      <c r="H84" s="249"/>
      <c r="I84" s="249"/>
      <c r="J84" s="249"/>
      <c r="K84" s="249"/>
      <c r="L84" s="249">
        <v>77.23</v>
      </c>
      <c r="M84" s="249"/>
      <c r="N84" s="249"/>
      <c r="O84" s="249"/>
      <c r="P84" s="249"/>
      <c r="Q84" s="250"/>
      <c r="R84" s="250"/>
      <c r="S84" s="250"/>
      <c r="T84" s="250"/>
      <c r="U84" s="250"/>
      <c r="V84" s="250"/>
      <c r="W84" s="244"/>
      <c r="X84" s="244"/>
      <c r="Y84" s="244"/>
      <c r="Z84" s="244"/>
      <c r="AA84" s="244"/>
      <c r="AB84" s="244"/>
      <c r="AC84" s="306" t="s">
        <v>884</v>
      </c>
      <c r="AD84" s="307" t="s">
        <v>885</v>
      </c>
    </row>
    <row r="85" spans="1:30" ht="27" customHeight="1">
      <c r="A85" s="260" t="s">
        <v>1061</v>
      </c>
      <c r="B85" s="254" t="s">
        <v>1062</v>
      </c>
      <c r="C85" s="319"/>
      <c r="D85" s="244">
        <f t="shared" si="2"/>
        <v>386.39</v>
      </c>
      <c r="E85" s="305"/>
      <c r="F85" s="249"/>
      <c r="G85" s="249"/>
      <c r="H85" s="249"/>
      <c r="I85" s="249"/>
      <c r="J85" s="249"/>
      <c r="K85" s="249"/>
      <c r="L85" s="249">
        <v>386.39</v>
      </c>
      <c r="M85" s="249"/>
      <c r="N85" s="249"/>
      <c r="O85" s="249"/>
      <c r="P85" s="249"/>
      <c r="Q85" s="250"/>
      <c r="R85" s="250"/>
      <c r="S85" s="250"/>
      <c r="T85" s="250"/>
      <c r="U85" s="250"/>
      <c r="V85" s="250"/>
      <c r="W85" s="244"/>
      <c r="X85" s="244"/>
      <c r="Y85" s="244"/>
      <c r="Z85" s="244"/>
      <c r="AA85" s="244"/>
      <c r="AB85" s="244"/>
      <c r="AC85" s="306" t="s">
        <v>884</v>
      </c>
      <c r="AD85" s="307" t="s">
        <v>885</v>
      </c>
    </row>
    <row r="86" spans="1:30" ht="15.75" customHeight="1">
      <c r="A86" s="260" t="s">
        <v>1063</v>
      </c>
      <c r="B86" s="254" t="s">
        <v>1064</v>
      </c>
      <c r="C86" s="319"/>
      <c r="D86" s="244">
        <f t="shared" si="2"/>
        <v>63.77</v>
      </c>
      <c r="E86" s="305"/>
      <c r="F86" s="249"/>
      <c r="G86" s="249"/>
      <c r="H86" s="249"/>
      <c r="I86" s="249"/>
      <c r="J86" s="249"/>
      <c r="K86" s="249"/>
      <c r="L86" s="249">
        <v>63.77</v>
      </c>
      <c r="M86" s="249"/>
      <c r="N86" s="249"/>
      <c r="O86" s="249"/>
      <c r="P86" s="249"/>
      <c r="Q86" s="250"/>
      <c r="R86" s="250"/>
      <c r="S86" s="250"/>
      <c r="T86" s="250"/>
      <c r="U86" s="250"/>
      <c r="V86" s="250"/>
      <c r="W86" s="244"/>
      <c r="X86" s="244"/>
      <c r="Y86" s="244"/>
      <c r="Z86" s="244"/>
      <c r="AA86" s="244"/>
      <c r="AB86" s="244"/>
      <c r="AC86" s="306" t="s">
        <v>884</v>
      </c>
      <c r="AD86" s="307" t="s">
        <v>885</v>
      </c>
    </row>
    <row r="87" spans="1:30" ht="30" customHeight="1">
      <c r="A87" s="260" t="s">
        <v>1065</v>
      </c>
      <c r="B87" s="254" t="s">
        <v>1066</v>
      </c>
      <c r="C87" s="319"/>
      <c r="D87" s="244">
        <f t="shared" si="2"/>
        <v>156.94999999999999</v>
      </c>
      <c r="E87" s="305"/>
      <c r="F87" s="249"/>
      <c r="G87" s="249"/>
      <c r="H87" s="249"/>
      <c r="I87" s="249"/>
      <c r="J87" s="249"/>
      <c r="K87" s="249"/>
      <c r="L87" s="249"/>
      <c r="M87" s="249"/>
      <c r="N87" s="249">
        <v>156.94999999999999</v>
      </c>
      <c r="O87" s="249"/>
      <c r="P87" s="249"/>
      <c r="Q87" s="250"/>
      <c r="R87" s="250"/>
      <c r="S87" s="250"/>
      <c r="T87" s="250"/>
      <c r="U87" s="250"/>
      <c r="V87" s="250"/>
      <c r="W87" s="244"/>
      <c r="X87" s="244"/>
      <c r="Y87" s="244"/>
      <c r="Z87" s="244"/>
      <c r="AA87" s="244"/>
      <c r="AB87" s="244"/>
      <c r="AC87" s="306" t="s">
        <v>884</v>
      </c>
      <c r="AD87" s="307" t="s">
        <v>885</v>
      </c>
    </row>
    <row r="88" spans="1:30" ht="18.75" customHeight="1">
      <c r="A88" s="260" t="s">
        <v>1067</v>
      </c>
      <c r="B88" s="254" t="s">
        <v>1068</v>
      </c>
      <c r="C88" s="319"/>
      <c r="D88" s="244">
        <f t="shared" si="2"/>
        <v>56.17</v>
      </c>
      <c r="E88" s="305"/>
      <c r="F88" s="249"/>
      <c r="G88" s="249"/>
      <c r="H88" s="249"/>
      <c r="I88" s="249"/>
      <c r="J88" s="249"/>
      <c r="K88" s="249"/>
      <c r="L88" s="249"/>
      <c r="M88" s="249"/>
      <c r="N88" s="249">
        <v>56.17</v>
      </c>
      <c r="O88" s="249"/>
      <c r="P88" s="249"/>
      <c r="Q88" s="250"/>
      <c r="R88" s="250"/>
      <c r="S88" s="250"/>
      <c r="T88" s="250"/>
      <c r="U88" s="250"/>
      <c r="V88" s="250"/>
      <c r="W88" s="244"/>
      <c r="X88" s="244"/>
      <c r="Y88" s="244"/>
      <c r="Z88" s="244"/>
      <c r="AA88" s="244"/>
      <c r="AB88" s="244"/>
      <c r="AC88" s="306" t="s">
        <v>884</v>
      </c>
      <c r="AD88" s="307" t="s">
        <v>885</v>
      </c>
    </row>
    <row r="89" spans="1:30" ht="18.75" customHeight="1">
      <c r="A89" s="260" t="s">
        <v>1069</v>
      </c>
      <c r="B89" s="254" t="s">
        <v>1070</v>
      </c>
      <c r="C89" s="319"/>
      <c r="D89" s="244">
        <f t="shared" si="2"/>
        <v>8.81</v>
      </c>
      <c r="E89" s="305"/>
      <c r="F89" s="249"/>
      <c r="G89" s="249"/>
      <c r="H89" s="249"/>
      <c r="I89" s="249"/>
      <c r="J89" s="249"/>
      <c r="K89" s="249"/>
      <c r="L89" s="249"/>
      <c r="M89" s="249"/>
      <c r="N89" s="249">
        <v>8.81</v>
      </c>
      <c r="O89" s="249"/>
      <c r="P89" s="249"/>
      <c r="Q89" s="250"/>
      <c r="R89" s="250"/>
      <c r="S89" s="250"/>
      <c r="T89" s="250"/>
      <c r="U89" s="250"/>
      <c r="V89" s="250"/>
      <c r="W89" s="244"/>
      <c r="X89" s="244"/>
      <c r="Y89" s="244"/>
      <c r="Z89" s="244"/>
      <c r="AA89" s="244"/>
      <c r="AB89" s="244"/>
      <c r="AC89" s="306" t="s">
        <v>884</v>
      </c>
      <c r="AD89" s="307" t="s">
        <v>885</v>
      </c>
    </row>
    <row r="90" spans="1:30" ht="18.75" customHeight="1">
      <c r="A90" s="260" t="s">
        <v>1071</v>
      </c>
      <c r="B90" s="254" t="s">
        <v>1072</v>
      </c>
      <c r="C90" s="319"/>
      <c r="D90" s="244">
        <f t="shared" si="2"/>
        <v>104.97</v>
      </c>
      <c r="E90" s="305"/>
      <c r="F90" s="249"/>
      <c r="G90" s="249"/>
      <c r="H90" s="249"/>
      <c r="I90" s="249"/>
      <c r="J90" s="249"/>
      <c r="K90" s="249"/>
      <c r="L90" s="249"/>
      <c r="M90" s="249"/>
      <c r="N90" s="249"/>
      <c r="O90" s="249"/>
      <c r="P90" s="249">
        <v>104.97</v>
      </c>
      <c r="Q90" s="250"/>
      <c r="R90" s="250"/>
      <c r="S90" s="250"/>
      <c r="T90" s="250"/>
      <c r="U90" s="250"/>
      <c r="V90" s="250"/>
      <c r="W90" s="244"/>
      <c r="X90" s="244"/>
      <c r="Y90" s="244"/>
      <c r="Z90" s="244"/>
      <c r="AA90" s="244"/>
      <c r="AB90" s="244"/>
      <c r="AC90" s="306" t="s">
        <v>884</v>
      </c>
      <c r="AD90" s="307" t="s">
        <v>885</v>
      </c>
    </row>
    <row r="91" spans="1:30" ht="18.75" customHeight="1">
      <c r="A91" s="260" t="s">
        <v>1073</v>
      </c>
      <c r="B91" s="254" t="s">
        <v>1074</v>
      </c>
      <c r="C91" s="319"/>
      <c r="D91" s="244">
        <f t="shared" si="2"/>
        <v>102.77</v>
      </c>
      <c r="E91" s="305"/>
      <c r="F91" s="249"/>
      <c r="G91" s="249"/>
      <c r="H91" s="249"/>
      <c r="I91" s="249"/>
      <c r="J91" s="249"/>
      <c r="K91" s="249"/>
      <c r="L91" s="249"/>
      <c r="M91" s="249"/>
      <c r="N91" s="249"/>
      <c r="O91" s="249"/>
      <c r="P91" s="249">
        <v>102.77</v>
      </c>
      <c r="Q91" s="250"/>
      <c r="R91" s="250"/>
      <c r="S91" s="250"/>
      <c r="T91" s="250"/>
      <c r="U91" s="250"/>
      <c r="V91" s="250"/>
      <c r="W91" s="244"/>
      <c r="X91" s="244"/>
      <c r="Y91" s="244"/>
      <c r="Z91" s="244"/>
      <c r="AA91" s="244"/>
      <c r="AB91" s="244"/>
      <c r="AC91" s="306" t="s">
        <v>884</v>
      </c>
      <c r="AD91" s="307" t="s">
        <v>885</v>
      </c>
    </row>
    <row r="92" spans="1:30" ht="18.75" customHeight="1">
      <c r="A92" s="260" t="s">
        <v>1075</v>
      </c>
      <c r="B92" s="254" t="s">
        <v>1076</v>
      </c>
      <c r="C92" s="319"/>
      <c r="D92" s="244">
        <f t="shared" si="2"/>
        <v>23.9</v>
      </c>
      <c r="E92" s="305"/>
      <c r="F92" s="249"/>
      <c r="G92" s="249"/>
      <c r="H92" s="249"/>
      <c r="I92" s="249"/>
      <c r="J92" s="249"/>
      <c r="K92" s="249"/>
      <c r="L92" s="249"/>
      <c r="M92" s="249"/>
      <c r="N92" s="249"/>
      <c r="O92" s="249"/>
      <c r="P92" s="249">
        <v>23.9</v>
      </c>
      <c r="Q92" s="250"/>
      <c r="R92" s="250"/>
      <c r="S92" s="250"/>
      <c r="T92" s="250"/>
      <c r="U92" s="250"/>
      <c r="V92" s="250"/>
      <c r="W92" s="244"/>
      <c r="X92" s="244"/>
      <c r="Y92" s="244"/>
      <c r="Z92" s="244"/>
      <c r="AA92" s="244"/>
      <c r="AB92" s="244"/>
      <c r="AC92" s="306" t="s">
        <v>884</v>
      </c>
      <c r="AD92" s="307" t="s">
        <v>885</v>
      </c>
    </row>
    <row r="93" spans="1:30" ht="18.75" customHeight="1">
      <c r="A93" s="260" t="s">
        <v>1077</v>
      </c>
      <c r="B93" s="254" t="s">
        <v>1078</v>
      </c>
      <c r="C93" s="319"/>
      <c r="D93" s="244">
        <f t="shared" si="2"/>
        <v>76.484999999999999</v>
      </c>
      <c r="E93" s="305"/>
      <c r="F93" s="249"/>
      <c r="G93" s="249"/>
      <c r="H93" s="249"/>
      <c r="I93" s="249"/>
      <c r="J93" s="249"/>
      <c r="K93" s="249"/>
      <c r="L93" s="249"/>
      <c r="M93" s="249"/>
      <c r="N93" s="249"/>
      <c r="O93" s="249"/>
      <c r="P93" s="249"/>
      <c r="Q93" s="250"/>
      <c r="R93" s="250">
        <v>76.484999999999999</v>
      </c>
      <c r="S93" s="250"/>
      <c r="T93" s="250"/>
      <c r="U93" s="250"/>
      <c r="V93" s="250"/>
      <c r="W93" s="244"/>
      <c r="X93" s="244"/>
      <c r="Y93" s="244"/>
      <c r="Z93" s="244"/>
      <c r="AA93" s="244"/>
      <c r="AB93" s="244"/>
      <c r="AC93" s="306" t="s">
        <v>884</v>
      </c>
      <c r="AD93" s="307" t="s">
        <v>885</v>
      </c>
    </row>
    <row r="94" spans="1:30" ht="30" customHeight="1">
      <c r="A94" s="260" t="s">
        <v>1079</v>
      </c>
      <c r="B94" s="254" t="s">
        <v>1080</v>
      </c>
      <c r="C94" s="319"/>
      <c r="D94" s="244">
        <f t="shared" si="2"/>
        <v>475.84</v>
      </c>
      <c r="E94" s="305"/>
      <c r="F94" s="249"/>
      <c r="G94" s="249"/>
      <c r="H94" s="249"/>
      <c r="I94" s="249"/>
      <c r="J94" s="249"/>
      <c r="K94" s="249"/>
      <c r="L94" s="249"/>
      <c r="M94" s="249"/>
      <c r="N94" s="249"/>
      <c r="O94" s="249"/>
      <c r="P94" s="249"/>
      <c r="Q94" s="250"/>
      <c r="R94" s="250">
        <v>475.84</v>
      </c>
      <c r="S94" s="250"/>
      <c r="T94" s="250"/>
      <c r="U94" s="250"/>
      <c r="V94" s="250"/>
      <c r="W94" s="244"/>
      <c r="X94" s="244"/>
      <c r="Y94" s="244"/>
      <c r="Z94" s="244"/>
      <c r="AA94" s="244"/>
      <c r="AB94" s="244"/>
      <c r="AC94" s="306" t="s">
        <v>884</v>
      </c>
      <c r="AD94" s="307" t="s">
        <v>885</v>
      </c>
    </row>
    <row r="95" spans="1:30" ht="18.75" customHeight="1">
      <c r="A95" s="260" t="s">
        <v>1081</v>
      </c>
      <c r="B95" s="254" t="s">
        <v>1082</v>
      </c>
      <c r="C95" s="319"/>
      <c r="D95" s="244">
        <f t="shared" si="2"/>
        <v>77.58</v>
      </c>
      <c r="E95" s="305"/>
      <c r="F95" s="249"/>
      <c r="G95" s="249"/>
      <c r="H95" s="249"/>
      <c r="I95" s="249"/>
      <c r="J95" s="249"/>
      <c r="K95" s="249"/>
      <c r="L95" s="249"/>
      <c r="M95" s="249"/>
      <c r="N95" s="249"/>
      <c r="O95" s="249"/>
      <c r="P95" s="249"/>
      <c r="Q95" s="250"/>
      <c r="R95" s="250">
        <v>77.58</v>
      </c>
      <c r="S95" s="250"/>
      <c r="T95" s="250"/>
      <c r="U95" s="250"/>
      <c r="V95" s="250"/>
      <c r="W95" s="244"/>
      <c r="X95" s="244"/>
      <c r="Y95" s="244"/>
      <c r="Z95" s="244"/>
      <c r="AA95" s="244"/>
      <c r="AB95" s="244"/>
      <c r="AC95" s="306" t="s">
        <v>884</v>
      </c>
      <c r="AD95" s="307" t="s">
        <v>885</v>
      </c>
    </row>
    <row r="96" spans="1:30" ht="18.75" customHeight="1">
      <c r="A96" s="260" t="s">
        <v>1083</v>
      </c>
      <c r="B96" s="254" t="s">
        <v>1084</v>
      </c>
      <c r="C96" s="319"/>
      <c r="D96" s="244">
        <f t="shared" si="2"/>
        <v>114.78</v>
      </c>
      <c r="E96" s="305"/>
      <c r="F96" s="249"/>
      <c r="G96" s="249"/>
      <c r="H96" s="249"/>
      <c r="I96" s="249"/>
      <c r="J96" s="249"/>
      <c r="K96" s="249"/>
      <c r="L96" s="249"/>
      <c r="M96" s="249"/>
      <c r="N96" s="249"/>
      <c r="O96" s="249"/>
      <c r="P96" s="249"/>
      <c r="Q96" s="250"/>
      <c r="R96" s="250"/>
      <c r="S96" s="250"/>
      <c r="T96" s="250">
        <v>114.78</v>
      </c>
      <c r="U96" s="250"/>
      <c r="V96" s="250"/>
      <c r="W96" s="244"/>
      <c r="X96" s="244"/>
      <c r="Y96" s="244"/>
      <c r="Z96" s="244"/>
      <c r="AA96" s="244"/>
      <c r="AB96" s="244"/>
      <c r="AC96" s="306" t="s">
        <v>884</v>
      </c>
      <c r="AD96" s="307" t="s">
        <v>885</v>
      </c>
    </row>
    <row r="97" spans="1:30" ht="18.75" customHeight="1">
      <c r="A97" s="260" t="s">
        <v>1085</v>
      </c>
      <c r="B97" s="254" t="s">
        <v>1086</v>
      </c>
      <c r="C97" s="319"/>
      <c r="D97" s="244">
        <f t="shared" si="2"/>
        <v>278.52999999999997</v>
      </c>
      <c r="E97" s="305"/>
      <c r="F97" s="249"/>
      <c r="G97" s="249"/>
      <c r="H97" s="249"/>
      <c r="I97" s="249"/>
      <c r="J97" s="249"/>
      <c r="K97" s="249"/>
      <c r="L97" s="249"/>
      <c r="M97" s="249"/>
      <c r="N97" s="249"/>
      <c r="O97" s="249"/>
      <c r="P97" s="249"/>
      <c r="Q97" s="250"/>
      <c r="R97" s="250"/>
      <c r="S97" s="250"/>
      <c r="T97" s="250"/>
      <c r="U97" s="250"/>
      <c r="V97" s="250">
        <v>278.52999999999997</v>
      </c>
      <c r="W97" s="244"/>
      <c r="X97" s="244"/>
      <c r="Y97" s="244"/>
      <c r="Z97" s="244"/>
      <c r="AA97" s="244"/>
      <c r="AB97" s="244"/>
      <c r="AC97" s="306" t="s">
        <v>884</v>
      </c>
      <c r="AD97" s="307" t="s">
        <v>885</v>
      </c>
    </row>
    <row r="98" spans="1:30" ht="33" customHeight="1">
      <c r="A98" s="260" t="s">
        <v>1087</v>
      </c>
      <c r="B98" s="254" t="s">
        <v>1088</v>
      </c>
      <c r="C98" s="319"/>
      <c r="D98" s="244">
        <f t="shared" si="2"/>
        <v>113.15</v>
      </c>
      <c r="E98" s="305"/>
      <c r="F98" s="249"/>
      <c r="G98" s="249"/>
      <c r="H98" s="249"/>
      <c r="I98" s="249"/>
      <c r="J98" s="249"/>
      <c r="K98" s="249"/>
      <c r="L98" s="249"/>
      <c r="M98" s="249"/>
      <c r="N98" s="249"/>
      <c r="O98" s="249"/>
      <c r="P98" s="249"/>
      <c r="Q98" s="250"/>
      <c r="R98" s="250"/>
      <c r="S98" s="250"/>
      <c r="T98" s="250"/>
      <c r="U98" s="250"/>
      <c r="V98" s="250">
        <v>113.15</v>
      </c>
      <c r="W98" s="244"/>
      <c r="X98" s="244"/>
      <c r="Y98" s="244"/>
      <c r="Z98" s="244"/>
      <c r="AA98" s="244"/>
      <c r="AB98" s="244"/>
      <c r="AC98" s="306" t="s">
        <v>884</v>
      </c>
      <c r="AD98" s="307" t="s">
        <v>885</v>
      </c>
    </row>
    <row r="99" spans="1:30" ht="21.75" customHeight="1">
      <c r="A99" s="260" t="s">
        <v>1089</v>
      </c>
      <c r="B99" s="254" t="s">
        <v>1090</v>
      </c>
      <c r="C99" s="319"/>
      <c r="D99" s="244">
        <f t="shared" si="2"/>
        <v>70.290000000000006</v>
      </c>
      <c r="E99" s="305"/>
      <c r="F99" s="249"/>
      <c r="G99" s="249"/>
      <c r="H99" s="249"/>
      <c r="I99" s="249"/>
      <c r="J99" s="249"/>
      <c r="K99" s="249"/>
      <c r="L99" s="249"/>
      <c r="M99" s="249"/>
      <c r="N99" s="249"/>
      <c r="O99" s="249"/>
      <c r="P99" s="249"/>
      <c r="Q99" s="250"/>
      <c r="R99" s="250"/>
      <c r="S99" s="250"/>
      <c r="T99" s="250"/>
      <c r="U99" s="250"/>
      <c r="V99" s="250"/>
      <c r="W99" s="244"/>
      <c r="X99" s="244">
        <v>70.290000000000006</v>
      </c>
      <c r="Y99" s="244"/>
      <c r="Z99" s="244"/>
      <c r="AA99" s="244"/>
      <c r="AB99" s="244"/>
      <c r="AC99" s="306" t="s">
        <v>884</v>
      </c>
      <c r="AD99" s="307" t="s">
        <v>885</v>
      </c>
    </row>
    <row r="100" spans="1:30" ht="21.75" customHeight="1">
      <c r="A100" s="260" t="s">
        <v>1091</v>
      </c>
      <c r="B100" s="254" t="s">
        <v>1092</v>
      </c>
      <c r="C100" s="319"/>
      <c r="D100" s="244">
        <f t="shared" si="2"/>
        <v>152.72999999999999</v>
      </c>
      <c r="E100" s="305"/>
      <c r="F100" s="249"/>
      <c r="G100" s="249"/>
      <c r="H100" s="249"/>
      <c r="I100" s="249"/>
      <c r="J100" s="249"/>
      <c r="K100" s="249"/>
      <c r="L100" s="249"/>
      <c r="M100" s="249"/>
      <c r="N100" s="249"/>
      <c r="O100" s="249"/>
      <c r="P100" s="249"/>
      <c r="Q100" s="250"/>
      <c r="R100" s="250"/>
      <c r="S100" s="250"/>
      <c r="T100" s="250"/>
      <c r="U100" s="250"/>
      <c r="V100" s="250"/>
      <c r="W100" s="244"/>
      <c r="X100" s="244"/>
      <c r="Y100" s="244"/>
      <c r="Z100" s="244">
        <v>152.72999999999999</v>
      </c>
      <c r="AA100" s="244"/>
      <c r="AB100" s="244"/>
      <c r="AC100" s="306" t="s">
        <v>884</v>
      </c>
      <c r="AD100" s="307" t="s">
        <v>885</v>
      </c>
    </row>
    <row r="101" spans="1:30" ht="21.75" customHeight="1">
      <c r="A101" s="260" t="s">
        <v>1093</v>
      </c>
      <c r="B101" s="254" t="s">
        <v>1094</v>
      </c>
      <c r="C101" s="319"/>
      <c r="D101" s="244">
        <f t="shared" si="2"/>
        <v>234.047</v>
      </c>
      <c r="E101" s="305"/>
      <c r="F101" s="249"/>
      <c r="G101" s="249"/>
      <c r="H101" s="249"/>
      <c r="I101" s="249"/>
      <c r="J101" s="249"/>
      <c r="K101" s="249"/>
      <c r="L101" s="249"/>
      <c r="M101" s="249"/>
      <c r="N101" s="249"/>
      <c r="O101" s="249"/>
      <c r="P101" s="249"/>
      <c r="Q101" s="250"/>
      <c r="R101" s="250"/>
      <c r="S101" s="250"/>
      <c r="T101" s="250"/>
      <c r="U101" s="250"/>
      <c r="V101" s="250"/>
      <c r="W101" s="244"/>
      <c r="X101" s="244"/>
      <c r="Y101" s="244"/>
      <c r="Z101" s="244">
        <v>234.047</v>
      </c>
      <c r="AA101" s="244"/>
      <c r="AB101" s="244"/>
      <c r="AC101" s="306" t="s">
        <v>884</v>
      </c>
      <c r="AD101" s="307" t="s">
        <v>885</v>
      </c>
    </row>
    <row r="102" spans="1:30" ht="21.75" customHeight="1">
      <c r="A102" s="260" t="s">
        <v>1095</v>
      </c>
      <c r="B102" s="254" t="s">
        <v>1096</v>
      </c>
      <c r="C102" s="319"/>
      <c r="D102" s="244">
        <f t="shared" si="2"/>
        <v>28.3</v>
      </c>
      <c r="E102" s="305"/>
      <c r="F102" s="249"/>
      <c r="G102" s="249"/>
      <c r="H102" s="249"/>
      <c r="I102" s="249"/>
      <c r="J102" s="249"/>
      <c r="K102" s="249"/>
      <c r="L102" s="249"/>
      <c r="M102" s="249"/>
      <c r="N102" s="249"/>
      <c r="O102" s="249"/>
      <c r="P102" s="249"/>
      <c r="Q102" s="250"/>
      <c r="R102" s="250"/>
      <c r="S102" s="250"/>
      <c r="T102" s="250"/>
      <c r="U102" s="250"/>
      <c r="V102" s="250"/>
      <c r="W102" s="244"/>
      <c r="X102" s="244"/>
      <c r="Y102" s="244"/>
      <c r="Z102" s="244">
        <v>28.3</v>
      </c>
      <c r="AA102" s="244"/>
      <c r="AB102" s="244"/>
      <c r="AC102" s="306" t="s">
        <v>884</v>
      </c>
      <c r="AD102" s="307" t="s">
        <v>885</v>
      </c>
    </row>
    <row r="103" spans="1:30" ht="21.75" customHeight="1">
      <c r="A103" s="260" t="s">
        <v>1097</v>
      </c>
      <c r="B103" s="254" t="s">
        <v>1098</v>
      </c>
      <c r="C103" s="319"/>
      <c r="D103" s="244">
        <f t="shared" si="2"/>
        <v>12.59</v>
      </c>
      <c r="E103" s="305"/>
      <c r="F103" s="249"/>
      <c r="G103" s="249"/>
      <c r="H103" s="249"/>
      <c r="I103" s="249"/>
      <c r="J103" s="249"/>
      <c r="K103" s="249"/>
      <c r="L103" s="249"/>
      <c r="M103" s="249"/>
      <c r="N103" s="249"/>
      <c r="O103" s="249"/>
      <c r="P103" s="249"/>
      <c r="Q103" s="250"/>
      <c r="R103" s="250"/>
      <c r="S103" s="250"/>
      <c r="T103" s="250"/>
      <c r="U103" s="250"/>
      <c r="V103" s="250"/>
      <c r="W103" s="244"/>
      <c r="X103" s="244"/>
      <c r="Y103" s="244"/>
      <c r="Z103" s="244">
        <v>12.59</v>
      </c>
      <c r="AA103" s="244"/>
      <c r="AB103" s="244"/>
      <c r="AC103" s="306" t="s">
        <v>884</v>
      </c>
      <c r="AD103" s="307" t="s">
        <v>885</v>
      </c>
    </row>
    <row r="104" spans="1:30" ht="21.75" customHeight="1">
      <c r="A104" s="260" t="s">
        <v>1099</v>
      </c>
      <c r="B104" s="254" t="s">
        <v>1100</v>
      </c>
      <c r="C104" s="319"/>
      <c r="D104" s="244">
        <f t="shared" si="2"/>
        <v>116.59</v>
      </c>
      <c r="E104" s="305"/>
      <c r="F104" s="249"/>
      <c r="G104" s="249"/>
      <c r="H104" s="249"/>
      <c r="I104" s="249"/>
      <c r="J104" s="249"/>
      <c r="K104" s="249"/>
      <c r="L104" s="249"/>
      <c r="M104" s="249"/>
      <c r="N104" s="249"/>
      <c r="O104" s="249"/>
      <c r="P104" s="249"/>
      <c r="Q104" s="250"/>
      <c r="R104" s="250"/>
      <c r="S104" s="250"/>
      <c r="T104" s="250"/>
      <c r="U104" s="250"/>
      <c r="V104" s="250"/>
      <c r="W104" s="244"/>
      <c r="X104" s="244"/>
      <c r="Y104" s="244"/>
      <c r="Z104" s="244">
        <v>116.59</v>
      </c>
      <c r="AA104" s="244"/>
      <c r="AB104" s="244"/>
      <c r="AC104" s="306" t="s">
        <v>884</v>
      </c>
      <c r="AD104" s="307" t="s">
        <v>885</v>
      </c>
    </row>
    <row r="105" spans="1:30" ht="21.75" customHeight="1">
      <c r="A105" s="260" t="s">
        <v>1101</v>
      </c>
      <c r="B105" s="254" t="s">
        <v>1102</v>
      </c>
      <c r="C105" s="319"/>
      <c r="D105" s="244">
        <f t="shared" si="2"/>
        <v>199.81</v>
      </c>
      <c r="E105" s="305"/>
      <c r="F105" s="249"/>
      <c r="G105" s="249"/>
      <c r="H105" s="249"/>
      <c r="I105" s="249"/>
      <c r="J105" s="249"/>
      <c r="K105" s="249"/>
      <c r="L105" s="249"/>
      <c r="M105" s="249"/>
      <c r="N105" s="249"/>
      <c r="O105" s="249"/>
      <c r="P105" s="249"/>
      <c r="Q105" s="250"/>
      <c r="R105" s="250"/>
      <c r="S105" s="250"/>
      <c r="T105" s="250"/>
      <c r="U105" s="250"/>
      <c r="V105" s="250"/>
      <c r="W105" s="244"/>
      <c r="X105" s="244"/>
      <c r="Y105" s="244"/>
      <c r="Z105" s="244"/>
      <c r="AA105" s="244"/>
      <c r="AB105" s="244">
        <v>199.81</v>
      </c>
      <c r="AC105" s="306" t="s">
        <v>884</v>
      </c>
      <c r="AD105" s="307" t="s">
        <v>885</v>
      </c>
    </row>
    <row r="106" spans="1:30" ht="19.5" customHeight="1">
      <c r="A106" s="260" t="s">
        <v>1103</v>
      </c>
      <c r="B106" s="254" t="s">
        <v>1104</v>
      </c>
      <c r="C106" s="319"/>
      <c r="D106" s="244">
        <f t="shared" si="2"/>
        <v>239</v>
      </c>
      <c r="E106" s="305"/>
      <c r="F106" s="249"/>
      <c r="G106" s="249"/>
      <c r="H106" s="249"/>
      <c r="I106" s="249"/>
      <c r="J106" s="249"/>
      <c r="K106" s="249"/>
      <c r="L106" s="249"/>
      <c r="M106" s="249"/>
      <c r="N106" s="249"/>
      <c r="O106" s="249"/>
      <c r="P106" s="249"/>
      <c r="Q106" s="250"/>
      <c r="R106" s="250"/>
      <c r="S106" s="250"/>
      <c r="T106" s="250"/>
      <c r="U106" s="250"/>
      <c r="V106" s="250"/>
      <c r="W106" s="244"/>
      <c r="X106" s="244"/>
      <c r="Y106" s="244"/>
      <c r="Z106" s="244"/>
      <c r="AA106" s="244"/>
      <c r="AB106" s="244">
        <v>239</v>
      </c>
      <c r="AC106" s="306" t="s">
        <v>884</v>
      </c>
      <c r="AD106" s="307" t="s">
        <v>885</v>
      </c>
    </row>
    <row r="107" spans="1:30" ht="27.75" customHeight="1">
      <c r="A107" s="260" t="s">
        <v>1105</v>
      </c>
      <c r="B107" s="254" t="s">
        <v>1106</v>
      </c>
      <c r="C107" s="319"/>
      <c r="D107" s="244">
        <v>715.96</v>
      </c>
      <c r="E107" s="305"/>
      <c r="F107" s="249"/>
      <c r="G107" s="249"/>
      <c r="H107" s="249"/>
      <c r="I107" s="249"/>
      <c r="J107" s="249"/>
      <c r="K107" s="249"/>
      <c r="L107" s="249"/>
      <c r="M107" s="249"/>
      <c r="N107" s="249"/>
      <c r="O107" s="249"/>
      <c r="P107" s="249"/>
      <c r="Q107" s="250"/>
      <c r="R107" s="250"/>
      <c r="S107" s="250"/>
      <c r="T107" s="250"/>
      <c r="U107" s="250"/>
      <c r="V107" s="250"/>
      <c r="W107" s="244"/>
      <c r="X107" s="244"/>
      <c r="Y107" s="244"/>
      <c r="Z107" s="244"/>
      <c r="AA107" s="244"/>
      <c r="AB107" s="244">
        <v>335.17</v>
      </c>
      <c r="AC107" s="306" t="s">
        <v>884</v>
      </c>
      <c r="AD107" s="307" t="s">
        <v>885</v>
      </c>
    </row>
    <row r="108" spans="1:30" ht="17.25" customHeight="1">
      <c r="A108" s="320" t="s">
        <v>1107</v>
      </c>
      <c r="B108" s="254" t="s">
        <v>1108</v>
      </c>
      <c r="C108" s="261"/>
      <c r="D108" s="244">
        <f>F108+H108+J108+L108+N108+P108+R108+T108+V108+X108+Z108+AB108</f>
        <v>885.18200000000013</v>
      </c>
      <c r="E108" s="305"/>
      <c r="F108" s="305">
        <f>7551/1000</f>
        <v>7.5510000000000002</v>
      </c>
      <c r="G108" s="305"/>
      <c r="H108" s="305">
        <f>54524/1000</f>
        <v>54.524000000000001</v>
      </c>
      <c r="I108" s="305"/>
      <c r="J108" s="305">
        <f>128971/1000</f>
        <v>128.971</v>
      </c>
      <c r="K108" s="305"/>
      <c r="L108" s="257">
        <f>108210/1000</f>
        <v>108.21</v>
      </c>
      <c r="M108" s="305"/>
      <c r="N108" s="305">
        <f>71930/1000</f>
        <v>71.930000000000007</v>
      </c>
      <c r="O108" s="305"/>
      <c r="P108" s="305">
        <f>150362/1000</f>
        <v>150.36199999999999</v>
      </c>
      <c r="Q108" s="321"/>
      <c r="R108" s="321">
        <f>126245/1000</f>
        <v>126.245</v>
      </c>
      <c r="S108" s="321"/>
      <c r="T108" s="321">
        <f>82624/1000</f>
        <v>82.623999999999995</v>
      </c>
      <c r="U108" s="321"/>
      <c r="V108" s="321">
        <f>59557/1000</f>
        <v>59.557000000000002</v>
      </c>
      <c r="W108" s="252"/>
      <c r="X108" s="252">
        <f>33763/1000</f>
        <v>33.762999999999998</v>
      </c>
      <c r="Y108" s="252"/>
      <c r="Z108" s="252">
        <f>52008/1000</f>
        <v>52.008000000000003</v>
      </c>
      <c r="AA108" s="252"/>
      <c r="AB108" s="252">
        <f>9437/1000</f>
        <v>9.4369999999999994</v>
      </c>
      <c r="AC108" s="306" t="s">
        <v>884</v>
      </c>
      <c r="AD108" s="307" t="s">
        <v>885</v>
      </c>
    </row>
    <row r="109" spans="1:30" ht="17.25" customHeight="1">
      <c r="A109" s="322" t="s">
        <v>1109</v>
      </c>
      <c r="B109" s="322"/>
      <c r="C109" s="323">
        <f>SUM(C110:C122)</f>
        <v>2326.92</v>
      </c>
      <c r="D109" s="323">
        <f>SUM(D110:D122)</f>
        <v>2326.9242200000003</v>
      </c>
      <c r="E109" s="323">
        <f t="shared" ref="E109:AB109" si="3">SUM(E110:E122)</f>
        <v>0</v>
      </c>
      <c r="F109" s="323">
        <f t="shared" si="3"/>
        <v>0</v>
      </c>
      <c r="G109" s="323">
        <f t="shared" si="3"/>
        <v>0</v>
      </c>
      <c r="H109" s="323">
        <f t="shared" si="3"/>
        <v>0</v>
      </c>
      <c r="I109" s="323">
        <f t="shared" si="3"/>
        <v>0</v>
      </c>
      <c r="J109" s="323">
        <f t="shared" si="3"/>
        <v>0</v>
      </c>
      <c r="K109" s="323">
        <f t="shared" si="3"/>
        <v>0</v>
      </c>
      <c r="L109" s="323">
        <f t="shared" si="3"/>
        <v>0</v>
      </c>
      <c r="M109" s="323">
        <f t="shared" si="3"/>
        <v>0</v>
      </c>
      <c r="N109" s="323">
        <f t="shared" si="3"/>
        <v>282.22016000000002</v>
      </c>
      <c r="O109" s="323">
        <f t="shared" si="3"/>
        <v>0</v>
      </c>
      <c r="P109" s="323">
        <f t="shared" si="3"/>
        <v>952.37068000000011</v>
      </c>
      <c r="Q109" s="323">
        <f t="shared" si="3"/>
        <v>0</v>
      </c>
      <c r="R109" s="323">
        <f t="shared" si="3"/>
        <v>196.94931</v>
      </c>
      <c r="S109" s="323">
        <f t="shared" si="3"/>
        <v>0</v>
      </c>
      <c r="T109" s="323">
        <f t="shared" si="3"/>
        <v>152.15624000000003</v>
      </c>
      <c r="U109" s="323">
        <f t="shared" si="3"/>
        <v>0</v>
      </c>
      <c r="V109" s="323">
        <f t="shared" si="3"/>
        <v>0</v>
      </c>
      <c r="W109" s="323">
        <f t="shared" si="3"/>
        <v>0</v>
      </c>
      <c r="X109" s="323">
        <f t="shared" si="3"/>
        <v>614.99929999999995</v>
      </c>
      <c r="Y109" s="323">
        <f t="shared" si="3"/>
        <v>0</v>
      </c>
      <c r="Z109" s="323">
        <f t="shared" si="3"/>
        <v>128.22853000000001</v>
      </c>
      <c r="AA109" s="323">
        <f t="shared" si="3"/>
        <v>0</v>
      </c>
      <c r="AB109" s="323">
        <f t="shared" si="3"/>
        <v>0</v>
      </c>
      <c r="AC109" s="306"/>
      <c r="AD109" s="306"/>
    </row>
    <row r="110" spans="1:30" ht="21.75" customHeight="1">
      <c r="A110" s="324" t="s">
        <v>176</v>
      </c>
      <c r="B110" s="254" t="s">
        <v>1110</v>
      </c>
      <c r="C110" s="325">
        <v>65.75</v>
      </c>
      <c r="D110" s="244">
        <f t="shared" ref="D110:D133" si="4">F110+H110+J110+L110+N110+P110+R110+T110+V110+X110+Z110+AB110</f>
        <v>65.752750000000006</v>
      </c>
      <c r="E110" s="305"/>
      <c r="F110" s="249"/>
      <c r="G110" s="249"/>
      <c r="H110" s="249"/>
      <c r="I110" s="249"/>
      <c r="J110" s="249"/>
      <c r="K110" s="249"/>
      <c r="L110" s="249"/>
      <c r="M110" s="249"/>
      <c r="N110" s="249"/>
      <c r="O110" s="249"/>
      <c r="P110" s="249"/>
      <c r="Q110" s="250"/>
      <c r="R110" s="250"/>
      <c r="S110" s="250"/>
      <c r="T110" s="244">
        <v>65.752750000000006</v>
      </c>
      <c r="U110" s="250"/>
      <c r="V110" s="250"/>
      <c r="W110" s="244"/>
      <c r="X110" s="244"/>
      <c r="Y110" s="244"/>
      <c r="Z110" s="244"/>
      <c r="AA110" s="244"/>
      <c r="AB110" s="244"/>
      <c r="AC110" s="306" t="s">
        <v>884</v>
      </c>
      <c r="AD110" s="307" t="s">
        <v>885</v>
      </c>
    </row>
    <row r="111" spans="1:30" ht="21.75" customHeight="1">
      <c r="A111" s="324" t="s">
        <v>177</v>
      </c>
      <c r="B111" s="326" t="s">
        <v>1111</v>
      </c>
      <c r="C111" s="325">
        <v>79.42</v>
      </c>
      <c r="D111" s="244">
        <f t="shared" si="4"/>
        <v>79.418300000000002</v>
      </c>
      <c r="E111" s="305"/>
      <c r="F111" s="249"/>
      <c r="G111" s="249"/>
      <c r="H111" s="249"/>
      <c r="I111" s="249"/>
      <c r="J111" s="249"/>
      <c r="K111" s="249"/>
      <c r="L111" s="249"/>
      <c r="M111" s="249"/>
      <c r="N111" s="249"/>
      <c r="O111" s="249"/>
      <c r="P111" s="249"/>
      <c r="Q111" s="250"/>
      <c r="R111" s="250"/>
      <c r="S111" s="250"/>
      <c r="T111" s="250"/>
      <c r="U111" s="250"/>
      <c r="V111" s="250"/>
      <c r="W111" s="244"/>
      <c r="X111" s="244"/>
      <c r="Y111" s="244"/>
      <c r="Z111" s="244">
        <v>79.418300000000002</v>
      </c>
      <c r="AA111" s="244"/>
      <c r="AB111" s="244"/>
      <c r="AC111" s="306" t="s">
        <v>884</v>
      </c>
      <c r="AD111" s="307" t="s">
        <v>885</v>
      </c>
    </row>
    <row r="112" spans="1:30" ht="21.75" customHeight="1">
      <c r="A112" s="324" t="s">
        <v>178</v>
      </c>
      <c r="B112" s="270" t="s">
        <v>1112</v>
      </c>
      <c r="C112" s="325">
        <v>48.81</v>
      </c>
      <c r="D112" s="244">
        <f t="shared" si="4"/>
        <v>48.810229999999997</v>
      </c>
      <c r="E112" s="305"/>
      <c r="F112" s="249"/>
      <c r="G112" s="249"/>
      <c r="H112" s="249"/>
      <c r="I112" s="249"/>
      <c r="J112" s="249"/>
      <c r="K112" s="249"/>
      <c r="L112" s="249"/>
      <c r="M112" s="249"/>
      <c r="N112" s="249"/>
      <c r="O112" s="249"/>
      <c r="P112" s="249"/>
      <c r="Q112" s="250"/>
      <c r="R112" s="250"/>
      <c r="S112" s="250"/>
      <c r="T112" s="250"/>
      <c r="U112" s="250"/>
      <c r="V112" s="250"/>
      <c r="W112" s="244"/>
      <c r="X112" s="244"/>
      <c r="Y112" s="244"/>
      <c r="Z112" s="244">
        <v>48.810229999999997</v>
      </c>
      <c r="AA112" s="244"/>
      <c r="AB112" s="244"/>
      <c r="AC112" s="306" t="s">
        <v>884</v>
      </c>
      <c r="AD112" s="307" t="s">
        <v>885</v>
      </c>
    </row>
    <row r="113" spans="1:30" ht="21.75" customHeight="1">
      <c r="A113" s="324" t="s">
        <v>179</v>
      </c>
      <c r="B113" s="303" t="s">
        <v>1113</v>
      </c>
      <c r="C113" s="325">
        <v>85.64</v>
      </c>
      <c r="D113" s="244">
        <f t="shared" si="4"/>
        <v>85.642759999999996</v>
      </c>
      <c r="E113" s="305"/>
      <c r="F113" s="249"/>
      <c r="G113" s="249"/>
      <c r="H113" s="249"/>
      <c r="I113" s="249"/>
      <c r="J113" s="249"/>
      <c r="K113" s="249"/>
      <c r="L113" s="249"/>
      <c r="M113" s="249"/>
      <c r="N113" s="249"/>
      <c r="O113" s="249"/>
      <c r="P113" s="257">
        <v>85.642759999999996</v>
      </c>
      <c r="Q113" s="266"/>
      <c r="R113" s="266"/>
      <c r="S113" s="266"/>
      <c r="T113" s="266"/>
      <c r="U113" s="266"/>
      <c r="V113" s="266"/>
      <c r="W113" s="244"/>
      <c r="X113" s="244"/>
      <c r="Y113" s="244"/>
      <c r="Z113" s="244"/>
      <c r="AA113" s="244"/>
      <c r="AB113" s="244"/>
      <c r="AC113" s="306" t="s">
        <v>884</v>
      </c>
      <c r="AD113" s="307" t="s">
        <v>885</v>
      </c>
    </row>
    <row r="114" spans="1:30" ht="21.75" customHeight="1">
      <c r="A114" s="324" t="s">
        <v>180</v>
      </c>
      <c r="B114" s="303" t="s">
        <v>1114</v>
      </c>
      <c r="C114" s="325">
        <v>265.02</v>
      </c>
      <c r="D114" s="244">
        <f t="shared" si="4"/>
        <v>265.02163000000002</v>
      </c>
      <c r="E114" s="305"/>
      <c r="F114" s="249"/>
      <c r="G114" s="249"/>
      <c r="H114" s="249"/>
      <c r="I114" s="249"/>
      <c r="J114" s="249"/>
      <c r="K114" s="249"/>
      <c r="L114" s="249"/>
      <c r="M114" s="249"/>
      <c r="N114" s="257"/>
      <c r="O114" s="249"/>
      <c r="P114" s="257">
        <v>265.02163000000002</v>
      </c>
      <c r="Q114" s="266"/>
      <c r="R114" s="266"/>
      <c r="S114" s="266"/>
      <c r="T114" s="266"/>
      <c r="U114" s="266"/>
      <c r="V114" s="266"/>
      <c r="W114" s="244"/>
      <c r="X114" s="244"/>
      <c r="Y114" s="244"/>
      <c r="Z114" s="244"/>
      <c r="AA114" s="244"/>
      <c r="AB114" s="244"/>
      <c r="AC114" s="306" t="s">
        <v>884</v>
      </c>
      <c r="AD114" s="307" t="s">
        <v>885</v>
      </c>
    </row>
    <row r="115" spans="1:30" ht="21.75" customHeight="1">
      <c r="A115" s="324" t="s">
        <v>181</v>
      </c>
      <c r="B115" s="303" t="s">
        <v>1115</v>
      </c>
      <c r="C115" s="325">
        <v>259.05</v>
      </c>
      <c r="D115" s="244">
        <f t="shared" si="4"/>
        <v>259.04865999999998</v>
      </c>
      <c r="E115" s="305"/>
      <c r="F115" s="249"/>
      <c r="G115" s="249"/>
      <c r="H115" s="249"/>
      <c r="I115" s="249"/>
      <c r="J115" s="249"/>
      <c r="K115" s="249"/>
      <c r="L115" s="249"/>
      <c r="M115" s="249"/>
      <c r="N115" s="249"/>
      <c r="O115" s="249"/>
      <c r="P115" s="257">
        <v>259.04865999999998</v>
      </c>
      <c r="Q115" s="266"/>
      <c r="R115" s="266"/>
      <c r="S115" s="266"/>
      <c r="T115" s="266"/>
      <c r="U115" s="266"/>
      <c r="V115" s="266"/>
      <c r="W115" s="244"/>
      <c r="X115" s="244"/>
      <c r="Y115" s="244"/>
      <c r="Z115" s="244"/>
      <c r="AA115" s="244"/>
      <c r="AB115" s="244"/>
      <c r="AC115" s="306" t="s">
        <v>884</v>
      </c>
      <c r="AD115" s="307" t="s">
        <v>885</v>
      </c>
    </row>
    <row r="116" spans="1:30" ht="21.75" customHeight="1">
      <c r="A116" s="324" t="s">
        <v>182</v>
      </c>
      <c r="B116" s="303" t="s">
        <v>1116</v>
      </c>
      <c r="C116" s="325">
        <v>242.02</v>
      </c>
      <c r="D116" s="244">
        <f t="shared" si="4"/>
        <v>242.02061</v>
      </c>
      <c r="E116" s="305"/>
      <c r="F116" s="249"/>
      <c r="G116" s="249"/>
      <c r="H116" s="249"/>
      <c r="I116" s="249"/>
      <c r="J116" s="249"/>
      <c r="K116" s="249"/>
      <c r="L116" s="249"/>
      <c r="M116" s="249"/>
      <c r="N116" s="249"/>
      <c r="O116" s="249"/>
      <c r="P116" s="257">
        <v>242.02061</v>
      </c>
      <c r="Q116" s="266"/>
      <c r="R116" s="266"/>
      <c r="S116" s="266"/>
      <c r="T116" s="266"/>
      <c r="U116" s="266"/>
      <c r="V116" s="266"/>
      <c r="W116" s="244"/>
      <c r="X116" s="244"/>
      <c r="Y116" s="244"/>
      <c r="Z116" s="244"/>
      <c r="AA116" s="244"/>
      <c r="AB116" s="244"/>
      <c r="AC116" s="306" t="s">
        <v>884</v>
      </c>
      <c r="AD116" s="307" t="s">
        <v>885</v>
      </c>
    </row>
    <row r="117" spans="1:30" ht="21.75" customHeight="1">
      <c r="A117" s="324" t="s">
        <v>183</v>
      </c>
      <c r="B117" s="303" t="s">
        <v>1117</v>
      </c>
      <c r="C117" s="325">
        <v>100.64</v>
      </c>
      <c r="D117" s="244">
        <f t="shared" si="4"/>
        <v>100.63702000000001</v>
      </c>
      <c r="E117" s="305"/>
      <c r="F117" s="249"/>
      <c r="G117" s="249"/>
      <c r="H117" s="249"/>
      <c r="I117" s="249"/>
      <c r="J117" s="249"/>
      <c r="K117" s="249"/>
      <c r="L117" s="257"/>
      <c r="M117" s="249"/>
      <c r="N117" s="249"/>
      <c r="O117" s="249"/>
      <c r="P117" s="257">
        <v>100.63702000000001</v>
      </c>
      <c r="Q117" s="266"/>
      <c r="R117" s="266"/>
      <c r="S117" s="266"/>
      <c r="T117" s="266"/>
      <c r="U117" s="266"/>
      <c r="V117" s="266"/>
      <c r="W117" s="244"/>
      <c r="X117" s="244"/>
      <c r="Y117" s="244"/>
      <c r="Z117" s="244"/>
      <c r="AA117" s="244"/>
      <c r="AB117" s="244"/>
      <c r="AC117" s="306" t="s">
        <v>884</v>
      </c>
      <c r="AD117" s="307" t="s">
        <v>885</v>
      </c>
    </row>
    <row r="118" spans="1:30" ht="21.75" customHeight="1">
      <c r="A118" s="324" t="s">
        <v>184</v>
      </c>
      <c r="B118" s="303" t="s">
        <v>1118</v>
      </c>
      <c r="C118" s="325">
        <v>282.22000000000003</v>
      </c>
      <c r="D118" s="244">
        <f t="shared" si="4"/>
        <v>282.22016000000002</v>
      </c>
      <c r="E118" s="305"/>
      <c r="F118" s="249"/>
      <c r="G118" s="249"/>
      <c r="H118" s="249"/>
      <c r="I118" s="249"/>
      <c r="J118" s="249"/>
      <c r="K118" s="249"/>
      <c r="L118" s="265"/>
      <c r="M118" s="249"/>
      <c r="N118" s="257">
        <v>282.22016000000002</v>
      </c>
      <c r="O118" s="249"/>
      <c r="P118" s="249"/>
      <c r="Q118" s="250"/>
      <c r="R118" s="250"/>
      <c r="S118" s="250"/>
      <c r="T118" s="250"/>
      <c r="U118" s="250"/>
      <c r="V118" s="250"/>
      <c r="W118" s="244"/>
      <c r="X118" s="244"/>
      <c r="Y118" s="244"/>
      <c r="Z118" s="244"/>
      <c r="AA118" s="244"/>
      <c r="AB118" s="244"/>
      <c r="AC118" s="306" t="s">
        <v>884</v>
      </c>
      <c r="AD118" s="307" t="s">
        <v>885</v>
      </c>
    </row>
    <row r="119" spans="1:30" ht="21.75" customHeight="1">
      <c r="A119" s="324" t="s">
        <v>1119</v>
      </c>
      <c r="B119" s="303" t="s">
        <v>1120</v>
      </c>
      <c r="C119" s="325">
        <v>615</v>
      </c>
      <c r="D119" s="244">
        <f t="shared" si="4"/>
        <v>614.99929999999995</v>
      </c>
      <c r="E119" s="305"/>
      <c r="F119" s="249"/>
      <c r="G119" s="249"/>
      <c r="H119" s="249"/>
      <c r="I119" s="249"/>
      <c r="J119" s="249"/>
      <c r="K119" s="249"/>
      <c r="L119" s="249"/>
      <c r="M119" s="249"/>
      <c r="N119" s="249"/>
      <c r="O119" s="249"/>
      <c r="P119" s="249"/>
      <c r="Q119" s="250"/>
      <c r="R119" s="250"/>
      <c r="S119" s="250"/>
      <c r="T119" s="250"/>
      <c r="U119" s="250"/>
      <c r="V119" s="250"/>
      <c r="W119" s="244"/>
      <c r="X119" s="244">
        <f>293.6775+321.3218</f>
        <v>614.99929999999995</v>
      </c>
      <c r="Y119" s="244"/>
      <c r="Z119" s="244"/>
      <c r="AA119" s="244"/>
      <c r="AB119" s="244"/>
      <c r="AC119" s="306" t="s">
        <v>884</v>
      </c>
      <c r="AD119" s="307" t="s">
        <v>885</v>
      </c>
    </row>
    <row r="120" spans="1:30" ht="21.75" customHeight="1">
      <c r="A120" s="324" t="s">
        <v>1121</v>
      </c>
      <c r="B120" s="326" t="s">
        <v>1122</v>
      </c>
      <c r="C120" s="325">
        <v>83.72</v>
      </c>
      <c r="D120" s="244">
        <f t="shared" si="4"/>
        <v>83.717169999999996</v>
      </c>
      <c r="E120" s="305"/>
      <c r="F120" s="249"/>
      <c r="G120" s="249"/>
      <c r="H120" s="249"/>
      <c r="I120" s="249"/>
      <c r="J120" s="249"/>
      <c r="K120" s="249"/>
      <c r="L120" s="249"/>
      <c r="M120" s="249"/>
      <c r="N120" s="249"/>
      <c r="O120" s="249"/>
      <c r="P120" s="249"/>
      <c r="Q120" s="250"/>
      <c r="R120" s="244">
        <v>83.717169999999996</v>
      </c>
      <c r="S120" s="250"/>
      <c r="T120" s="250"/>
      <c r="U120" s="250"/>
      <c r="V120" s="250"/>
      <c r="W120" s="244"/>
      <c r="X120" s="244"/>
      <c r="Y120" s="244"/>
      <c r="Z120" s="244"/>
      <c r="AA120" s="244"/>
      <c r="AB120" s="244"/>
      <c r="AC120" s="306" t="s">
        <v>884</v>
      </c>
      <c r="AD120" s="307" t="s">
        <v>885</v>
      </c>
    </row>
    <row r="121" spans="1:30" ht="21.75" customHeight="1">
      <c r="A121" s="324" t="s">
        <v>1123</v>
      </c>
      <c r="B121" s="326" t="s">
        <v>1124</v>
      </c>
      <c r="C121" s="325">
        <v>113.23</v>
      </c>
      <c r="D121" s="244">
        <f>F121+H121+J121+L121+N121+P121+R121+T121+V121+X121+Z121+AB121</f>
        <v>113.23214</v>
      </c>
      <c r="E121" s="305"/>
      <c r="F121" s="249"/>
      <c r="G121" s="249"/>
      <c r="H121" s="249"/>
      <c r="I121" s="249"/>
      <c r="J121" s="249"/>
      <c r="K121" s="249"/>
      <c r="L121" s="249"/>
      <c r="M121" s="249"/>
      <c r="N121" s="249"/>
      <c r="O121" s="249"/>
      <c r="P121" s="249"/>
      <c r="Q121" s="250"/>
      <c r="R121" s="244">
        <v>113.23214</v>
      </c>
      <c r="S121" s="250"/>
      <c r="T121" s="250"/>
      <c r="U121" s="250"/>
      <c r="V121" s="250"/>
      <c r="W121" s="244"/>
      <c r="X121" s="244"/>
      <c r="Y121" s="244"/>
      <c r="Z121" s="244"/>
      <c r="AA121" s="244"/>
      <c r="AB121" s="244"/>
      <c r="AC121" s="306" t="s">
        <v>884</v>
      </c>
      <c r="AD121" s="307" t="s">
        <v>885</v>
      </c>
    </row>
    <row r="122" spans="1:30" ht="21.75" customHeight="1">
      <c r="A122" s="324" t="s">
        <v>1125</v>
      </c>
      <c r="B122" s="326" t="s">
        <v>560</v>
      </c>
      <c r="C122" s="325">
        <v>86.4</v>
      </c>
      <c r="D122" s="244">
        <f t="shared" si="4"/>
        <v>86.403490000000005</v>
      </c>
      <c r="E122" s="305"/>
      <c r="F122" s="249"/>
      <c r="G122" s="249"/>
      <c r="H122" s="249"/>
      <c r="I122" s="249"/>
      <c r="J122" s="249"/>
      <c r="K122" s="249"/>
      <c r="L122" s="249"/>
      <c r="M122" s="249"/>
      <c r="N122" s="249"/>
      <c r="O122" s="249"/>
      <c r="P122" s="249"/>
      <c r="Q122" s="250"/>
      <c r="R122" s="250"/>
      <c r="S122" s="250"/>
      <c r="T122" s="258">
        <v>86.403490000000005</v>
      </c>
      <c r="U122" s="250"/>
      <c r="V122" s="250"/>
      <c r="W122" s="244"/>
      <c r="X122" s="244"/>
      <c r="Y122" s="244"/>
      <c r="Z122" s="258"/>
      <c r="AA122" s="244"/>
      <c r="AB122" s="244"/>
      <c r="AC122" s="306" t="s">
        <v>884</v>
      </c>
      <c r="AD122" s="307" t="s">
        <v>885</v>
      </c>
    </row>
    <row r="123" spans="1:30" ht="18" customHeight="1">
      <c r="A123" s="322" t="s">
        <v>1126</v>
      </c>
      <c r="B123" s="322"/>
      <c r="C123" s="301">
        <f>SUM(C124:C128)</f>
        <v>1590.8999999999999</v>
      </c>
      <c r="D123" s="301">
        <f>SUM(D124:D128)</f>
        <v>1590.8972900000001</v>
      </c>
      <c r="E123" s="301">
        <f t="shared" ref="E123:AB123" si="5">SUM(E124:E128)</f>
        <v>0</v>
      </c>
      <c r="F123" s="301">
        <f t="shared" si="5"/>
        <v>0</v>
      </c>
      <c r="G123" s="301">
        <f t="shared" si="5"/>
        <v>0</v>
      </c>
      <c r="H123" s="301">
        <f t="shared" si="5"/>
        <v>0</v>
      </c>
      <c r="I123" s="301">
        <f t="shared" si="5"/>
        <v>0</v>
      </c>
      <c r="J123" s="301">
        <f t="shared" si="5"/>
        <v>0</v>
      </c>
      <c r="K123" s="301">
        <f t="shared" si="5"/>
        <v>0</v>
      </c>
      <c r="L123" s="301">
        <f t="shared" si="5"/>
        <v>442.95073000000002</v>
      </c>
      <c r="M123" s="301">
        <f t="shared" si="5"/>
        <v>0</v>
      </c>
      <c r="N123" s="301">
        <f t="shared" si="5"/>
        <v>696.4509700000001</v>
      </c>
      <c r="O123" s="301">
        <f t="shared" si="5"/>
        <v>0</v>
      </c>
      <c r="P123" s="301">
        <f t="shared" si="5"/>
        <v>0</v>
      </c>
      <c r="Q123" s="301">
        <f t="shared" si="5"/>
        <v>0</v>
      </c>
      <c r="R123" s="301">
        <f t="shared" si="5"/>
        <v>451.49558999999999</v>
      </c>
      <c r="S123" s="301">
        <f t="shared" si="5"/>
        <v>0</v>
      </c>
      <c r="T123" s="301">
        <f t="shared" si="5"/>
        <v>0</v>
      </c>
      <c r="U123" s="301">
        <f t="shared" si="5"/>
        <v>0</v>
      </c>
      <c r="V123" s="301">
        <f t="shared" si="5"/>
        <v>0</v>
      </c>
      <c r="W123" s="301">
        <f t="shared" si="5"/>
        <v>0</v>
      </c>
      <c r="X123" s="301">
        <f t="shared" si="5"/>
        <v>0</v>
      </c>
      <c r="Y123" s="301">
        <f t="shared" si="5"/>
        <v>0</v>
      </c>
      <c r="Z123" s="301">
        <f t="shared" si="5"/>
        <v>0</v>
      </c>
      <c r="AA123" s="301">
        <f t="shared" si="5"/>
        <v>0</v>
      </c>
      <c r="AB123" s="301">
        <f t="shared" si="5"/>
        <v>0</v>
      </c>
      <c r="AC123" s="306"/>
      <c r="AD123" s="306"/>
    </row>
    <row r="124" spans="1:30" ht="18" customHeight="1">
      <c r="A124" s="324" t="s">
        <v>188</v>
      </c>
      <c r="B124" s="254" t="s">
        <v>1127</v>
      </c>
      <c r="C124" s="325">
        <v>231.31</v>
      </c>
      <c r="D124" s="244">
        <f t="shared" si="4"/>
        <v>231.30977999999999</v>
      </c>
      <c r="E124" s="305"/>
      <c r="F124" s="249"/>
      <c r="G124" s="249"/>
      <c r="H124" s="249"/>
      <c r="I124" s="249"/>
      <c r="J124" s="249"/>
      <c r="K124" s="249"/>
      <c r="L124" s="249"/>
      <c r="M124" s="249"/>
      <c r="N124" s="249"/>
      <c r="O124" s="249"/>
      <c r="P124" s="249"/>
      <c r="Q124" s="250"/>
      <c r="R124" s="244">
        <v>231.30977999999999</v>
      </c>
      <c r="S124" s="250"/>
      <c r="T124" s="250"/>
      <c r="U124" s="250"/>
      <c r="V124" s="250"/>
      <c r="W124" s="244"/>
      <c r="X124" s="244"/>
      <c r="Y124" s="244"/>
      <c r="Z124" s="244"/>
      <c r="AA124" s="244"/>
      <c r="AB124" s="244"/>
      <c r="AC124" s="306" t="s">
        <v>884</v>
      </c>
      <c r="AD124" s="307" t="s">
        <v>885</v>
      </c>
    </row>
    <row r="125" spans="1:30">
      <c r="A125" s="324" t="s">
        <v>191</v>
      </c>
      <c r="B125" s="254" t="s">
        <v>1128</v>
      </c>
      <c r="C125" s="325">
        <v>240.34</v>
      </c>
      <c r="D125" s="244">
        <f t="shared" si="4"/>
        <v>240.33872</v>
      </c>
      <c r="E125" s="305"/>
      <c r="F125" s="249"/>
      <c r="G125" s="249"/>
      <c r="H125" s="249"/>
      <c r="I125" s="249"/>
      <c r="J125" s="249"/>
      <c r="K125" s="249"/>
      <c r="L125" s="257">
        <v>240.33872</v>
      </c>
      <c r="M125" s="249"/>
      <c r="N125" s="249"/>
      <c r="O125" s="249"/>
      <c r="P125" s="249"/>
      <c r="Q125" s="250"/>
      <c r="R125" s="250"/>
      <c r="S125" s="250"/>
      <c r="T125" s="250"/>
      <c r="U125" s="250"/>
      <c r="V125" s="250"/>
      <c r="W125" s="244"/>
      <c r="X125" s="244"/>
      <c r="Y125" s="244"/>
      <c r="Z125" s="244"/>
      <c r="AA125" s="244"/>
      <c r="AB125" s="244"/>
      <c r="AC125" s="306" t="s">
        <v>884</v>
      </c>
      <c r="AD125" s="307" t="s">
        <v>885</v>
      </c>
    </row>
    <row r="126" spans="1:30" ht="15" customHeight="1">
      <c r="A126" s="324" t="s">
        <v>195</v>
      </c>
      <c r="B126" s="254" t="s">
        <v>1129</v>
      </c>
      <c r="C126" s="325">
        <v>338.84</v>
      </c>
      <c r="D126" s="244">
        <f t="shared" si="4"/>
        <v>338.84469000000001</v>
      </c>
      <c r="E126" s="305"/>
      <c r="F126" s="249"/>
      <c r="G126" s="249"/>
      <c r="H126" s="249"/>
      <c r="I126" s="249"/>
      <c r="J126" s="249"/>
      <c r="K126" s="249"/>
      <c r="L126" s="249"/>
      <c r="M126" s="249"/>
      <c r="N126" s="257">
        <v>338.84469000000001</v>
      </c>
      <c r="O126" s="249"/>
      <c r="P126" s="249"/>
      <c r="Q126" s="250"/>
      <c r="R126" s="250"/>
      <c r="S126" s="250"/>
      <c r="T126" s="250"/>
      <c r="U126" s="250"/>
      <c r="V126" s="250"/>
      <c r="W126" s="244"/>
      <c r="X126" s="244"/>
      <c r="Y126" s="244"/>
      <c r="Z126" s="244"/>
      <c r="AA126" s="244"/>
      <c r="AB126" s="244"/>
      <c r="AC126" s="306" t="s">
        <v>884</v>
      </c>
      <c r="AD126" s="307" t="s">
        <v>885</v>
      </c>
    </row>
    <row r="127" spans="1:30" ht="15" customHeight="1">
      <c r="A127" s="324" t="s">
        <v>196</v>
      </c>
      <c r="B127" s="254" t="s">
        <v>1114</v>
      </c>
      <c r="C127" s="325">
        <v>357.61</v>
      </c>
      <c r="D127" s="244">
        <f t="shared" si="4"/>
        <v>357.60628000000003</v>
      </c>
      <c r="E127" s="305"/>
      <c r="F127" s="249"/>
      <c r="G127" s="249"/>
      <c r="H127" s="249"/>
      <c r="I127" s="249"/>
      <c r="J127" s="249"/>
      <c r="K127" s="249"/>
      <c r="L127" s="249"/>
      <c r="M127" s="249"/>
      <c r="N127" s="257">
        <v>357.60628000000003</v>
      </c>
      <c r="O127" s="249"/>
      <c r="P127" s="249"/>
      <c r="Q127" s="250"/>
      <c r="R127" s="250"/>
      <c r="S127" s="250"/>
      <c r="T127" s="250"/>
      <c r="U127" s="250"/>
      <c r="V127" s="250"/>
      <c r="W127" s="244"/>
      <c r="X127" s="244"/>
      <c r="Y127" s="244"/>
      <c r="Z127" s="244"/>
      <c r="AA127" s="244"/>
      <c r="AB127" s="244"/>
      <c r="AC127" s="306" t="s">
        <v>884</v>
      </c>
      <c r="AD127" s="307" t="s">
        <v>885</v>
      </c>
    </row>
    <row r="128" spans="1:30">
      <c r="A128" s="324" t="s">
        <v>197</v>
      </c>
      <c r="B128" s="254" t="s">
        <v>1130</v>
      </c>
      <c r="C128" s="325">
        <v>422.8</v>
      </c>
      <c r="D128" s="244">
        <f t="shared" si="4"/>
        <v>422.79782</v>
      </c>
      <c r="E128" s="305"/>
      <c r="F128" s="249"/>
      <c r="G128" s="249"/>
      <c r="H128" s="249"/>
      <c r="I128" s="249"/>
      <c r="J128" s="249"/>
      <c r="K128" s="249"/>
      <c r="L128" s="257">
        <v>202.61201</v>
      </c>
      <c r="M128" s="249"/>
      <c r="N128" s="249"/>
      <c r="O128" s="249"/>
      <c r="P128" s="249"/>
      <c r="Q128" s="250"/>
      <c r="R128" s="258">
        <v>220.18581</v>
      </c>
      <c r="S128" s="250"/>
      <c r="T128" s="250"/>
      <c r="U128" s="250"/>
      <c r="V128" s="250"/>
      <c r="W128" s="244"/>
      <c r="X128" s="258"/>
      <c r="Y128" s="244"/>
      <c r="Z128" s="244"/>
      <c r="AA128" s="244"/>
      <c r="AB128" s="244"/>
      <c r="AC128" s="306" t="s">
        <v>884</v>
      </c>
      <c r="AD128" s="307" t="s">
        <v>885</v>
      </c>
    </row>
    <row r="129" spans="1:30" ht="19.5" customHeight="1">
      <c r="A129" s="322" t="s">
        <v>1131</v>
      </c>
      <c r="B129" s="327"/>
      <c r="C129" s="323">
        <f>C130</f>
        <v>34.49</v>
      </c>
      <c r="D129" s="323">
        <f>D130</f>
        <v>34.492789999999999</v>
      </c>
      <c r="E129" s="323">
        <f t="shared" ref="E129:AB129" si="6">E130</f>
        <v>0</v>
      </c>
      <c r="F129" s="323">
        <f t="shared" si="6"/>
        <v>0</v>
      </c>
      <c r="G129" s="323">
        <f t="shared" si="6"/>
        <v>0</v>
      </c>
      <c r="H129" s="323">
        <f t="shared" si="6"/>
        <v>0</v>
      </c>
      <c r="I129" s="323">
        <f t="shared" si="6"/>
        <v>0</v>
      </c>
      <c r="J129" s="323">
        <f t="shared" si="6"/>
        <v>0</v>
      </c>
      <c r="K129" s="323">
        <f t="shared" si="6"/>
        <v>0</v>
      </c>
      <c r="L129" s="323">
        <f t="shared" si="6"/>
        <v>0</v>
      </c>
      <c r="M129" s="323">
        <f t="shared" si="6"/>
        <v>0</v>
      </c>
      <c r="N129" s="323">
        <f t="shared" si="6"/>
        <v>34.492789999999999</v>
      </c>
      <c r="O129" s="323">
        <f t="shared" si="6"/>
        <v>0</v>
      </c>
      <c r="P129" s="323">
        <f t="shared" si="6"/>
        <v>0</v>
      </c>
      <c r="Q129" s="323">
        <f t="shared" si="6"/>
        <v>0</v>
      </c>
      <c r="R129" s="323">
        <f t="shared" si="6"/>
        <v>0</v>
      </c>
      <c r="S129" s="323">
        <f t="shared" si="6"/>
        <v>0</v>
      </c>
      <c r="T129" s="323">
        <f t="shared" si="6"/>
        <v>0</v>
      </c>
      <c r="U129" s="323">
        <f t="shared" si="6"/>
        <v>0</v>
      </c>
      <c r="V129" s="323">
        <f t="shared" si="6"/>
        <v>0</v>
      </c>
      <c r="W129" s="323">
        <f t="shared" si="6"/>
        <v>0</v>
      </c>
      <c r="X129" s="323">
        <f t="shared" si="6"/>
        <v>0</v>
      </c>
      <c r="Y129" s="323">
        <f t="shared" si="6"/>
        <v>0</v>
      </c>
      <c r="Z129" s="323">
        <f t="shared" si="6"/>
        <v>0</v>
      </c>
      <c r="AA129" s="323">
        <f t="shared" si="6"/>
        <v>0</v>
      </c>
      <c r="AB129" s="323">
        <f t="shared" si="6"/>
        <v>0</v>
      </c>
      <c r="AC129" s="328"/>
      <c r="AD129" s="306"/>
    </row>
    <row r="130" spans="1:30" ht="15" customHeight="1">
      <c r="A130" s="260" t="s">
        <v>557</v>
      </c>
      <c r="B130" s="254" t="s">
        <v>1132</v>
      </c>
      <c r="C130" s="257">
        <v>34.49</v>
      </c>
      <c r="D130" s="244">
        <f t="shared" si="4"/>
        <v>34.492789999999999</v>
      </c>
      <c r="E130" s="305"/>
      <c r="F130" s="249"/>
      <c r="G130" s="249"/>
      <c r="H130" s="249"/>
      <c r="I130" s="249"/>
      <c r="J130" s="249"/>
      <c r="K130" s="249"/>
      <c r="L130" s="257"/>
      <c r="M130" s="249"/>
      <c r="N130" s="257">
        <v>34.492789999999999</v>
      </c>
      <c r="O130" s="249"/>
      <c r="P130" s="249"/>
      <c r="Q130" s="250"/>
      <c r="R130" s="250"/>
      <c r="S130" s="250"/>
      <c r="T130" s="250"/>
      <c r="U130" s="250"/>
      <c r="V130" s="250"/>
      <c r="W130" s="244"/>
      <c r="X130" s="244"/>
      <c r="Y130" s="244"/>
      <c r="Z130" s="244"/>
      <c r="AA130" s="244"/>
      <c r="AB130" s="244"/>
      <c r="AC130" s="306" t="s">
        <v>884</v>
      </c>
      <c r="AD130" s="307" t="s">
        <v>885</v>
      </c>
    </row>
    <row r="131" spans="1:30">
      <c r="A131" s="1441" t="s">
        <v>88</v>
      </c>
      <c r="B131" s="1442"/>
      <c r="C131" s="323">
        <f>C132</f>
        <v>16705.599999999999</v>
      </c>
      <c r="D131" s="323">
        <f>D132+D133</f>
        <v>16927.706770000001</v>
      </c>
      <c r="E131" s="323">
        <f t="shared" ref="E131:AB131" si="7">E132+E133</f>
        <v>0</v>
      </c>
      <c r="F131" s="323">
        <f t="shared" si="7"/>
        <v>469.23497000000003</v>
      </c>
      <c r="G131" s="323">
        <f t="shared" si="7"/>
        <v>0</v>
      </c>
      <c r="H131" s="323">
        <f t="shared" si="7"/>
        <v>423.48570999999998</v>
      </c>
      <c r="I131" s="323">
        <f t="shared" si="7"/>
        <v>0</v>
      </c>
      <c r="J131" s="323">
        <f t="shared" si="7"/>
        <v>931.41259000000002</v>
      </c>
      <c r="K131" s="323">
        <f t="shared" si="7"/>
        <v>0</v>
      </c>
      <c r="L131" s="323">
        <f t="shared" si="7"/>
        <v>1641.1430699999999</v>
      </c>
      <c r="M131" s="323">
        <f t="shared" si="7"/>
        <v>0</v>
      </c>
      <c r="N131" s="323">
        <f t="shared" si="7"/>
        <v>914.73112000000003</v>
      </c>
      <c r="O131" s="323">
        <f t="shared" si="7"/>
        <v>0</v>
      </c>
      <c r="P131" s="323">
        <f t="shared" si="7"/>
        <v>1054.75432</v>
      </c>
      <c r="Q131" s="323">
        <f t="shared" si="7"/>
        <v>0</v>
      </c>
      <c r="R131" s="323">
        <f t="shared" si="7"/>
        <v>1128.3371699999998</v>
      </c>
      <c r="S131" s="323">
        <f t="shared" si="7"/>
        <v>0</v>
      </c>
      <c r="T131" s="323">
        <f t="shared" si="7"/>
        <v>1672.99638</v>
      </c>
      <c r="U131" s="323">
        <f t="shared" si="7"/>
        <v>0</v>
      </c>
      <c r="V131" s="323">
        <f t="shared" si="7"/>
        <v>1274.0387000000001</v>
      </c>
      <c r="W131" s="323">
        <f t="shared" si="7"/>
        <v>0</v>
      </c>
      <c r="X131" s="323">
        <f t="shared" si="7"/>
        <v>911.4941</v>
      </c>
      <c r="Y131" s="323">
        <f t="shared" si="7"/>
        <v>0</v>
      </c>
      <c r="Z131" s="323">
        <f t="shared" si="7"/>
        <v>1083.96901</v>
      </c>
      <c r="AA131" s="323">
        <f t="shared" si="7"/>
        <v>0</v>
      </c>
      <c r="AB131" s="323">
        <f t="shared" si="7"/>
        <v>5422.1096299999999</v>
      </c>
      <c r="AC131" s="306"/>
      <c r="AD131" s="306"/>
    </row>
    <row r="132" spans="1:30">
      <c r="A132" s="1443" t="s">
        <v>224</v>
      </c>
      <c r="B132" s="1445" t="s">
        <v>649</v>
      </c>
      <c r="C132" s="1416">
        <v>16705.599999999999</v>
      </c>
      <c r="D132" s="244">
        <f t="shared" si="4"/>
        <v>12663.293159999999</v>
      </c>
      <c r="E132" s="305"/>
      <c r="F132" s="257">
        <f>441.6573+27.57767</f>
        <v>469.23497000000003</v>
      </c>
      <c r="G132" s="265"/>
      <c r="H132" s="257">
        <f>7.74604+415.73967</f>
        <v>423.48570999999998</v>
      </c>
      <c r="I132" s="249"/>
      <c r="J132" s="257">
        <f>917.50229+13.9103</f>
        <v>931.41259000000002</v>
      </c>
      <c r="K132" s="249"/>
      <c r="L132" s="257">
        <f>1582.09503+59.04804</f>
        <v>1641.1430699999999</v>
      </c>
      <c r="M132" s="249"/>
      <c r="N132" s="257">
        <f>113.40332+801.3278</f>
        <v>914.73112000000003</v>
      </c>
      <c r="O132" s="249"/>
      <c r="P132" s="257">
        <f>543.38169+22.50398</f>
        <v>565.88567</v>
      </c>
      <c r="Q132" s="266"/>
      <c r="R132" s="244">
        <f>67.51395+492.86305</f>
        <v>560.37699999999995</v>
      </c>
      <c r="S132" s="266"/>
      <c r="T132" s="244">
        <f>1055.42561+203.0275</f>
        <v>1258.4531099999999</v>
      </c>
      <c r="U132" s="266"/>
      <c r="V132" s="244">
        <f>76.11924+551.76124</f>
        <v>627.88048000000003</v>
      </c>
      <c r="W132" s="244"/>
      <c r="X132" s="244">
        <f>24.75688+384.21893</f>
        <v>408.97581000000002</v>
      </c>
      <c r="Y132" s="244"/>
      <c r="Z132" s="244">
        <f>134.88588+208.34927</f>
        <v>343.23514999999998</v>
      </c>
      <c r="AA132" s="244"/>
      <c r="AB132" s="244">
        <f>3734.57703+16.96466+766.93679</f>
        <v>4518.4784799999998</v>
      </c>
      <c r="AC132" s="306" t="s">
        <v>884</v>
      </c>
      <c r="AD132" s="307" t="s">
        <v>885</v>
      </c>
    </row>
    <row r="133" spans="1:30" ht="15.75" customHeight="1">
      <c r="A133" s="1444"/>
      <c r="B133" s="1446"/>
      <c r="C133" s="1417"/>
      <c r="D133" s="244">
        <f t="shared" si="4"/>
        <v>4264.4136100000005</v>
      </c>
      <c r="E133" s="305"/>
      <c r="F133" s="257"/>
      <c r="G133" s="249"/>
      <c r="H133" s="257"/>
      <c r="I133" s="249"/>
      <c r="J133" s="257"/>
      <c r="K133" s="249"/>
      <c r="L133" s="257"/>
      <c r="M133" s="249"/>
      <c r="N133" s="257"/>
      <c r="O133" s="249"/>
      <c r="P133" s="257">
        <v>488.86865</v>
      </c>
      <c r="Q133" s="266"/>
      <c r="R133" s="244">
        <f>567.96017</f>
        <v>567.96016999999995</v>
      </c>
      <c r="S133" s="266"/>
      <c r="T133" s="244">
        <v>414.54327000000001</v>
      </c>
      <c r="U133" s="266"/>
      <c r="V133" s="244">
        <v>646.15822000000003</v>
      </c>
      <c r="W133" s="244"/>
      <c r="X133" s="244">
        <v>502.51828999999998</v>
      </c>
      <c r="Y133" s="244"/>
      <c r="Z133" s="244">
        <v>740.73386000000005</v>
      </c>
      <c r="AA133" s="244"/>
      <c r="AB133" s="244">
        <f>55.85674+847.77441</f>
        <v>903.63114999999993</v>
      </c>
      <c r="AC133" s="306" t="s">
        <v>884</v>
      </c>
      <c r="AD133" s="307" t="s">
        <v>885</v>
      </c>
    </row>
    <row r="134" spans="1:30" ht="15" customHeight="1">
      <c r="A134" s="1435" t="s">
        <v>1133</v>
      </c>
      <c r="B134" s="1436"/>
      <c r="C134" s="329">
        <f>SUM(C136:C149)</f>
        <v>3281.4700000000003</v>
      </c>
      <c r="D134" s="330">
        <f>SUM(D136:D149)</f>
        <v>2659.7971100000004</v>
      </c>
      <c r="E134" s="330">
        <f t="shared" ref="E134:AB134" si="8">SUM(E136:E149)</f>
        <v>0</v>
      </c>
      <c r="F134" s="330">
        <f t="shared" si="8"/>
        <v>0</v>
      </c>
      <c r="G134" s="330">
        <f t="shared" si="8"/>
        <v>0</v>
      </c>
      <c r="H134" s="330">
        <f t="shared" si="8"/>
        <v>0</v>
      </c>
      <c r="I134" s="330">
        <f t="shared" si="8"/>
        <v>0</v>
      </c>
      <c r="J134" s="330">
        <f t="shared" si="8"/>
        <v>0</v>
      </c>
      <c r="K134" s="330">
        <f t="shared" si="8"/>
        <v>0</v>
      </c>
      <c r="L134" s="330">
        <f t="shared" si="8"/>
        <v>378.80367999999999</v>
      </c>
      <c r="M134" s="330">
        <f t="shared" si="8"/>
        <v>0</v>
      </c>
      <c r="N134" s="330">
        <f t="shared" si="8"/>
        <v>0</v>
      </c>
      <c r="O134" s="330">
        <f t="shared" si="8"/>
        <v>0</v>
      </c>
      <c r="P134" s="330">
        <f t="shared" si="8"/>
        <v>0</v>
      </c>
      <c r="Q134" s="330">
        <f t="shared" si="8"/>
        <v>0</v>
      </c>
      <c r="R134" s="330">
        <f t="shared" si="8"/>
        <v>529.92273999999998</v>
      </c>
      <c r="S134" s="330">
        <f t="shared" si="8"/>
        <v>0</v>
      </c>
      <c r="T134" s="330">
        <f t="shared" si="8"/>
        <v>0</v>
      </c>
      <c r="U134" s="330">
        <f t="shared" si="8"/>
        <v>0</v>
      </c>
      <c r="V134" s="330">
        <f t="shared" si="8"/>
        <v>404.31295</v>
      </c>
      <c r="W134" s="330">
        <f t="shared" si="8"/>
        <v>0</v>
      </c>
      <c r="X134" s="330">
        <f t="shared" si="8"/>
        <v>0</v>
      </c>
      <c r="Y134" s="330">
        <f t="shared" si="8"/>
        <v>0</v>
      </c>
      <c r="Z134" s="330">
        <f t="shared" si="8"/>
        <v>484.45447999999999</v>
      </c>
      <c r="AA134" s="330">
        <f t="shared" si="8"/>
        <v>0</v>
      </c>
      <c r="AB134" s="330">
        <f t="shared" si="8"/>
        <v>862.30325999999991</v>
      </c>
      <c r="AC134" s="306"/>
      <c r="AD134" s="306"/>
    </row>
    <row r="135" spans="1:30" ht="27.75" customHeight="1">
      <c r="A135" s="1435" t="s">
        <v>1134</v>
      </c>
      <c r="B135" s="1436"/>
      <c r="C135" s="331"/>
      <c r="D135" s="257"/>
      <c r="E135" s="305"/>
      <c r="F135" s="249"/>
      <c r="G135" s="249"/>
      <c r="H135" s="249"/>
      <c r="I135" s="249"/>
      <c r="J135" s="249"/>
      <c r="K135" s="249"/>
      <c r="L135" s="249"/>
      <c r="M135" s="249"/>
      <c r="N135" s="249"/>
      <c r="O135" s="249"/>
      <c r="P135" s="249"/>
      <c r="Q135" s="250"/>
      <c r="R135" s="250"/>
      <c r="S135" s="250"/>
      <c r="T135" s="250"/>
      <c r="U135" s="250"/>
      <c r="V135" s="250"/>
      <c r="W135" s="244"/>
      <c r="X135" s="244"/>
      <c r="Y135" s="244"/>
      <c r="Z135" s="244"/>
      <c r="AA135" s="244"/>
      <c r="AB135" s="244"/>
      <c r="AC135" s="306"/>
      <c r="AD135" s="306"/>
    </row>
    <row r="136" spans="1:30" ht="30.75" customHeight="1">
      <c r="A136" s="260" t="s">
        <v>1135</v>
      </c>
      <c r="B136" s="254" t="s">
        <v>1136</v>
      </c>
      <c r="C136" s="325">
        <v>49.99</v>
      </c>
      <c r="D136" s="244">
        <f t="shared" ref="D136:D156" si="9">F136+H136+J136+L136+N136+P136+R136+T136+V136+X136+Z136+AB136</f>
        <v>49.9895</v>
      </c>
      <c r="E136" s="305"/>
      <c r="F136" s="249"/>
      <c r="G136" s="249"/>
      <c r="H136" s="249"/>
      <c r="I136" s="249"/>
      <c r="J136" s="249"/>
      <c r="K136" s="249"/>
      <c r="L136" s="257">
        <v>49.9895</v>
      </c>
      <c r="M136" s="249"/>
      <c r="N136" s="249"/>
      <c r="O136" s="249"/>
      <c r="P136" s="249"/>
      <c r="Q136" s="250"/>
      <c r="R136" s="250"/>
      <c r="S136" s="332"/>
      <c r="T136" s="250"/>
      <c r="U136" s="250"/>
      <c r="V136" s="250"/>
      <c r="W136" s="244"/>
      <c r="X136" s="244"/>
      <c r="Y136" s="244"/>
      <c r="Z136" s="244"/>
      <c r="AA136" s="244"/>
      <c r="AB136" s="244"/>
      <c r="AC136" s="306" t="s">
        <v>884</v>
      </c>
      <c r="AD136" s="307" t="s">
        <v>885</v>
      </c>
    </row>
    <row r="137" spans="1:30" ht="24" customHeight="1">
      <c r="A137" s="260" t="s">
        <v>1137</v>
      </c>
      <c r="B137" s="254" t="s">
        <v>1138</v>
      </c>
      <c r="C137" s="325">
        <v>43.54</v>
      </c>
      <c r="D137" s="244">
        <f t="shared" si="9"/>
        <v>43.539920000000002</v>
      </c>
      <c r="E137" s="305"/>
      <c r="F137" s="249"/>
      <c r="G137" s="249"/>
      <c r="H137" s="249"/>
      <c r="I137" s="249"/>
      <c r="J137" s="249"/>
      <c r="K137" s="249"/>
      <c r="L137" s="257">
        <v>43.539920000000002</v>
      </c>
      <c r="M137" s="249"/>
      <c r="N137" s="249"/>
      <c r="O137" s="249"/>
      <c r="P137" s="249"/>
      <c r="Q137" s="250"/>
      <c r="R137" s="250"/>
      <c r="S137" s="250"/>
      <c r="T137" s="250"/>
      <c r="U137" s="250"/>
      <c r="V137" s="250"/>
      <c r="W137" s="244"/>
      <c r="X137" s="244"/>
      <c r="Y137" s="244"/>
      <c r="Z137" s="244"/>
      <c r="AA137" s="244"/>
      <c r="AB137" s="244"/>
      <c r="AC137" s="306" t="s">
        <v>884</v>
      </c>
      <c r="AD137" s="307" t="s">
        <v>885</v>
      </c>
    </row>
    <row r="138" spans="1:30" ht="29.25" customHeight="1">
      <c r="A138" s="260" t="s">
        <v>1139</v>
      </c>
      <c r="B138" s="254" t="s">
        <v>1140</v>
      </c>
      <c r="C138" s="325">
        <v>370</v>
      </c>
      <c r="D138" s="244">
        <f t="shared" si="9"/>
        <v>363.34953999999999</v>
      </c>
      <c r="E138" s="305"/>
      <c r="F138" s="249"/>
      <c r="G138" s="249"/>
      <c r="H138" s="249"/>
      <c r="I138" s="249"/>
      <c r="J138" s="249"/>
      <c r="K138" s="249"/>
      <c r="L138" s="249"/>
      <c r="M138" s="249"/>
      <c r="N138" s="249"/>
      <c r="O138" s="249"/>
      <c r="P138" s="249"/>
      <c r="Q138" s="250"/>
      <c r="R138" s="250"/>
      <c r="S138" s="250"/>
      <c r="T138" s="250"/>
      <c r="U138" s="250"/>
      <c r="V138" s="250"/>
      <c r="W138" s="244"/>
      <c r="X138" s="244"/>
      <c r="Y138" s="244"/>
      <c r="Z138" s="244"/>
      <c r="AA138" s="244"/>
      <c r="AB138" s="244">
        <v>363.34953999999999</v>
      </c>
      <c r="AC138" s="306" t="s">
        <v>884</v>
      </c>
      <c r="AD138" s="307" t="s">
        <v>885</v>
      </c>
    </row>
    <row r="139" spans="1:30" ht="24" customHeight="1">
      <c r="A139" s="260" t="s">
        <v>1141</v>
      </c>
      <c r="B139" s="254" t="s">
        <v>1142</v>
      </c>
      <c r="C139" s="325">
        <v>484.45</v>
      </c>
      <c r="D139" s="244">
        <f t="shared" si="9"/>
        <v>484.45447999999999</v>
      </c>
      <c r="E139" s="305"/>
      <c r="F139" s="249"/>
      <c r="G139" s="249"/>
      <c r="H139" s="249"/>
      <c r="I139" s="249"/>
      <c r="J139" s="249"/>
      <c r="K139" s="249"/>
      <c r="L139" s="249"/>
      <c r="M139" s="249"/>
      <c r="N139" s="249"/>
      <c r="O139" s="249"/>
      <c r="P139" s="249"/>
      <c r="Q139" s="250"/>
      <c r="R139" s="250"/>
      <c r="S139" s="250"/>
      <c r="T139" s="250"/>
      <c r="U139" s="250"/>
      <c r="V139" s="250"/>
      <c r="W139" s="244"/>
      <c r="X139" s="244"/>
      <c r="Y139" s="244"/>
      <c r="Z139" s="244">
        <v>484.45447999999999</v>
      </c>
      <c r="AA139" s="244"/>
      <c r="AB139" s="244"/>
      <c r="AC139" s="306" t="s">
        <v>884</v>
      </c>
      <c r="AD139" s="307" t="s">
        <v>885</v>
      </c>
    </row>
    <row r="140" spans="1:30" ht="20.25" customHeight="1">
      <c r="A140" s="260" t="s">
        <v>1143</v>
      </c>
      <c r="B140" s="254" t="s">
        <v>1144</v>
      </c>
      <c r="C140" s="325">
        <v>49.99</v>
      </c>
      <c r="D140" s="244">
        <f t="shared" si="9"/>
        <v>49.994759999999999</v>
      </c>
      <c r="E140" s="305"/>
      <c r="F140" s="249"/>
      <c r="G140" s="249"/>
      <c r="H140" s="249"/>
      <c r="I140" s="249"/>
      <c r="J140" s="249"/>
      <c r="K140" s="249"/>
      <c r="L140" s="249"/>
      <c r="M140" s="249"/>
      <c r="N140" s="249"/>
      <c r="O140" s="249"/>
      <c r="P140" s="249"/>
      <c r="Q140" s="250"/>
      <c r="R140" s="250"/>
      <c r="S140" s="250"/>
      <c r="T140" s="250"/>
      <c r="U140" s="250"/>
      <c r="V140" s="258">
        <v>49.994759999999999</v>
      </c>
      <c r="W140" s="244"/>
      <c r="X140" s="244"/>
      <c r="Y140" s="244"/>
      <c r="Z140" s="244"/>
      <c r="AA140" s="244"/>
      <c r="AB140" s="258"/>
      <c r="AC140" s="306" t="s">
        <v>884</v>
      </c>
      <c r="AD140" s="307" t="s">
        <v>885</v>
      </c>
    </row>
    <row r="141" spans="1:30" ht="30" customHeight="1">
      <c r="A141" s="260" t="s">
        <v>1145</v>
      </c>
      <c r="B141" s="254" t="s">
        <v>1146</v>
      </c>
      <c r="C141" s="325">
        <v>235.78</v>
      </c>
      <c r="D141" s="244">
        <f t="shared" si="9"/>
        <v>235.78471999999999</v>
      </c>
      <c r="E141" s="305"/>
      <c r="F141" s="249"/>
      <c r="G141" s="249"/>
      <c r="H141" s="249"/>
      <c r="I141" s="249"/>
      <c r="J141" s="249"/>
      <c r="K141" s="249"/>
      <c r="L141" s="257">
        <v>235.78471999999999</v>
      </c>
      <c r="M141" s="249"/>
      <c r="N141" s="249"/>
      <c r="O141" s="249"/>
      <c r="P141" s="249"/>
      <c r="Q141" s="250"/>
      <c r="R141" s="250"/>
      <c r="S141" s="250"/>
      <c r="T141" s="250"/>
      <c r="U141" s="250"/>
      <c r="V141" s="250"/>
      <c r="W141" s="244"/>
      <c r="X141" s="244"/>
      <c r="Y141" s="244"/>
      <c r="Z141" s="244"/>
      <c r="AA141" s="244"/>
      <c r="AB141" s="244"/>
      <c r="AC141" s="306" t="s">
        <v>884</v>
      </c>
      <c r="AD141" s="307" t="s">
        <v>885</v>
      </c>
    </row>
    <row r="142" spans="1:30" ht="29.25" customHeight="1">
      <c r="A142" s="260" t="s">
        <v>1147</v>
      </c>
      <c r="B142" s="254" t="s">
        <v>1148</v>
      </c>
      <c r="C142" s="333">
        <v>480</v>
      </c>
      <c r="D142" s="244">
        <f t="shared" si="9"/>
        <v>480</v>
      </c>
      <c r="E142" s="305"/>
      <c r="F142" s="249"/>
      <c r="G142" s="249"/>
      <c r="H142" s="249"/>
      <c r="I142" s="249"/>
      <c r="J142" s="249"/>
      <c r="K142" s="249"/>
      <c r="L142" s="257"/>
      <c r="M142" s="249"/>
      <c r="N142" s="249"/>
      <c r="O142" s="249"/>
      <c r="P142" s="249"/>
      <c r="Q142" s="250"/>
      <c r="R142" s="257">
        <v>480</v>
      </c>
      <c r="S142" s="265"/>
      <c r="T142" s="250"/>
      <c r="U142" s="250"/>
      <c r="V142" s="250"/>
      <c r="W142" s="244"/>
      <c r="X142" s="244"/>
      <c r="Y142" s="267"/>
      <c r="Z142" s="244"/>
      <c r="AA142" s="244"/>
      <c r="AB142" s="244"/>
      <c r="AC142" s="306" t="s">
        <v>884</v>
      </c>
      <c r="AD142" s="307" t="s">
        <v>885</v>
      </c>
    </row>
    <row r="143" spans="1:30" ht="16.5" hidden="1" customHeight="1">
      <c r="A143" s="260" t="s">
        <v>241</v>
      </c>
      <c r="B143" s="308" t="s">
        <v>1149</v>
      </c>
      <c r="C143" s="334">
        <v>49.49</v>
      </c>
      <c r="D143" s="244">
        <f t="shared" si="9"/>
        <v>49.489539999999998</v>
      </c>
      <c r="E143" s="305"/>
      <c r="F143" s="260"/>
      <c r="G143" s="260"/>
      <c r="H143" s="260"/>
      <c r="I143" s="260"/>
      <c r="J143" s="260"/>
      <c r="K143" s="335"/>
      <c r="L143" s="257">
        <v>49.489539999999998</v>
      </c>
      <c r="M143" s="260"/>
      <c r="N143" s="260"/>
      <c r="O143" s="260"/>
      <c r="P143" s="260"/>
      <c r="Q143" s="260"/>
      <c r="R143" s="260"/>
      <c r="S143" s="260"/>
      <c r="T143" s="260"/>
      <c r="U143" s="260"/>
      <c r="V143" s="260"/>
      <c r="W143" s="336"/>
      <c r="X143" s="336"/>
      <c r="Y143" s="336"/>
      <c r="Z143" s="336"/>
      <c r="AA143" s="336"/>
      <c r="AB143" s="336"/>
      <c r="AC143" s="260"/>
      <c r="AD143" s="260"/>
    </row>
    <row r="144" spans="1:30" ht="30.75" customHeight="1">
      <c r="A144" s="260" t="s">
        <v>1150</v>
      </c>
      <c r="B144" s="254" t="s">
        <v>1151</v>
      </c>
      <c r="C144" s="325">
        <v>354.32</v>
      </c>
      <c r="D144" s="244">
        <f t="shared" si="9"/>
        <v>354.31819000000002</v>
      </c>
      <c r="E144" s="305"/>
      <c r="F144" s="249"/>
      <c r="G144" s="249"/>
      <c r="H144" s="249"/>
      <c r="I144" s="249"/>
      <c r="J144" s="249"/>
      <c r="K144" s="249"/>
      <c r="L144" s="249"/>
      <c r="M144" s="249"/>
      <c r="N144" s="249"/>
      <c r="O144" s="249"/>
      <c r="P144" s="249"/>
      <c r="Q144" s="250"/>
      <c r="R144" s="250"/>
      <c r="S144" s="250"/>
      <c r="T144" s="250"/>
      <c r="U144" s="250"/>
      <c r="V144" s="244">
        <v>354.31819000000002</v>
      </c>
      <c r="W144" s="244"/>
      <c r="X144" s="244"/>
      <c r="Y144" s="244"/>
      <c r="Z144" s="244"/>
      <c r="AA144" s="244"/>
      <c r="AB144" s="244"/>
      <c r="AC144" s="306" t="s">
        <v>884</v>
      </c>
      <c r="AD144" s="307" t="s">
        <v>885</v>
      </c>
    </row>
    <row r="145" spans="1:30" ht="14.25" customHeight="1">
      <c r="A145" s="260" t="s">
        <v>1152</v>
      </c>
      <c r="B145" s="254" t="s">
        <v>1153</v>
      </c>
      <c r="C145" s="325">
        <v>49.92</v>
      </c>
      <c r="D145" s="244">
        <f t="shared" si="9"/>
        <v>49.922739999999997</v>
      </c>
      <c r="E145" s="305"/>
      <c r="F145" s="249"/>
      <c r="G145" s="249"/>
      <c r="H145" s="249"/>
      <c r="I145" s="249"/>
      <c r="J145" s="249"/>
      <c r="K145" s="249"/>
      <c r="L145" s="249"/>
      <c r="M145" s="249"/>
      <c r="N145" s="249"/>
      <c r="O145" s="249"/>
      <c r="P145" s="249"/>
      <c r="Q145" s="250"/>
      <c r="R145" s="258">
        <v>49.922739999999997</v>
      </c>
      <c r="S145" s="250"/>
      <c r="T145" s="250"/>
      <c r="U145" s="250"/>
      <c r="V145" s="250"/>
      <c r="W145" s="244"/>
      <c r="X145" s="258"/>
      <c r="Y145" s="244"/>
      <c r="Z145" s="244"/>
      <c r="AA145" s="244"/>
      <c r="AB145" s="244"/>
      <c r="AC145" s="306" t="s">
        <v>884</v>
      </c>
      <c r="AD145" s="307" t="s">
        <v>885</v>
      </c>
    </row>
    <row r="146" spans="1:30" ht="22.5" customHeight="1">
      <c r="A146" s="260" t="s">
        <v>1154</v>
      </c>
      <c r="B146" s="254" t="s">
        <v>1155</v>
      </c>
      <c r="C146" s="325">
        <v>211.86</v>
      </c>
      <c r="D146" s="244">
        <f t="shared" si="9"/>
        <v>197.55171000000001</v>
      </c>
      <c r="E146" s="305"/>
      <c r="F146" s="249"/>
      <c r="G146" s="249"/>
      <c r="H146" s="249"/>
      <c r="I146" s="249"/>
      <c r="J146" s="249"/>
      <c r="K146" s="249"/>
      <c r="L146" s="249"/>
      <c r="M146" s="249"/>
      <c r="N146" s="249"/>
      <c r="O146" s="249"/>
      <c r="P146" s="249"/>
      <c r="Q146" s="250"/>
      <c r="R146" s="258"/>
      <c r="S146" s="250"/>
      <c r="T146" s="250"/>
      <c r="U146" s="250"/>
      <c r="V146" s="250"/>
      <c r="W146" s="244"/>
      <c r="X146" s="258"/>
      <c r="Y146" s="244"/>
      <c r="Z146" s="244"/>
      <c r="AA146" s="244"/>
      <c r="AB146" s="244">
        <v>197.55171000000001</v>
      </c>
      <c r="AC146" s="306" t="s">
        <v>884</v>
      </c>
      <c r="AD146" s="307" t="s">
        <v>885</v>
      </c>
    </row>
    <row r="147" spans="1:30" ht="22.5">
      <c r="A147" s="260" t="s">
        <v>1156</v>
      </c>
      <c r="B147" s="254" t="s">
        <v>1157</v>
      </c>
      <c r="C147" s="325">
        <v>211.86</v>
      </c>
      <c r="D147" s="244">
        <f t="shared" si="9"/>
        <v>232.33201</v>
      </c>
      <c r="E147" s="305"/>
      <c r="F147" s="249"/>
      <c r="G147" s="249"/>
      <c r="H147" s="249"/>
      <c r="I147" s="249"/>
      <c r="J147" s="249"/>
      <c r="K147" s="249"/>
      <c r="L147" s="249"/>
      <c r="M147" s="249"/>
      <c r="N147" s="249"/>
      <c r="O147" s="249"/>
      <c r="P147" s="249"/>
      <c r="Q147" s="250"/>
      <c r="R147" s="258"/>
      <c r="S147" s="250"/>
      <c r="T147" s="250"/>
      <c r="U147" s="250"/>
      <c r="V147" s="250"/>
      <c r="W147" s="244"/>
      <c r="X147" s="258"/>
      <c r="Y147" s="244"/>
      <c r="Z147" s="244"/>
      <c r="AA147" s="244"/>
      <c r="AB147" s="244">
        <v>232.33201</v>
      </c>
      <c r="AC147" s="306" t="s">
        <v>884</v>
      </c>
      <c r="AD147" s="307" t="s">
        <v>885</v>
      </c>
    </row>
    <row r="148" spans="1:30" ht="15.75" hidden="1" customHeight="1">
      <c r="A148" s="260"/>
      <c r="B148" s="254"/>
      <c r="C148" s="337">
        <v>615</v>
      </c>
      <c r="D148" s="244">
        <f t="shared" si="9"/>
        <v>0</v>
      </c>
      <c r="E148" s="249"/>
      <c r="F148" s="249"/>
      <c r="G148" s="249"/>
      <c r="H148" s="249"/>
      <c r="I148" s="249"/>
      <c r="J148" s="249"/>
      <c r="K148" s="249"/>
      <c r="L148" s="249"/>
      <c r="M148" s="249"/>
      <c r="N148" s="249"/>
      <c r="O148" s="249"/>
      <c r="P148" s="249"/>
      <c r="Q148" s="250"/>
      <c r="R148" s="258"/>
      <c r="S148" s="250"/>
      <c r="T148" s="250"/>
      <c r="U148" s="250"/>
      <c r="V148" s="250"/>
      <c r="W148" s="244"/>
      <c r="X148" s="258"/>
      <c r="Y148" s="244"/>
      <c r="Z148" s="244"/>
      <c r="AA148" s="244"/>
      <c r="AB148" s="244"/>
      <c r="AC148" s="306"/>
      <c r="AD148" s="307"/>
    </row>
    <row r="149" spans="1:30" ht="18.75" customHeight="1">
      <c r="A149" s="260" t="s">
        <v>1158</v>
      </c>
      <c r="B149" s="254" t="s">
        <v>1159</v>
      </c>
      <c r="C149" s="325">
        <v>75.27</v>
      </c>
      <c r="D149" s="244">
        <f t="shared" si="9"/>
        <v>69.069999999999993</v>
      </c>
      <c r="E149" s="249"/>
      <c r="F149" s="249"/>
      <c r="G149" s="249"/>
      <c r="H149" s="249"/>
      <c r="I149" s="249"/>
      <c r="J149" s="249"/>
      <c r="K149" s="249"/>
      <c r="L149" s="249"/>
      <c r="M149" s="249"/>
      <c r="N149" s="249"/>
      <c r="O149" s="249"/>
      <c r="P149" s="249"/>
      <c r="Q149" s="250"/>
      <c r="R149" s="258"/>
      <c r="S149" s="250"/>
      <c r="T149" s="250"/>
      <c r="U149" s="250"/>
      <c r="V149" s="250"/>
      <c r="W149" s="244"/>
      <c r="X149" s="258"/>
      <c r="Y149" s="244"/>
      <c r="Z149" s="244"/>
      <c r="AA149" s="244"/>
      <c r="AB149" s="244">
        <v>69.069999999999993</v>
      </c>
      <c r="AC149" s="306" t="s">
        <v>884</v>
      </c>
      <c r="AD149" s="307" t="s">
        <v>885</v>
      </c>
    </row>
    <row r="150" spans="1:30" ht="22.5" customHeight="1">
      <c r="A150" s="1435" t="s">
        <v>1160</v>
      </c>
      <c r="B150" s="1436"/>
      <c r="C150" s="338">
        <f>SUM(C151:C152)</f>
        <v>3288.1</v>
      </c>
      <c r="D150" s="338">
        <f>SUM(D151:D152)</f>
        <v>3179.73</v>
      </c>
      <c r="E150" s="338">
        <f t="shared" ref="E150:AB150" si="10">SUM(E151:E152)</f>
        <v>0</v>
      </c>
      <c r="F150" s="338">
        <f t="shared" si="10"/>
        <v>0</v>
      </c>
      <c r="G150" s="338">
        <f t="shared" si="10"/>
        <v>0</v>
      </c>
      <c r="H150" s="338">
        <f t="shared" si="10"/>
        <v>0</v>
      </c>
      <c r="I150" s="338">
        <f t="shared" si="10"/>
        <v>0</v>
      </c>
      <c r="J150" s="338">
        <f t="shared" si="10"/>
        <v>0</v>
      </c>
      <c r="K150" s="338">
        <f t="shared" si="10"/>
        <v>0</v>
      </c>
      <c r="L150" s="338">
        <f t="shared" si="10"/>
        <v>0</v>
      </c>
      <c r="M150" s="338">
        <f t="shared" si="10"/>
        <v>0</v>
      </c>
      <c r="N150" s="338">
        <f t="shared" si="10"/>
        <v>0</v>
      </c>
      <c r="O150" s="338">
        <f t="shared" si="10"/>
        <v>0</v>
      </c>
      <c r="P150" s="338">
        <f t="shared" si="10"/>
        <v>0</v>
      </c>
      <c r="Q150" s="338">
        <f t="shared" si="10"/>
        <v>0</v>
      </c>
      <c r="R150" s="338">
        <f t="shared" si="10"/>
        <v>0</v>
      </c>
      <c r="S150" s="338">
        <f t="shared" si="10"/>
        <v>0</v>
      </c>
      <c r="T150" s="338">
        <f t="shared" si="10"/>
        <v>0</v>
      </c>
      <c r="U150" s="338">
        <f t="shared" si="10"/>
        <v>0</v>
      </c>
      <c r="V150" s="338">
        <f t="shared" si="10"/>
        <v>0</v>
      </c>
      <c r="W150" s="338">
        <f t="shared" si="10"/>
        <v>0</v>
      </c>
      <c r="X150" s="338">
        <f t="shared" si="10"/>
        <v>788.1</v>
      </c>
      <c r="Y150" s="338">
        <f t="shared" si="10"/>
        <v>0</v>
      </c>
      <c r="Z150" s="338">
        <f t="shared" si="10"/>
        <v>0</v>
      </c>
      <c r="AA150" s="338">
        <f t="shared" si="10"/>
        <v>0</v>
      </c>
      <c r="AB150" s="338">
        <f t="shared" si="10"/>
        <v>2391.63</v>
      </c>
      <c r="AC150" s="306"/>
      <c r="AD150" s="306"/>
    </row>
    <row r="151" spans="1:30" ht="15.75" customHeight="1">
      <c r="A151" s="260" t="s">
        <v>1161</v>
      </c>
      <c r="B151" s="254" t="s">
        <v>1162</v>
      </c>
      <c r="C151" s="325">
        <v>788.1</v>
      </c>
      <c r="D151" s="244">
        <f t="shared" si="9"/>
        <v>788.1</v>
      </c>
      <c r="E151" s="305"/>
      <c r="F151" s="249"/>
      <c r="G151" s="249"/>
      <c r="H151" s="249"/>
      <c r="I151" s="249"/>
      <c r="J151" s="249"/>
      <c r="K151" s="249"/>
      <c r="L151" s="249"/>
      <c r="M151" s="249"/>
      <c r="N151" s="249"/>
      <c r="O151" s="249"/>
      <c r="P151" s="249"/>
      <c r="Q151" s="250"/>
      <c r="R151" s="250"/>
      <c r="S151" s="250"/>
      <c r="T151" s="250"/>
      <c r="U151" s="250"/>
      <c r="V151" s="250"/>
      <c r="W151" s="244"/>
      <c r="X151" s="244">
        <v>788.1</v>
      </c>
      <c r="Y151" s="244"/>
      <c r="Z151" s="244"/>
      <c r="AA151" s="244"/>
      <c r="AB151" s="244"/>
      <c r="AC151" s="306" t="s">
        <v>884</v>
      </c>
      <c r="AD151" s="307" t="s">
        <v>885</v>
      </c>
    </row>
    <row r="152" spans="1:30" ht="18.75" customHeight="1">
      <c r="A152" s="260" t="s">
        <v>1163</v>
      </c>
      <c r="B152" s="254" t="s">
        <v>1164</v>
      </c>
      <c r="C152" s="325">
        <v>2500</v>
      </c>
      <c r="D152" s="244">
        <f t="shared" si="9"/>
        <v>2391.63</v>
      </c>
      <c r="E152" s="305"/>
      <c r="F152" s="249"/>
      <c r="G152" s="249"/>
      <c r="H152" s="249"/>
      <c r="I152" s="249"/>
      <c r="J152" s="249"/>
      <c r="K152" s="249"/>
      <c r="L152" s="249"/>
      <c r="M152" s="249"/>
      <c r="N152" s="249"/>
      <c r="O152" s="249"/>
      <c r="P152" s="249"/>
      <c r="Q152" s="250"/>
      <c r="R152" s="250"/>
      <c r="S152" s="250"/>
      <c r="T152" s="250"/>
      <c r="U152" s="250"/>
      <c r="V152" s="250"/>
      <c r="W152" s="244"/>
      <c r="X152" s="244"/>
      <c r="Y152" s="244"/>
      <c r="Z152" s="244"/>
      <c r="AA152" s="244"/>
      <c r="AB152" s="244">
        <v>2391.63</v>
      </c>
      <c r="AC152" s="306" t="s">
        <v>884</v>
      </c>
      <c r="AD152" s="307" t="s">
        <v>885</v>
      </c>
    </row>
    <row r="153" spans="1:30" ht="27.75" customHeight="1">
      <c r="A153" s="1435" t="s">
        <v>1165</v>
      </c>
      <c r="B153" s="1436"/>
      <c r="C153" s="339">
        <f>C154</f>
        <v>998</v>
      </c>
      <c r="D153" s="339">
        <f>D154</f>
        <v>995.96553999999992</v>
      </c>
      <c r="E153" s="339">
        <f t="shared" ref="E153:AB153" si="11">E154</f>
        <v>0</v>
      </c>
      <c r="F153" s="339">
        <f t="shared" si="11"/>
        <v>0</v>
      </c>
      <c r="G153" s="339">
        <f t="shared" si="11"/>
        <v>0</v>
      </c>
      <c r="H153" s="339">
        <f t="shared" si="11"/>
        <v>0</v>
      </c>
      <c r="I153" s="339">
        <f t="shared" si="11"/>
        <v>0</v>
      </c>
      <c r="J153" s="339">
        <f t="shared" si="11"/>
        <v>0</v>
      </c>
      <c r="K153" s="339">
        <f t="shared" si="11"/>
        <v>0</v>
      </c>
      <c r="L153" s="339">
        <f t="shared" si="11"/>
        <v>0</v>
      </c>
      <c r="M153" s="339">
        <f t="shared" si="11"/>
        <v>0</v>
      </c>
      <c r="N153" s="339">
        <f t="shared" si="11"/>
        <v>0</v>
      </c>
      <c r="O153" s="339">
        <f t="shared" si="11"/>
        <v>0</v>
      </c>
      <c r="P153" s="339">
        <f t="shared" si="11"/>
        <v>0</v>
      </c>
      <c r="Q153" s="339">
        <f t="shared" si="11"/>
        <v>0</v>
      </c>
      <c r="R153" s="339">
        <f t="shared" si="11"/>
        <v>0</v>
      </c>
      <c r="S153" s="339">
        <f t="shared" si="11"/>
        <v>0</v>
      </c>
      <c r="T153" s="339">
        <f t="shared" si="11"/>
        <v>0</v>
      </c>
      <c r="U153" s="339">
        <f t="shared" si="11"/>
        <v>0</v>
      </c>
      <c r="V153" s="339">
        <f t="shared" si="11"/>
        <v>0</v>
      </c>
      <c r="W153" s="339">
        <f t="shared" si="11"/>
        <v>0</v>
      </c>
      <c r="X153" s="339">
        <f t="shared" si="11"/>
        <v>0</v>
      </c>
      <c r="Y153" s="339">
        <f t="shared" si="11"/>
        <v>0</v>
      </c>
      <c r="Z153" s="339">
        <f t="shared" si="11"/>
        <v>261.51758999999998</v>
      </c>
      <c r="AA153" s="339">
        <f t="shared" si="11"/>
        <v>0</v>
      </c>
      <c r="AB153" s="339">
        <f t="shared" si="11"/>
        <v>734.44794999999999</v>
      </c>
      <c r="AC153" s="340"/>
      <c r="AD153" s="306"/>
    </row>
    <row r="154" spans="1:30" ht="32.25" customHeight="1">
      <c r="A154" s="341" t="s">
        <v>240</v>
      </c>
      <c r="B154" s="342" t="s">
        <v>1166</v>
      </c>
      <c r="C154" s="343">
        <v>998</v>
      </c>
      <c r="D154" s="244">
        <f t="shared" si="9"/>
        <v>995.96553999999992</v>
      </c>
      <c r="E154" s="305"/>
      <c r="F154" s="249"/>
      <c r="G154" s="249"/>
      <c r="H154" s="249"/>
      <c r="I154" s="249"/>
      <c r="J154" s="249"/>
      <c r="K154" s="249"/>
      <c r="L154" s="249"/>
      <c r="M154" s="249"/>
      <c r="N154" s="249"/>
      <c r="O154" s="249"/>
      <c r="P154" s="249"/>
      <c r="Q154" s="250"/>
      <c r="R154" s="250"/>
      <c r="S154" s="250"/>
      <c r="T154" s="250"/>
      <c r="U154" s="250"/>
      <c r="V154" s="250"/>
      <c r="W154" s="244"/>
      <c r="X154" s="244"/>
      <c r="Y154" s="244"/>
      <c r="Z154" s="252">
        <v>261.51758999999998</v>
      </c>
      <c r="AA154" s="244"/>
      <c r="AB154" s="244">
        <v>734.44794999999999</v>
      </c>
      <c r="AC154" s="306" t="s">
        <v>884</v>
      </c>
      <c r="AD154" s="307" t="s">
        <v>885</v>
      </c>
    </row>
    <row r="155" spans="1:30" ht="24.75" customHeight="1">
      <c r="A155" s="1435" t="s">
        <v>1167</v>
      </c>
      <c r="B155" s="1436"/>
      <c r="C155" s="279">
        <f t="shared" ref="C155:AB155" si="12">SUM(C156:C177)</f>
        <v>2073.02</v>
      </c>
      <c r="D155" s="279">
        <f t="shared" si="12"/>
        <v>5177.0759999999991</v>
      </c>
      <c r="E155" s="279">
        <f t="shared" si="12"/>
        <v>0</v>
      </c>
      <c r="F155" s="279">
        <f t="shared" si="12"/>
        <v>0</v>
      </c>
      <c r="G155" s="279">
        <f t="shared" si="12"/>
        <v>0</v>
      </c>
      <c r="H155" s="279">
        <f t="shared" si="12"/>
        <v>0</v>
      </c>
      <c r="I155" s="279">
        <f t="shared" si="12"/>
        <v>0</v>
      </c>
      <c r="J155" s="279">
        <f t="shared" si="12"/>
        <v>0</v>
      </c>
      <c r="K155" s="279">
        <f t="shared" si="12"/>
        <v>0</v>
      </c>
      <c r="L155" s="279">
        <f t="shared" si="12"/>
        <v>195</v>
      </c>
      <c r="M155" s="279">
        <f t="shared" si="12"/>
        <v>0</v>
      </c>
      <c r="N155" s="279">
        <f t="shared" si="12"/>
        <v>0</v>
      </c>
      <c r="O155" s="279">
        <f t="shared" si="12"/>
        <v>0</v>
      </c>
      <c r="P155" s="279">
        <f t="shared" si="12"/>
        <v>0</v>
      </c>
      <c r="Q155" s="279">
        <f t="shared" si="12"/>
        <v>0</v>
      </c>
      <c r="R155" s="279">
        <f t="shared" si="12"/>
        <v>0</v>
      </c>
      <c r="S155" s="279">
        <f t="shared" si="12"/>
        <v>0</v>
      </c>
      <c r="T155" s="279">
        <f t="shared" si="12"/>
        <v>0</v>
      </c>
      <c r="U155" s="279">
        <f t="shared" si="12"/>
        <v>0</v>
      </c>
      <c r="V155" s="279">
        <f t="shared" si="12"/>
        <v>0</v>
      </c>
      <c r="W155" s="279">
        <f t="shared" si="12"/>
        <v>0</v>
      </c>
      <c r="X155" s="279">
        <f t="shared" si="12"/>
        <v>0</v>
      </c>
      <c r="Y155" s="279">
        <f t="shared" si="12"/>
        <v>0</v>
      </c>
      <c r="Z155" s="279">
        <f t="shared" si="12"/>
        <v>0</v>
      </c>
      <c r="AA155" s="279">
        <f t="shared" si="12"/>
        <v>0</v>
      </c>
      <c r="AB155" s="279">
        <f t="shared" si="12"/>
        <v>0</v>
      </c>
      <c r="AC155" s="344"/>
      <c r="AD155" s="306"/>
    </row>
    <row r="156" spans="1:30" ht="50.25" customHeight="1">
      <c r="A156" s="320" t="s">
        <v>242</v>
      </c>
      <c r="B156" s="254" t="s">
        <v>1168</v>
      </c>
      <c r="C156" s="261">
        <v>195</v>
      </c>
      <c r="D156" s="244">
        <f t="shared" si="9"/>
        <v>195</v>
      </c>
      <c r="E156" s="305"/>
      <c r="F156" s="305"/>
      <c r="G156" s="305"/>
      <c r="H156" s="305"/>
      <c r="I156" s="305"/>
      <c r="J156" s="305"/>
      <c r="K156" s="305"/>
      <c r="L156" s="257">
        <v>195</v>
      </c>
      <c r="M156" s="305"/>
      <c r="N156" s="305"/>
      <c r="O156" s="305"/>
      <c r="P156" s="305"/>
      <c r="Q156" s="321"/>
      <c r="R156" s="321"/>
      <c r="S156" s="321"/>
      <c r="T156" s="321"/>
      <c r="U156" s="321"/>
      <c r="V156" s="321"/>
      <c r="W156" s="252"/>
      <c r="X156" s="252"/>
      <c r="Y156" s="252"/>
      <c r="Z156" s="252"/>
      <c r="AA156" s="252"/>
      <c r="AB156" s="252"/>
      <c r="AC156" s="306" t="s">
        <v>884</v>
      </c>
      <c r="AD156" s="307" t="s">
        <v>885</v>
      </c>
    </row>
    <row r="157" spans="1:30" ht="23.25" customHeight="1">
      <c r="A157" s="320" t="s">
        <v>243</v>
      </c>
      <c r="B157" s="254" t="s">
        <v>1169</v>
      </c>
      <c r="C157" s="261">
        <v>1878.02</v>
      </c>
      <c r="D157" s="345">
        <v>2471.65</v>
      </c>
      <c r="E157" s="305"/>
      <c r="F157" s="305"/>
      <c r="G157" s="305"/>
      <c r="H157" s="305"/>
      <c r="I157" s="305"/>
      <c r="J157" s="305"/>
      <c r="K157" s="305"/>
      <c r="L157" s="257"/>
      <c r="M157" s="305"/>
      <c r="N157" s="305"/>
      <c r="O157" s="305"/>
      <c r="P157" s="305"/>
      <c r="Q157" s="321"/>
      <c r="R157" s="321"/>
      <c r="S157" s="321"/>
      <c r="T157" s="321"/>
      <c r="U157" s="321"/>
      <c r="V157" s="321"/>
      <c r="W157" s="252"/>
      <c r="X157" s="252"/>
      <c r="Y157" s="252"/>
      <c r="Z157" s="252"/>
      <c r="AA157" s="252"/>
      <c r="AB157" s="252"/>
      <c r="AC157" s="306" t="s">
        <v>884</v>
      </c>
      <c r="AD157" s="307" t="s">
        <v>885</v>
      </c>
    </row>
    <row r="158" spans="1:30" ht="22.5" customHeight="1">
      <c r="A158" s="320" t="s">
        <v>567</v>
      </c>
      <c r="B158" s="346" t="s">
        <v>1170</v>
      </c>
      <c r="C158" s="261"/>
      <c r="D158" s="345">
        <v>90.131</v>
      </c>
      <c r="E158" s="305"/>
      <c r="F158" s="305"/>
      <c r="G158" s="305"/>
      <c r="H158" s="305"/>
      <c r="I158" s="305"/>
      <c r="J158" s="305"/>
      <c r="K158" s="305"/>
      <c r="L158" s="257"/>
      <c r="M158" s="305"/>
      <c r="N158" s="305"/>
      <c r="O158" s="305"/>
      <c r="P158" s="305"/>
      <c r="Q158" s="321"/>
      <c r="R158" s="321"/>
      <c r="S158" s="321"/>
      <c r="T158" s="321"/>
      <c r="U158" s="321"/>
      <c r="V158" s="321"/>
      <c r="W158" s="252"/>
      <c r="X158" s="252"/>
      <c r="Y158" s="252"/>
      <c r="Z158" s="252"/>
      <c r="AA158" s="252"/>
      <c r="AB158" s="252"/>
      <c r="AC158" s="306" t="s">
        <v>884</v>
      </c>
      <c r="AD158" s="307" t="s">
        <v>885</v>
      </c>
    </row>
    <row r="159" spans="1:30" ht="22.5" customHeight="1">
      <c r="A159" s="320" t="s">
        <v>568</v>
      </c>
      <c r="B159" s="346" t="s">
        <v>1171</v>
      </c>
      <c r="C159" s="261"/>
      <c r="D159" s="345">
        <v>156.333</v>
      </c>
      <c r="E159" s="305"/>
      <c r="F159" s="305"/>
      <c r="G159" s="305"/>
      <c r="H159" s="305"/>
      <c r="I159" s="305"/>
      <c r="J159" s="305"/>
      <c r="K159" s="305"/>
      <c r="L159" s="257"/>
      <c r="M159" s="305"/>
      <c r="N159" s="305"/>
      <c r="O159" s="305"/>
      <c r="P159" s="305"/>
      <c r="Q159" s="321"/>
      <c r="R159" s="321"/>
      <c r="S159" s="321"/>
      <c r="T159" s="321"/>
      <c r="U159" s="321"/>
      <c r="V159" s="321"/>
      <c r="W159" s="252"/>
      <c r="X159" s="252"/>
      <c r="Y159" s="252"/>
      <c r="Z159" s="252"/>
      <c r="AA159" s="252"/>
      <c r="AB159" s="252"/>
      <c r="AC159" s="306" t="s">
        <v>884</v>
      </c>
      <c r="AD159" s="307" t="s">
        <v>885</v>
      </c>
    </row>
    <row r="160" spans="1:30" ht="32.25" customHeight="1">
      <c r="A160" s="320" t="s">
        <v>569</v>
      </c>
      <c r="B160" s="346" t="s">
        <v>1172</v>
      </c>
      <c r="C160" s="261"/>
      <c r="D160" s="345">
        <v>145.61199999999999</v>
      </c>
      <c r="E160" s="305"/>
      <c r="F160" s="305"/>
      <c r="G160" s="305"/>
      <c r="H160" s="305"/>
      <c r="I160" s="305"/>
      <c r="J160" s="305"/>
      <c r="K160" s="305"/>
      <c r="L160" s="257"/>
      <c r="M160" s="305"/>
      <c r="N160" s="305"/>
      <c r="O160" s="305"/>
      <c r="P160" s="305"/>
      <c r="Q160" s="321"/>
      <c r="R160" s="321"/>
      <c r="S160" s="321"/>
      <c r="T160" s="321"/>
      <c r="U160" s="321"/>
      <c r="V160" s="321"/>
      <c r="W160" s="252"/>
      <c r="X160" s="252"/>
      <c r="Y160" s="252"/>
      <c r="Z160" s="252"/>
      <c r="AA160" s="252"/>
      <c r="AB160" s="252"/>
      <c r="AC160" s="306" t="s">
        <v>884</v>
      </c>
      <c r="AD160" s="307" t="s">
        <v>885</v>
      </c>
    </row>
    <row r="161" spans="1:30" ht="32.25" customHeight="1">
      <c r="A161" s="320" t="s">
        <v>771</v>
      </c>
      <c r="B161" s="346" t="s">
        <v>1173</v>
      </c>
      <c r="C161" s="261"/>
      <c r="D161" s="345">
        <v>126.29300000000001</v>
      </c>
      <c r="E161" s="305"/>
      <c r="F161" s="305"/>
      <c r="G161" s="305"/>
      <c r="H161" s="305"/>
      <c r="I161" s="305"/>
      <c r="J161" s="305"/>
      <c r="K161" s="305"/>
      <c r="L161" s="257"/>
      <c r="M161" s="305"/>
      <c r="N161" s="305"/>
      <c r="O161" s="305"/>
      <c r="P161" s="305"/>
      <c r="Q161" s="321"/>
      <c r="R161" s="321"/>
      <c r="S161" s="321"/>
      <c r="T161" s="321"/>
      <c r="U161" s="321"/>
      <c r="V161" s="321"/>
      <c r="W161" s="252"/>
      <c r="X161" s="252"/>
      <c r="Y161" s="252"/>
      <c r="Z161" s="252"/>
      <c r="AA161" s="252"/>
      <c r="AB161" s="252"/>
      <c r="AC161" s="306" t="s">
        <v>884</v>
      </c>
      <c r="AD161" s="307" t="s">
        <v>885</v>
      </c>
    </row>
    <row r="162" spans="1:30" ht="21.75" customHeight="1">
      <c r="A162" s="320" t="s">
        <v>773</v>
      </c>
      <c r="B162" s="346" t="s">
        <v>1174</v>
      </c>
      <c r="C162" s="261"/>
      <c r="D162" s="345">
        <v>137.43600000000001</v>
      </c>
      <c r="E162" s="305"/>
      <c r="F162" s="305"/>
      <c r="G162" s="305"/>
      <c r="H162" s="305"/>
      <c r="I162" s="305"/>
      <c r="J162" s="305"/>
      <c r="K162" s="305"/>
      <c r="L162" s="257"/>
      <c r="M162" s="305"/>
      <c r="N162" s="305"/>
      <c r="O162" s="305"/>
      <c r="P162" s="305"/>
      <c r="Q162" s="321"/>
      <c r="R162" s="321"/>
      <c r="S162" s="321"/>
      <c r="T162" s="321"/>
      <c r="U162" s="321"/>
      <c r="V162" s="321"/>
      <c r="W162" s="252"/>
      <c r="X162" s="252"/>
      <c r="Y162" s="252"/>
      <c r="Z162" s="252"/>
      <c r="AA162" s="252"/>
      <c r="AB162" s="252"/>
      <c r="AC162" s="306" t="s">
        <v>884</v>
      </c>
      <c r="AD162" s="307" t="s">
        <v>885</v>
      </c>
    </row>
    <row r="163" spans="1:30" ht="21.75" customHeight="1">
      <c r="A163" s="320" t="s">
        <v>775</v>
      </c>
      <c r="B163" s="346" t="s">
        <v>1175</v>
      </c>
      <c r="C163" s="261"/>
      <c r="D163" s="345">
        <v>147.124</v>
      </c>
      <c r="E163" s="305"/>
      <c r="F163" s="305"/>
      <c r="G163" s="305"/>
      <c r="H163" s="305"/>
      <c r="I163" s="305"/>
      <c r="J163" s="305"/>
      <c r="K163" s="305"/>
      <c r="L163" s="257"/>
      <c r="M163" s="305"/>
      <c r="N163" s="305"/>
      <c r="O163" s="305"/>
      <c r="P163" s="305"/>
      <c r="Q163" s="321"/>
      <c r="R163" s="321"/>
      <c r="S163" s="321"/>
      <c r="T163" s="321"/>
      <c r="U163" s="321"/>
      <c r="V163" s="321"/>
      <c r="W163" s="252"/>
      <c r="X163" s="252"/>
      <c r="Y163" s="252"/>
      <c r="Z163" s="252"/>
      <c r="AA163" s="252"/>
      <c r="AB163" s="252"/>
      <c r="AC163" s="306" t="s">
        <v>884</v>
      </c>
      <c r="AD163" s="307" t="s">
        <v>885</v>
      </c>
    </row>
    <row r="164" spans="1:30" ht="21.75" customHeight="1">
      <c r="A164" s="320" t="s">
        <v>777</v>
      </c>
      <c r="B164" s="346" t="s">
        <v>1176</v>
      </c>
      <c r="C164" s="261"/>
      <c r="D164" s="345">
        <v>128.363</v>
      </c>
      <c r="E164" s="305"/>
      <c r="F164" s="305"/>
      <c r="G164" s="305"/>
      <c r="H164" s="305"/>
      <c r="I164" s="305"/>
      <c r="J164" s="305"/>
      <c r="K164" s="305"/>
      <c r="L164" s="257"/>
      <c r="M164" s="305"/>
      <c r="N164" s="305"/>
      <c r="O164" s="305"/>
      <c r="P164" s="305"/>
      <c r="Q164" s="321"/>
      <c r="R164" s="321"/>
      <c r="S164" s="321"/>
      <c r="T164" s="321"/>
      <c r="U164" s="321"/>
      <c r="V164" s="321"/>
      <c r="W164" s="252"/>
      <c r="X164" s="252"/>
      <c r="Y164" s="252"/>
      <c r="Z164" s="252"/>
      <c r="AA164" s="252"/>
      <c r="AB164" s="252"/>
      <c r="AC164" s="306" t="s">
        <v>884</v>
      </c>
      <c r="AD164" s="307" t="s">
        <v>885</v>
      </c>
    </row>
    <row r="165" spans="1:30" ht="21.75" customHeight="1">
      <c r="A165" s="320" t="s">
        <v>779</v>
      </c>
      <c r="B165" s="346" t="s">
        <v>1177</v>
      </c>
      <c r="C165" s="261"/>
      <c r="D165" s="345">
        <v>73.843999999999994</v>
      </c>
      <c r="E165" s="305"/>
      <c r="F165" s="305"/>
      <c r="G165" s="305"/>
      <c r="H165" s="305"/>
      <c r="I165" s="305"/>
      <c r="J165" s="305"/>
      <c r="K165" s="305"/>
      <c r="L165" s="257"/>
      <c r="M165" s="305"/>
      <c r="N165" s="305"/>
      <c r="O165" s="305"/>
      <c r="P165" s="305"/>
      <c r="Q165" s="321"/>
      <c r="R165" s="321"/>
      <c r="S165" s="321"/>
      <c r="T165" s="321"/>
      <c r="U165" s="321"/>
      <c r="V165" s="321"/>
      <c r="W165" s="252"/>
      <c r="X165" s="252"/>
      <c r="Y165" s="252"/>
      <c r="Z165" s="252"/>
      <c r="AA165" s="252"/>
      <c r="AB165" s="252"/>
      <c r="AC165" s="306" t="s">
        <v>884</v>
      </c>
      <c r="AD165" s="307" t="s">
        <v>885</v>
      </c>
    </row>
    <row r="166" spans="1:30" ht="36.75" customHeight="1">
      <c r="A166" s="320" t="s">
        <v>781</v>
      </c>
      <c r="B166" s="346" t="s">
        <v>1178</v>
      </c>
      <c r="C166" s="261"/>
      <c r="D166" s="345">
        <v>67.605000000000004</v>
      </c>
      <c r="E166" s="305"/>
      <c r="F166" s="305"/>
      <c r="G166" s="305"/>
      <c r="H166" s="305"/>
      <c r="I166" s="305"/>
      <c r="J166" s="305"/>
      <c r="K166" s="305"/>
      <c r="L166" s="257"/>
      <c r="M166" s="305"/>
      <c r="N166" s="305"/>
      <c r="O166" s="305"/>
      <c r="P166" s="305"/>
      <c r="Q166" s="321"/>
      <c r="R166" s="321"/>
      <c r="S166" s="321"/>
      <c r="T166" s="321"/>
      <c r="U166" s="321"/>
      <c r="V166" s="321"/>
      <c r="W166" s="252"/>
      <c r="X166" s="252"/>
      <c r="Y166" s="252"/>
      <c r="Z166" s="252"/>
      <c r="AA166" s="252"/>
      <c r="AB166" s="252"/>
      <c r="AC166" s="306" t="s">
        <v>884</v>
      </c>
      <c r="AD166" s="307" t="s">
        <v>885</v>
      </c>
    </row>
    <row r="167" spans="1:30" ht="27" customHeight="1">
      <c r="A167" s="320" t="s">
        <v>783</v>
      </c>
      <c r="B167" s="346" t="s">
        <v>1179</v>
      </c>
      <c r="C167" s="261"/>
      <c r="D167" s="345">
        <v>128.56700000000001</v>
      </c>
      <c r="E167" s="305"/>
      <c r="F167" s="305"/>
      <c r="G167" s="305"/>
      <c r="H167" s="305"/>
      <c r="I167" s="305"/>
      <c r="J167" s="305"/>
      <c r="K167" s="305"/>
      <c r="L167" s="257"/>
      <c r="M167" s="305"/>
      <c r="N167" s="305"/>
      <c r="O167" s="305"/>
      <c r="P167" s="305"/>
      <c r="Q167" s="321"/>
      <c r="R167" s="321"/>
      <c r="S167" s="321"/>
      <c r="T167" s="321"/>
      <c r="U167" s="321"/>
      <c r="V167" s="321"/>
      <c r="W167" s="252"/>
      <c r="X167" s="252"/>
      <c r="Y167" s="252"/>
      <c r="Z167" s="252"/>
      <c r="AA167" s="252"/>
      <c r="AB167" s="252"/>
      <c r="AC167" s="306" t="s">
        <v>884</v>
      </c>
      <c r="AD167" s="307" t="s">
        <v>885</v>
      </c>
    </row>
    <row r="168" spans="1:30" ht="27" customHeight="1">
      <c r="A168" s="320" t="s">
        <v>785</v>
      </c>
      <c r="B168" s="346" t="s">
        <v>1180</v>
      </c>
      <c r="C168" s="261"/>
      <c r="D168" s="345">
        <v>145.31899999999999</v>
      </c>
      <c r="E168" s="305"/>
      <c r="F168" s="305"/>
      <c r="G168" s="305"/>
      <c r="H168" s="305"/>
      <c r="I168" s="305"/>
      <c r="J168" s="305"/>
      <c r="K168" s="305"/>
      <c r="L168" s="257"/>
      <c r="M168" s="305"/>
      <c r="N168" s="305"/>
      <c r="O168" s="305"/>
      <c r="P168" s="305"/>
      <c r="Q168" s="321"/>
      <c r="R168" s="321"/>
      <c r="S168" s="321"/>
      <c r="T168" s="321"/>
      <c r="U168" s="321"/>
      <c r="V168" s="321"/>
      <c r="W168" s="252"/>
      <c r="X168" s="252"/>
      <c r="Y168" s="252"/>
      <c r="Z168" s="252"/>
      <c r="AA168" s="252"/>
      <c r="AB168" s="252"/>
      <c r="AC168" s="306" t="s">
        <v>884</v>
      </c>
      <c r="AD168" s="307" t="s">
        <v>885</v>
      </c>
    </row>
    <row r="169" spans="1:30" ht="31.5" customHeight="1">
      <c r="A169" s="320" t="s">
        <v>1181</v>
      </c>
      <c r="B169" s="346" t="s">
        <v>1182</v>
      </c>
      <c r="C169" s="261"/>
      <c r="D169" s="345">
        <v>166.04</v>
      </c>
      <c r="E169" s="305"/>
      <c r="F169" s="305"/>
      <c r="G169" s="305"/>
      <c r="H169" s="305"/>
      <c r="I169" s="305"/>
      <c r="J169" s="305"/>
      <c r="K169" s="305"/>
      <c r="L169" s="257"/>
      <c r="M169" s="305"/>
      <c r="N169" s="305"/>
      <c r="O169" s="305"/>
      <c r="P169" s="305"/>
      <c r="Q169" s="321"/>
      <c r="R169" s="321"/>
      <c r="S169" s="321"/>
      <c r="T169" s="321"/>
      <c r="U169" s="321"/>
      <c r="V169" s="321"/>
      <c r="W169" s="252"/>
      <c r="X169" s="252"/>
      <c r="Y169" s="252"/>
      <c r="Z169" s="252"/>
      <c r="AA169" s="252"/>
      <c r="AB169" s="252"/>
      <c r="AC169" s="306" t="s">
        <v>884</v>
      </c>
      <c r="AD169" s="307" t="s">
        <v>885</v>
      </c>
    </row>
    <row r="170" spans="1:30" ht="31.5" customHeight="1">
      <c r="A170" s="320" t="s">
        <v>1183</v>
      </c>
      <c r="B170" s="346" t="s">
        <v>1184</v>
      </c>
      <c r="C170" s="261"/>
      <c r="D170" s="345">
        <v>152.82400000000001</v>
      </c>
      <c r="E170" s="305"/>
      <c r="F170" s="305"/>
      <c r="G170" s="305"/>
      <c r="H170" s="305"/>
      <c r="I170" s="305"/>
      <c r="J170" s="305"/>
      <c r="K170" s="305"/>
      <c r="L170" s="257"/>
      <c r="M170" s="305"/>
      <c r="N170" s="305"/>
      <c r="O170" s="305"/>
      <c r="P170" s="305"/>
      <c r="Q170" s="321"/>
      <c r="R170" s="321"/>
      <c r="S170" s="321"/>
      <c r="T170" s="321"/>
      <c r="U170" s="321"/>
      <c r="V170" s="321"/>
      <c r="W170" s="252"/>
      <c r="X170" s="252"/>
      <c r="Y170" s="252"/>
      <c r="Z170" s="252"/>
      <c r="AA170" s="252"/>
      <c r="AB170" s="252"/>
      <c r="AC170" s="306" t="s">
        <v>884</v>
      </c>
      <c r="AD170" s="307" t="s">
        <v>885</v>
      </c>
    </row>
    <row r="171" spans="1:30" ht="20.25" customHeight="1">
      <c r="A171" s="320" t="s">
        <v>1185</v>
      </c>
      <c r="B171" s="346" t="s">
        <v>1186</v>
      </c>
      <c r="C171" s="261"/>
      <c r="D171" s="345">
        <v>85.033000000000001</v>
      </c>
      <c r="E171" s="305"/>
      <c r="F171" s="305"/>
      <c r="G171" s="305"/>
      <c r="H171" s="305"/>
      <c r="I171" s="305"/>
      <c r="J171" s="305"/>
      <c r="K171" s="305"/>
      <c r="L171" s="257"/>
      <c r="M171" s="305"/>
      <c r="N171" s="305"/>
      <c r="O171" s="305"/>
      <c r="P171" s="305"/>
      <c r="Q171" s="321"/>
      <c r="R171" s="321"/>
      <c r="S171" s="321"/>
      <c r="T171" s="321"/>
      <c r="U171" s="321"/>
      <c r="V171" s="321"/>
      <c r="W171" s="252"/>
      <c r="X171" s="252"/>
      <c r="Y171" s="252"/>
      <c r="Z171" s="252"/>
      <c r="AA171" s="252"/>
      <c r="AB171" s="252"/>
      <c r="AC171" s="306" t="s">
        <v>884</v>
      </c>
      <c r="AD171" s="307" t="s">
        <v>885</v>
      </c>
    </row>
    <row r="172" spans="1:30" ht="34.5" customHeight="1">
      <c r="A172" s="320" t="s">
        <v>1187</v>
      </c>
      <c r="B172" s="346" t="s">
        <v>1188</v>
      </c>
      <c r="C172" s="261"/>
      <c r="D172" s="345">
        <v>128.583</v>
      </c>
      <c r="E172" s="305"/>
      <c r="F172" s="305"/>
      <c r="G172" s="305"/>
      <c r="H172" s="305"/>
      <c r="I172" s="305"/>
      <c r="J172" s="305"/>
      <c r="K172" s="305"/>
      <c r="L172" s="257"/>
      <c r="M172" s="305"/>
      <c r="N172" s="305"/>
      <c r="O172" s="305"/>
      <c r="P172" s="305"/>
      <c r="Q172" s="321"/>
      <c r="R172" s="321"/>
      <c r="S172" s="321"/>
      <c r="T172" s="321"/>
      <c r="U172" s="321"/>
      <c r="V172" s="321"/>
      <c r="W172" s="252"/>
      <c r="X172" s="252"/>
      <c r="Y172" s="252"/>
      <c r="Z172" s="252"/>
      <c r="AA172" s="252"/>
      <c r="AB172" s="252"/>
      <c r="AC172" s="306" t="s">
        <v>884</v>
      </c>
      <c r="AD172" s="307" t="s">
        <v>885</v>
      </c>
    </row>
    <row r="173" spans="1:30" ht="25.5" customHeight="1">
      <c r="A173" s="320" t="s">
        <v>1189</v>
      </c>
      <c r="B173" s="254" t="s">
        <v>1190</v>
      </c>
      <c r="C173" s="261"/>
      <c r="D173" s="345">
        <v>120.932</v>
      </c>
      <c r="E173" s="305"/>
      <c r="F173" s="305"/>
      <c r="G173" s="305"/>
      <c r="H173" s="305"/>
      <c r="I173" s="305"/>
      <c r="J173" s="305"/>
      <c r="K173" s="305"/>
      <c r="L173" s="257"/>
      <c r="M173" s="305"/>
      <c r="N173" s="305"/>
      <c r="O173" s="305"/>
      <c r="P173" s="305"/>
      <c r="Q173" s="321"/>
      <c r="R173" s="321"/>
      <c r="S173" s="321"/>
      <c r="T173" s="321"/>
      <c r="U173" s="321"/>
      <c r="V173" s="321"/>
      <c r="W173" s="252"/>
      <c r="X173" s="252"/>
      <c r="Y173" s="252"/>
      <c r="Z173" s="252"/>
      <c r="AA173" s="252"/>
      <c r="AB173" s="252"/>
      <c r="AC173" s="306" t="s">
        <v>884</v>
      </c>
      <c r="AD173" s="307" t="s">
        <v>885</v>
      </c>
    </row>
    <row r="174" spans="1:30" ht="25.5" customHeight="1">
      <c r="A174" s="320" t="s">
        <v>1191</v>
      </c>
      <c r="B174" s="254" t="s">
        <v>1192</v>
      </c>
      <c r="C174" s="261"/>
      <c r="D174" s="345">
        <v>149.624</v>
      </c>
      <c r="E174" s="305"/>
      <c r="F174" s="305"/>
      <c r="G174" s="305"/>
      <c r="H174" s="305"/>
      <c r="I174" s="305"/>
      <c r="J174" s="305"/>
      <c r="K174" s="305"/>
      <c r="L174" s="257"/>
      <c r="M174" s="305"/>
      <c r="N174" s="305"/>
      <c r="O174" s="305"/>
      <c r="P174" s="305"/>
      <c r="Q174" s="321"/>
      <c r="R174" s="321"/>
      <c r="S174" s="321"/>
      <c r="T174" s="321"/>
      <c r="U174" s="321"/>
      <c r="V174" s="321"/>
      <c r="W174" s="252"/>
      <c r="X174" s="252"/>
      <c r="Y174" s="252"/>
      <c r="Z174" s="252"/>
      <c r="AA174" s="252"/>
      <c r="AB174" s="252"/>
      <c r="AC174" s="306" t="s">
        <v>884</v>
      </c>
      <c r="AD174" s="307" t="s">
        <v>885</v>
      </c>
    </row>
    <row r="175" spans="1:30" ht="31.5" customHeight="1">
      <c r="A175" s="320" t="s">
        <v>1193</v>
      </c>
      <c r="B175" s="254" t="s">
        <v>1194</v>
      </c>
      <c r="C175" s="261"/>
      <c r="D175" s="345">
        <v>128.369</v>
      </c>
      <c r="E175" s="305"/>
      <c r="F175" s="305"/>
      <c r="G175" s="305"/>
      <c r="H175" s="305"/>
      <c r="I175" s="305"/>
      <c r="J175" s="305"/>
      <c r="K175" s="305"/>
      <c r="L175" s="257"/>
      <c r="M175" s="305"/>
      <c r="N175" s="305"/>
      <c r="O175" s="305"/>
      <c r="P175" s="305"/>
      <c r="Q175" s="321"/>
      <c r="R175" s="321"/>
      <c r="S175" s="321"/>
      <c r="T175" s="321"/>
      <c r="U175" s="321"/>
      <c r="V175" s="321"/>
      <c r="W175" s="252"/>
      <c r="X175" s="252"/>
      <c r="Y175" s="252"/>
      <c r="Z175" s="252"/>
      <c r="AA175" s="252"/>
      <c r="AB175" s="252"/>
      <c r="AC175" s="306" t="s">
        <v>884</v>
      </c>
      <c r="AD175" s="307" t="s">
        <v>885</v>
      </c>
    </row>
    <row r="176" spans="1:30" ht="30" customHeight="1">
      <c r="A176" s="320" t="s">
        <v>1195</v>
      </c>
      <c r="B176" s="254" t="s">
        <v>1196</v>
      </c>
      <c r="C176" s="261"/>
      <c r="D176" s="345">
        <v>133.215</v>
      </c>
      <c r="E176" s="305"/>
      <c r="F176" s="305"/>
      <c r="G176" s="305"/>
      <c r="H176" s="305"/>
      <c r="I176" s="305"/>
      <c r="J176" s="305"/>
      <c r="K176" s="305"/>
      <c r="L176" s="257"/>
      <c r="M176" s="305"/>
      <c r="N176" s="305"/>
      <c r="O176" s="305"/>
      <c r="P176" s="305"/>
      <c r="Q176" s="321"/>
      <c r="R176" s="321"/>
      <c r="S176" s="321"/>
      <c r="T176" s="321"/>
      <c r="U176" s="321"/>
      <c r="V176" s="321"/>
      <c r="W176" s="252"/>
      <c r="X176" s="252"/>
      <c r="Y176" s="252"/>
      <c r="Z176" s="252"/>
      <c r="AA176" s="252"/>
      <c r="AB176" s="252"/>
      <c r="AC176" s="306" t="s">
        <v>884</v>
      </c>
      <c r="AD176" s="307" t="s">
        <v>885</v>
      </c>
    </row>
    <row r="177" spans="1:31" ht="33.75" customHeight="1">
      <c r="A177" s="320" t="s">
        <v>1197</v>
      </c>
      <c r="B177" s="254" t="s">
        <v>1198</v>
      </c>
      <c r="C177" s="261"/>
      <c r="D177" s="345">
        <v>99.179000000000002</v>
      </c>
      <c r="E177" s="305"/>
      <c r="F177" s="305"/>
      <c r="G177" s="305"/>
      <c r="H177" s="305"/>
      <c r="I177" s="305"/>
      <c r="J177" s="305"/>
      <c r="K177" s="305"/>
      <c r="L177" s="257"/>
      <c r="M177" s="305"/>
      <c r="N177" s="305"/>
      <c r="O177" s="305"/>
      <c r="P177" s="305"/>
      <c r="Q177" s="321"/>
      <c r="R177" s="321"/>
      <c r="S177" s="321"/>
      <c r="T177" s="321"/>
      <c r="U177" s="321"/>
      <c r="V177" s="321"/>
      <c r="W177" s="252"/>
      <c r="X177" s="252"/>
      <c r="Y177" s="252"/>
      <c r="Z177" s="252"/>
      <c r="AA177" s="252"/>
      <c r="AB177" s="252"/>
      <c r="AC177" s="306" t="s">
        <v>884</v>
      </c>
      <c r="AD177" s="307" t="s">
        <v>885</v>
      </c>
    </row>
    <row r="178" spans="1:31" ht="27" customHeight="1">
      <c r="A178" s="1435" t="s">
        <v>1199</v>
      </c>
      <c r="B178" s="1436"/>
      <c r="C178" s="243">
        <f>SUM(C179:C184)</f>
        <v>7246</v>
      </c>
      <c r="D178" s="243">
        <f>SUM(D179:D184)</f>
        <v>7246</v>
      </c>
      <c r="E178" s="243">
        <f t="shared" ref="E178:AB178" si="13">SUM(E179:E184)</f>
        <v>0</v>
      </c>
      <c r="F178" s="243">
        <f t="shared" si="13"/>
        <v>0</v>
      </c>
      <c r="G178" s="243">
        <f t="shared" si="13"/>
        <v>0</v>
      </c>
      <c r="H178" s="243">
        <f t="shared" si="13"/>
        <v>796</v>
      </c>
      <c r="I178" s="243">
        <f t="shared" si="13"/>
        <v>0</v>
      </c>
      <c r="J178" s="243">
        <f t="shared" si="13"/>
        <v>0</v>
      </c>
      <c r="K178" s="243">
        <f t="shared" si="13"/>
        <v>0</v>
      </c>
      <c r="L178" s="243">
        <f t="shared" si="13"/>
        <v>700</v>
      </c>
      <c r="M178" s="243">
        <f t="shared" si="13"/>
        <v>0</v>
      </c>
      <c r="N178" s="243">
        <f t="shared" si="13"/>
        <v>0</v>
      </c>
      <c r="O178" s="243">
        <f t="shared" si="13"/>
        <v>0</v>
      </c>
      <c r="P178" s="243">
        <f t="shared" si="13"/>
        <v>0</v>
      </c>
      <c r="Q178" s="243">
        <f t="shared" si="13"/>
        <v>0</v>
      </c>
      <c r="R178" s="243">
        <f t="shared" si="13"/>
        <v>700</v>
      </c>
      <c r="S178" s="243">
        <f t="shared" si="13"/>
        <v>0</v>
      </c>
      <c r="T178" s="243">
        <f t="shared" si="13"/>
        <v>0</v>
      </c>
      <c r="U178" s="243">
        <f t="shared" si="13"/>
        <v>0</v>
      </c>
      <c r="V178" s="243">
        <f t="shared" si="13"/>
        <v>0</v>
      </c>
      <c r="W178" s="243">
        <f t="shared" si="13"/>
        <v>0</v>
      </c>
      <c r="X178" s="243">
        <f t="shared" si="13"/>
        <v>700</v>
      </c>
      <c r="Y178" s="243">
        <f t="shared" si="13"/>
        <v>0</v>
      </c>
      <c r="Z178" s="243">
        <f t="shared" si="13"/>
        <v>0</v>
      </c>
      <c r="AA178" s="243">
        <f t="shared" si="13"/>
        <v>0</v>
      </c>
      <c r="AB178" s="243">
        <f t="shared" si="13"/>
        <v>4350</v>
      </c>
      <c r="AC178" s="306"/>
      <c r="AD178" s="306"/>
    </row>
    <row r="179" spans="1:31" ht="66" customHeight="1">
      <c r="A179" s="347" t="s">
        <v>244</v>
      </c>
      <c r="B179" s="348" t="s">
        <v>1200</v>
      </c>
      <c r="C179" s="349">
        <v>2450</v>
      </c>
      <c r="D179" s="244">
        <f t="shared" ref="D179:D184" si="14">F179+H179+J179+L179+N179+P179+R179+T179+V179+X179+Z179+AB179</f>
        <v>2450</v>
      </c>
      <c r="E179" s="305"/>
      <c r="F179" s="305"/>
      <c r="G179" s="305"/>
      <c r="H179" s="305"/>
      <c r="I179" s="305"/>
      <c r="J179" s="305"/>
      <c r="K179" s="305"/>
      <c r="L179" s="305"/>
      <c r="M179" s="305"/>
      <c r="N179" s="305"/>
      <c r="O179" s="305"/>
      <c r="P179" s="305"/>
      <c r="Q179" s="321"/>
      <c r="R179" s="321"/>
      <c r="S179" s="321"/>
      <c r="T179" s="321"/>
      <c r="U179" s="321"/>
      <c r="V179" s="321"/>
      <c r="W179" s="252"/>
      <c r="X179" s="252"/>
      <c r="Y179" s="252"/>
      <c r="Z179" s="252"/>
      <c r="AA179" s="252"/>
      <c r="AB179" s="252">
        <v>2450</v>
      </c>
      <c r="AC179" s="306" t="s">
        <v>884</v>
      </c>
      <c r="AD179" s="307" t="s">
        <v>885</v>
      </c>
    </row>
    <row r="180" spans="1:31" ht="132.75" customHeight="1">
      <c r="A180" s="347" t="s">
        <v>245</v>
      </c>
      <c r="B180" s="348" t="s">
        <v>1201</v>
      </c>
      <c r="C180" s="349">
        <v>2800</v>
      </c>
      <c r="D180" s="244">
        <f t="shared" si="14"/>
        <v>2800</v>
      </c>
      <c r="E180" s="305"/>
      <c r="F180" s="305"/>
      <c r="G180" s="305"/>
      <c r="H180" s="305"/>
      <c r="I180" s="305"/>
      <c r="J180" s="305"/>
      <c r="K180" s="305"/>
      <c r="L180" s="305">
        <v>700</v>
      </c>
      <c r="M180" s="305"/>
      <c r="N180" s="305"/>
      <c r="O180" s="305"/>
      <c r="P180" s="305"/>
      <c r="Q180" s="321"/>
      <c r="R180" s="321">
        <v>700</v>
      </c>
      <c r="S180" s="321"/>
      <c r="T180" s="321"/>
      <c r="U180" s="321"/>
      <c r="V180" s="321"/>
      <c r="W180" s="252"/>
      <c r="X180" s="252">
        <v>700</v>
      </c>
      <c r="Y180" s="252"/>
      <c r="Z180" s="252"/>
      <c r="AA180" s="252"/>
      <c r="AB180" s="252">
        <v>700</v>
      </c>
      <c r="AC180" s="306" t="s">
        <v>884</v>
      </c>
      <c r="AD180" s="307" t="s">
        <v>885</v>
      </c>
    </row>
    <row r="181" spans="1:31" ht="31.5" customHeight="1">
      <c r="A181" s="347" t="s">
        <v>246</v>
      </c>
      <c r="B181" s="348" t="s">
        <v>1202</v>
      </c>
      <c r="C181" s="349">
        <v>460</v>
      </c>
      <c r="D181" s="244">
        <f t="shared" si="14"/>
        <v>460</v>
      </c>
      <c r="E181" s="305"/>
      <c r="F181" s="305"/>
      <c r="G181" s="305"/>
      <c r="H181" s="305">
        <v>460</v>
      </c>
      <c r="I181" s="305"/>
      <c r="J181" s="305"/>
      <c r="K181" s="305"/>
      <c r="L181" s="305"/>
      <c r="M181" s="305"/>
      <c r="N181" s="305"/>
      <c r="O181" s="305"/>
      <c r="P181" s="305"/>
      <c r="Q181" s="321"/>
      <c r="R181" s="321"/>
      <c r="S181" s="321"/>
      <c r="T181" s="321"/>
      <c r="U181" s="321"/>
      <c r="V181" s="321"/>
      <c r="W181" s="252"/>
      <c r="X181" s="252"/>
      <c r="Y181" s="252"/>
      <c r="Z181" s="252"/>
      <c r="AA181" s="252"/>
      <c r="AB181" s="252"/>
      <c r="AC181" s="306" t="s">
        <v>884</v>
      </c>
      <c r="AD181" s="307" t="s">
        <v>885</v>
      </c>
    </row>
    <row r="182" spans="1:31" ht="43.5" customHeight="1">
      <c r="A182" s="347" t="s">
        <v>247</v>
      </c>
      <c r="B182" s="348" t="s">
        <v>1203</v>
      </c>
      <c r="C182" s="350">
        <v>46</v>
      </c>
      <c r="D182" s="244">
        <f t="shared" si="14"/>
        <v>46</v>
      </c>
      <c r="E182" s="305"/>
      <c r="F182" s="305"/>
      <c r="G182" s="305"/>
      <c r="H182" s="305">
        <v>46</v>
      </c>
      <c r="I182" s="305"/>
      <c r="J182" s="305"/>
      <c r="K182" s="305"/>
      <c r="L182" s="305"/>
      <c r="M182" s="305"/>
      <c r="N182" s="305"/>
      <c r="O182" s="305"/>
      <c r="P182" s="305"/>
      <c r="Q182" s="321"/>
      <c r="R182" s="321"/>
      <c r="S182" s="321"/>
      <c r="T182" s="321"/>
      <c r="U182" s="321"/>
      <c r="V182" s="321"/>
      <c r="W182" s="252"/>
      <c r="X182" s="252"/>
      <c r="Y182" s="252"/>
      <c r="Z182" s="252"/>
      <c r="AA182" s="252"/>
      <c r="AB182" s="252"/>
      <c r="AC182" s="306" t="s">
        <v>884</v>
      </c>
      <c r="AD182" s="307" t="s">
        <v>885</v>
      </c>
    </row>
    <row r="183" spans="1:31" ht="68.25" customHeight="1">
      <c r="A183" s="347" t="s">
        <v>575</v>
      </c>
      <c r="B183" s="348" t="s">
        <v>1204</v>
      </c>
      <c r="C183" s="350">
        <v>1200</v>
      </c>
      <c r="D183" s="244">
        <f t="shared" si="14"/>
        <v>1200</v>
      </c>
      <c r="E183" s="305"/>
      <c r="F183" s="305"/>
      <c r="G183" s="305"/>
      <c r="H183" s="305"/>
      <c r="I183" s="305"/>
      <c r="J183" s="305"/>
      <c r="K183" s="305"/>
      <c r="L183" s="305"/>
      <c r="M183" s="305"/>
      <c r="N183" s="305"/>
      <c r="O183" s="305"/>
      <c r="P183" s="305"/>
      <c r="Q183" s="321"/>
      <c r="R183" s="321"/>
      <c r="S183" s="321"/>
      <c r="T183" s="321"/>
      <c r="U183" s="321"/>
      <c r="V183" s="321"/>
      <c r="W183" s="252"/>
      <c r="X183" s="252"/>
      <c r="Y183" s="252"/>
      <c r="Z183" s="252"/>
      <c r="AA183" s="252"/>
      <c r="AB183" s="252">
        <v>1200</v>
      </c>
      <c r="AC183" s="306" t="s">
        <v>884</v>
      </c>
      <c r="AD183" s="307" t="s">
        <v>885</v>
      </c>
    </row>
    <row r="184" spans="1:31" ht="80.25" customHeight="1">
      <c r="A184" s="347" t="s">
        <v>577</v>
      </c>
      <c r="B184" s="348" t="s">
        <v>1205</v>
      </c>
      <c r="C184" s="350">
        <v>290</v>
      </c>
      <c r="D184" s="244">
        <f t="shared" si="14"/>
        <v>290</v>
      </c>
      <c r="E184" s="305"/>
      <c r="F184" s="305"/>
      <c r="G184" s="305"/>
      <c r="H184" s="305">
        <v>290</v>
      </c>
      <c r="I184" s="305"/>
      <c r="J184" s="305"/>
      <c r="K184" s="305"/>
      <c r="L184" s="305"/>
      <c r="M184" s="305"/>
      <c r="N184" s="305"/>
      <c r="O184" s="305"/>
      <c r="P184" s="305"/>
      <c r="Q184" s="321"/>
      <c r="R184" s="321"/>
      <c r="S184" s="321"/>
      <c r="T184" s="321"/>
      <c r="U184" s="321"/>
      <c r="V184" s="321"/>
      <c r="W184" s="252"/>
      <c r="X184" s="252"/>
      <c r="Y184" s="252"/>
      <c r="Z184" s="252"/>
      <c r="AA184" s="252"/>
      <c r="AB184" s="252"/>
      <c r="AC184" s="306" t="s">
        <v>884</v>
      </c>
      <c r="AD184" s="307" t="s">
        <v>885</v>
      </c>
    </row>
    <row r="185" spans="1:31" ht="22.5" customHeight="1">
      <c r="A185" s="277" t="s">
        <v>1206</v>
      </c>
      <c r="B185" s="277"/>
      <c r="C185" s="243"/>
      <c r="D185" s="269"/>
      <c r="E185" s="351"/>
      <c r="F185" s="352"/>
      <c r="G185" s="243"/>
      <c r="H185" s="243"/>
      <c r="I185" s="243"/>
      <c r="J185" s="243"/>
      <c r="K185" s="352"/>
      <c r="L185" s="352"/>
      <c r="M185" s="352"/>
      <c r="N185" s="352"/>
      <c r="O185" s="352"/>
      <c r="P185" s="352"/>
      <c r="Q185" s="353"/>
      <c r="R185" s="353"/>
      <c r="S185" s="353"/>
      <c r="T185" s="353"/>
      <c r="U185" s="353"/>
      <c r="V185" s="353"/>
      <c r="W185" s="354"/>
      <c r="X185" s="354"/>
      <c r="Y185" s="354"/>
      <c r="Z185" s="354"/>
      <c r="AA185" s="354"/>
      <c r="AB185" s="354"/>
      <c r="AC185" s="354"/>
      <c r="AD185" s="249"/>
    </row>
    <row r="186" spans="1:31" ht="22.5" customHeight="1">
      <c r="A186" s="1437" t="s">
        <v>825</v>
      </c>
      <c r="B186" s="1438"/>
      <c r="C186" s="243">
        <f t="shared" ref="C186:AB186" si="15">C11+C109+C123+C129+C131+C134+C150+C153</f>
        <v>66920.600000000006</v>
      </c>
      <c r="D186" s="243">
        <f t="shared" si="15"/>
        <v>63018.052185599998</v>
      </c>
      <c r="E186" s="243">
        <f t="shared" si="15"/>
        <v>0</v>
      </c>
      <c r="F186" s="243">
        <f t="shared" si="15"/>
        <v>1368.8659700000001</v>
      </c>
      <c r="G186" s="243">
        <f t="shared" si="15"/>
        <v>0</v>
      </c>
      <c r="H186" s="243">
        <f t="shared" si="15"/>
        <v>2505.5497100000002</v>
      </c>
      <c r="I186" s="243">
        <f t="shared" si="15"/>
        <v>0</v>
      </c>
      <c r="J186" s="243">
        <f t="shared" si="15"/>
        <v>1566.8835899999999</v>
      </c>
      <c r="K186" s="243">
        <f t="shared" si="15"/>
        <v>0</v>
      </c>
      <c r="L186" s="243">
        <f t="shared" si="15"/>
        <v>3562.3974799999996</v>
      </c>
      <c r="M186" s="243">
        <f t="shared" si="15"/>
        <v>0</v>
      </c>
      <c r="N186" s="243">
        <f t="shared" si="15"/>
        <v>2221.75504</v>
      </c>
      <c r="O186" s="243">
        <f t="shared" si="15"/>
        <v>0</v>
      </c>
      <c r="P186" s="243">
        <f t="shared" si="15"/>
        <v>2842.6869299999998</v>
      </c>
      <c r="Q186" s="243">
        <f t="shared" si="15"/>
        <v>0</v>
      </c>
      <c r="R186" s="243">
        <f t="shared" si="15"/>
        <v>3227.5548099999996</v>
      </c>
      <c r="S186" s="243">
        <f t="shared" si="15"/>
        <v>0</v>
      </c>
      <c r="T186" s="243">
        <f t="shared" si="15"/>
        <v>2022.5566200000001</v>
      </c>
      <c r="U186" s="243">
        <f t="shared" si="15"/>
        <v>0</v>
      </c>
      <c r="V186" s="243">
        <f t="shared" si="15"/>
        <v>5722.6229055999993</v>
      </c>
      <c r="W186" s="243">
        <f t="shared" si="15"/>
        <v>0</v>
      </c>
      <c r="X186" s="243">
        <f t="shared" si="15"/>
        <v>2281.9364</v>
      </c>
      <c r="Y186" s="243">
        <f t="shared" si="15"/>
        <v>0</v>
      </c>
      <c r="Z186" s="243">
        <f t="shared" si="15"/>
        <v>3915.2886499999995</v>
      </c>
      <c r="AA186" s="243">
        <f t="shared" si="15"/>
        <v>0</v>
      </c>
      <c r="AB186" s="243">
        <f t="shared" si="15"/>
        <v>31399.414080000002</v>
      </c>
      <c r="AC186" s="244"/>
      <c r="AD186" s="249"/>
    </row>
    <row r="187" spans="1:31" ht="22.5" customHeight="1">
      <c r="A187" s="277" t="s">
        <v>133</v>
      </c>
      <c r="B187" s="277"/>
      <c r="C187" s="243">
        <f>C155</f>
        <v>2073.02</v>
      </c>
      <c r="D187" s="243">
        <f>D155</f>
        <v>5177.0759999999991</v>
      </c>
      <c r="E187" s="243">
        <f t="shared" ref="E187:AB187" si="16">E155</f>
        <v>0</v>
      </c>
      <c r="F187" s="243">
        <f t="shared" si="16"/>
        <v>0</v>
      </c>
      <c r="G187" s="243">
        <f t="shared" si="16"/>
        <v>0</v>
      </c>
      <c r="H187" s="243">
        <f t="shared" si="16"/>
        <v>0</v>
      </c>
      <c r="I187" s="243">
        <f t="shared" si="16"/>
        <v>0</v>
      </c>
      <c r="J187" s="243">
        <f t="shared" si="16"/>
        <v>0</v>
      </c>
      <c r="K187" s="243">
        <f t="shared" si="16"/>
        <v>0</v>
      </c>
      <c r="L187" s="243">
        <f t="shared" si="16"/>
        <v>195</v>
      </c>
      <c r="M187" s="243">
        <f t="shared" si="16"/>
        <v>0</v>
      </c>
      <c r="N187" s="243">
        <f t="shared" si="16"/>
        <v>0</v>
      </c>
      <c r="O187" s="243">
        <f t="shared" si="16"/>
        <v>0</v>
      </c>
      <c r="P187" s="243">
        <f t="shared" si="16"/>
        <v>0</v>
      </c>
      <c r="Q187" s="243">
        <f t="shared" si="16"/>
        <v>0</v>
      </c>
      <c r="R187" s="243">
        <f t="shared" si="16"/>
        <v>0</v>
      </c>
      <c r="S187" s="243">
        <f t="shared" si="16"/>
        <v>0</v>
      </c>
      <c r="T187" s="243">
        <f t="shared" si="16"/>
        <v>0</v>
      </c>
      <c r="U187" s="243">
        <f t="shared" si="16"/>
        <v>0</v>
      </c>
      <c r="V187" s="243">
        <f t="shared" si="16"/>
        <v>0</v>
      </c>
      <c r="W187" s="243">
        <f t="shared" si="16"/>
        <v>0</v>
      </c>
      <c r="X187" s="243">
        <f t="shared" si="16"/>
        <v>0</v>
      </c>
      <c r="Y187" s="243">
        <f t="shared" si="16"/>
        <v>0</v>
      </c>
      <c r="Z187" s="243">
        <f t="shared" si="16"/>
        <v>0</v>
      </c>
      <c r="AA187" s="243">
        <f t="shared" si="16"/>
        <v>0</v>
      </c>
      <c r="AB187" s="243">
        <f t="shared" si="16"/>
        <v>0</v>
      </c>
      <c r="AC187" s="244"/>
      <c r="AD187" s="249"/>
    </row>
    <row r="188" spans="1:31" ht="22.5" customHeight="1">
      <c r="A188" s="1439" t="s">
        <v>134</v>
      </c>
      <c r="B188" s="1440"/>
      <c r="C188" s="243">
        <f>C178</f>
        <v>7246</v>
      </c>
      <c r="D188" s="243">
        <f>D178</f>
        <v>7246</v>
      </c>
      <c r="E188" s="243">
        <f t="shared" ref="E188:AB188" si="17">E178</f>
        <v>0</v>
      </c>
      <c r="F188" s="243">
        <f t="shared" si="17"/>
        <v>0</v>
      </c>
      <c r="G188" s="243">
        <f t="shared" si="17"/>
        <v>0</v>
      </c>
      <c r="H188" s="243">
        <f t="shared" si="17"/>
        <v>796</v>
      </c>
      <c r="I188" s="243">
        <f t="shared" si="17"/>
        <v>0</v>
      </c>
      <c r="J188" s="243">
        <f t="shared" si="17"/>
        <v>0</v>
      </c>
      <c r="K188" s="243">
        <f t="shared" si="17"/>
        <v>0</v>
      </c>
      <c r="L188" s="243">
        <f t="shared" si="17"/>
        <v>700</v>
      </c>
      <c r="M188" s="243">
        <f t="shared" si="17"/>
        <v>0</v>
      </c>
      <c r="N188" s="243">
        <f t="shared" si="17"/>
        <v>0</v>
      </c>
      <c r="O188" s="243">
        <f t="shared" si="17"/>
        <v>0</v>
      </c>
      <c r="P188" s="243">
        <f t="shared" si="17"/>
        <v>0</v>
      </c>
      <c r="Q188" s="243">
        <f t="shared" si="17"/>
        <v>0</v>
      </c>
      <c r="R188" s="243">
        <f t="shared" si="17"/>
        <v>700</v>
      </c>
      <c r="S188" s="243">
        <f t="shared" si="17"/>
        <v>0</v>
      </c>
      <c r="T188" s="243">
        <f t="shared" si="17"/>
        <v>0</v>
      </c>
      <c r="U188" s="243">
        <f t="shared" si="17"/>
        <v>0</v>
      </c>
      <c r="V188" s="243">
        <f t="shared" si="17"/>
        <v>0</v>
      </c>
      <c r="W188" s="243">
        <f t="shared" si="17"/>
        <v>0</v>
      </c>
      <c r="X188" s="243">
        <f t="shared" si="17"/>
        <v>700</v>
      </c>
      <c r="Y188" s="243">
        <f t="shared" si="17"/>
        <v>0</v>
      </c>
      <c r="Z188" s="243">
        <f t="shared" si="17"/>
        <v>0</v>
      </c>
      <c r="AA188" s="243">
        <f t="shared" si="17"/>
        <v>0</v>
      </c>
      <c r="AB188" s="243">
        <f t="shared" si="17"/>
        <v>4350</v>
      </c>
      <c r="AC188" s="244"/>
      <c r="AD188" s="249"/>
    </row>
    <row r="189" spans="1:31" ht="22.5" customHeight="1"/>
    <row r="191" spans="1:31" ht="15.75">
      <c r="A191" s="292" t="s">
        <v>949</v>
      </c>
      <c r="B191" s="287"/>
      <c r="C191" s="7"/>
      <c r="D191" s="288"/>
      <c r="E191" s="288"/>
      <c r="F191" s="288"/>
      <c r="G191" s="289"/>
      <c r="H191" s="288"/>
      <c r="I191" s="289"/>
      <c r="J191" s="288"/>
      <c r="K191" s="288"/>
      <c r="L191" s="289"/>
      <c r="M191" s="288"/>
      <c r="N191" s="288"/>
      <c r="O191" s="288"/>
      <c r="P191" s="288"/>
      <c r="Q191" s="288"/>
      <c r="R191" s="288"/>
      <c r="S191" s="288"/>
      <c r="T191" s="288"/>
      <c r="U191" s="290"/>
      <c r="V191" s="288"/>
      <c r="W191" s="289"/>
      <c r="X191" s="288"/>
      <c r="Y191" s="289"/>
      <c r="Z191" s="288"/>
      <c r="AA191" s="290"/>
      <c r="AB191" s="288"/>
      <c r="AC191" s="288" t="s">
        <v>341</v>
      </c>
      <c r="AD191" s="288"/>
      <c r="AE191" s="7"/>
    </row>
    <row r="192" spans="1:31" ht="7.5" customHeight="1">
      <c r="A192" s="292"/>
      <c r="B192" s="287"/>
      <c r="C192" s="7"/>
      <c r="D192" s="288"/>
      <c r="E192" s="288"/>
      <c r="F192" s="288"/>
      <c r="G192" s="289"/>
      <c r="H192" s="288"/>
      <c r="I192" s="289"/>
      <c r="J192" s="288"/>
      <c r="K192" s="288"/>
      <c r="L192" s="289"/>
      <c r="M192" s="288"/>
      <c r="N192" s="288"/>
      <c r="O192" s="288"/>
      <c r="P192" s="288"/>
      <c r="Q192" s="288"/>
      <c r="R192" s="288"/>
      <c r="S192" s="288"/>
      <c r="T192" s="288"/>
      <c r="U192" s="290"/>
      <c r="V192" s="288"/>
      <c r="W192" s="289"/>
      <c r="X192" s="288"/>
      <c r="Y192" s="289"/>
      <c r="Z192" s="288"/>
      <c r="AA192" s="290"/>
      <c r="AB192" s="288"/>
      <c r="AC192" s="288"/>
      <c r="AD192" s="288"/>
      <c r="AE192" s="7"/>
    </row>
    <row r="193" spans="1:31" ht="21.75" customHeight="1">
      <c r="A193" s="292"/>
      <c r="B193" s="287"/>
      <c r="C193" s="7"/>
      <c r="D193" s="288"/>
      <c r="E193" s="288"/>
      <c r="F193" s="288"/>
      <c r="G193" s="289"/>
      <c r="H193" s="288"/>
      <c r="I193" s="289"/>
      <c r="J193" s="288"/>
      <c r="K193" s="288"/>
      <c r="L193" s="289"/>
      <c r="M193" s="288"/>
      <c r="N193" s="288"/>
      <c r="O193" s="288"/>
      <c r="P193" s="288"/>
      <c r="Q193" s="288"/>
      <c r="R193" s="288"/>
      <c r="S193" s="288"/>
      <c r="T193" s="288"/>
      <c r="U193" s="290"/>
      <c r="V193" s="288"/>
      <c r="W193" s="289"/>
      <c r="X193" s="288"/>
      <c r="Y193" s="289"/>
      <c r="Z193" s="288"/>
      <c r="AA193" s="290"/>
      <c r="AB193" s="288"/>
      <c r="AC193" s="288"/>
      <c r="AD193" s="288"/>
      <c r="AE193" s="7"/>
    </row>
    <row r="194" spans="1:31" ht="15.75">
      <c r="A194" s="291" t="s">
        <v>1380</v>
      </c>
      <c r="B194" s="287"/>
      <c r="C194" s="288"/>
      <c r="D194" s="7"/>
      <c r="E194" s="288"/>
      <c r="F194" s="288"/>
      <c r="G194" s="288"/>
      <c r="H194" s="289"/>
      <c r="I194" s="288"/>
      <c r="J194" s="288"/>
      <c r="K194" s="288"/>
      <c r="L194" s="288"/>
      <c r="M194" s="289"/>
      <c r="N194" s="288"/>
      <c r="O194" s="288"/>
      <c r="P194" s="288"/>
      <c r="Q194" s="288"/>
      <c r="R194" s="288"/>
      <c r="S194" s="288"/>
      <c r="T194" s="288"/>
      <c r="U194" s="288"/>
      <c r="V194" s="288"/>
      <c r="W194" s="288"/>
      <c r="X194" s="289"/>
      <c r="Y194" s="288"/>
      <c r="Z194" s="289"/>
      <c r="AA194" s="288"/>
      <c r="AB194" s="288"/>
      <c r="AC194" s="288" t="s">
        <v>1381</v>
      </c>
      <c r="AD194" s="7"/>
    </row>
    <row r="195" spans="1:31" ht="27" customHeight="1">
      <c r="A195" s="288"/>
      <c r="B195" s="288"/>
      <c r="C195" s="7"/>
      <c r="D195" s="288"/>
      <c r="E195" s="288"/>
      <c r="F195" s="288"/>
      <c r="G195" s="289"/>
      <c r="H195" s="288"/>
      <c r="I195" s="288"/>
      <c r="J195" s="288"/>
      <c r="K195" s="288"/>
      <c r="L195" s="289"/>
      <c r="M195" s="288"/>
      <c r="N195" s="288"/>
      <c r="O195" s="288"/>
      <c r="P195" s="288"/>
      <c r="Q195" s="288"/>
      <c r="R195" s="288"/>
      <c r="S195" s="288"/>
      <c r="T195" s="288"/>
      <c r="U195" s="288"/>
      <c r="V195" s="288"/>
      <c r="W195" s="289"/>
      <c r="X195" s="288"/>
      <c r="Y195" s="289"/>
      <c r="Z195" s="288"/>
      <c r="AA195" s="288"/>
      <c r="AB195" s="288"/>
      <c r="AC195" s="288"/>
      <c r="AD195" s="288"/>
      <c r="AE195" s="7"/>
    </row>
    <row r="196" spans="1:31" ht="15.75">
      <c r="A196" s="291" t="s">
        <v>1207</v>
      </c>
      <c r="B196" s="287"/>
      <c r="C196" s="7"/>
      <c r="D196" s="288"/>
      <c r="E196" s="288"/>
      <c r="F196" s="288"/>
      <c r="G196" s="289"/>
      <c r="H196" s="288"/>
      <c r="I196" s="289"/>
      <c r="J196" s="288"/>
      <c r="K196" s="288"/>
      <c r="L196" s="288"/>
      <c r="M196" s="288"/>
      <c r="N196" s="288"/>
      <c r="O196" s="288"/>
      <c r="P196" s="288"/>
      <c r="Q196" s="288"/>
      <c r="R196" s="293"/>
      <c r="S196" s="288"/>
      <c r="T196" s="288"/>
      <c r="U196" s="288"/>
      <c r="V196" s="288"/>
      <c r="W196" s="289"/>
      <c r="X196" s="293"/>
      <c r="Y196" s="288"/>
      <c r="Z196" s="288"/>
      <c r="AA196" s="288"/>
      <c r="AB196" s="288"/>
      <c r="AC196" s="288" t="s">
        <v>135</v>
      </c>
      <c r="AD196" s="288"/>
      <c r="AE196" s="7"/>
    </row>
    <row r="197" spans="1:31" ht="27" customHeight="1">
      <c r="A197" s="355"/>
      <c r="B197" s="297"/>
      <c r="C197" s="7"/>
      <c r="D197" s="356"/>
      <c r="E197" s="357"/>
      <c r="F197" s="355"/>
      <c r="G197" s="358"/>
      <c r="H197" s="355"/>
      <c r="I197" s="355"/>
      <c r="J197" s="355"/>
      <c r="K197" s="355"/>
      <c r="L197" s="355"/>
      <c r="M197" s="355"/>
      <c r="N197" s="355"/>
      <c r="O197" s="355"/>
      <c r="P197" s="355"/>
      <c r="Q197" s="355"/>
      <c r="R197" s="355"/>
      <c r="S197" s="355"/>
      <c r="T197" s="355"/>
      <c r="U197" s="355"/>
      <c r="V197" s="355"/>
      <c r="W197" s="358"/>
      <c r="X197" s="355"/>
      <c r="Y197" s="355"/>
      <c r="Z197" s="355"/>
      <c r="AA197" s="355"/>
      <c r="AB197" s="355"/>
      <c r="AC197" s="297"/>
      <c r="AD197" s="297"/>
      <c r="AE197" s="7"/>
    </row>
    <row r="198" spans="1:31" ht="15.75">
      <c r="A198" s="288"/>
      <c r="B198" s="288"/>
      <c r="C198" s="7"/>
      <c r="D198" s="288"/>
      <c r="E198" s="288"/>
      <c r="F198" s="288"/>
      <c r="G198" s="288"/>
      <c r="H198" s="288"/>
      <c r="I198" s="288"/>
      <c r="J198" s="288"/>
      <c r="K198" s="288"/>
      <c r="L198" s="288"/>
      <c r="M198" s="288"/>
      <c r="N198" s="288"/>
      <c r="O198" s="288"/>
      <c r="P198" s="288"/>
      <c r="Q198" s="288"/>
      <c r="R198" s="288"/>
      <c r="S198" s="288"/>
      <c r="T198" s="288"/>
      <c r="U198" s="288"/>
      <c r="V198" s="288"/>
      <c r="W198" s="289"/>
      <c r="X198" s="288"/>
      <c r="Y198" s="288"/>
      <c r="Z198" s="288"/>
      <c r="AA198" s="288"/>
      <c r="AB198" s="288"/>
      <c r="AC198" s="288"/>
      <c r="AD198" s="288"/>
      <c r="AE198" s="7"/>
    </row>
  </sheetData>
  <mergeCells count="44">
    <mergeCell ref="A178:B178"/>
    <mergeCell ref="A186:B186"/>
    <mergeCell ref="A188:B188"/>
    <mergeCell ref="A131:B131"/>
    <mergeCell ref="A132:A133"/>
    <mergeCell ref="B132:B133"/>
    <mergeCell ref="A155:B155"/>
    <mergeCell ref="C132:C133"/>
    <mergeCell ref="A134:B134"/>
    <mergeCell ref="A135:B135"/>
    <mergeCell ref="A150:B150"/>
    <mergeCell ref="A153:B153"/>
    <mergeCell ref="D63:D64"/>
    <mergeCell ref="H63:H64"/>
    <mergeCell ref="AD63:AD64"/>
    <mergeCell ref="D65:D66"/>
    <mergeCell ref="X65:X66"/>
    <mergeCell ref="AD65:AD66"/>
    <mergeCell ref="K7:L7"/>
    <mergeCell ref="M7:N7"/>
    <mergeCell ref="O7:P7"/>
    <mergeCell ref="Q7:R7"/>
    <mergeCell ref="S7:T7"/>
    <mergeCell ref="D56:D57"/>
    <mergeCell ref="F56:F57"/>
    <mergeCell ref="P56:P57"/>
    <mergeCell ref="R56:R57"/>
    <mergeCell ref="AD56:AD57"/>
    <mergeCell ref="A10:AD10"/>
    <mergeCell ref="A1:AD1"/>
    <mergeCell ref="A2:AD2"/>
    <mergeCell ref="A4:AD4"/>
    <mergeCell ref="A5:AD5"/>
    <mergeCell ref="A7:A8"/>
    <mergeCell ref="B7:B8"/>
    <mergeCell ref="C7:D7"/>
    <mergeCell ref="E7:F7"/>
    <mergeCell ref="G7:H7"/>
    <mergeCell ref="I7:J7"/>
    <mergeCell ref="U7:V7"/>
    <mergeCell ref="W7:X7"/>
    <mergeCell ref="Y7:Z7"/>
    <mergeCell ref="AA7:AB7"/>
    <mergeCell ref="AC7:AD7"/>
  </mergeCells>
  <pageMargins left="0.98425196850393704" right="0.39370078740157483" top="0.39370078740157483" bottom="0.3937007874015748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dimension ref="A1:AN310"/>
  <sheetViews>
    <sheetView view="pageBreakPreview" topLeftCell="A290" zoomScale="78" zoomScaleNormal="100" zoomScaleSheetLayoutView="78" workbookViewId="0">
      <selection activeCell="AR310" sqref="AR310"/>
    </sheetView>
  </sheetViews>
  <sheetFormatPr defaultRowHeight="15" outlineLevelCol="1"/>
  <cols>
    <col min="8" max="8" width="10.42578125" hidden="1" customWidth="1" outlineLevel="1"/>
    <col min="9" max="9" width="0" hidden="1" customWidth="1" outlineLevel="1"/>
    <col min="10" max="10" width="12" customWidth="1" collapsed="1"/>
    <col min="11" max="11" width="12.140625" customWidth="1"/>
    <col min="12" max="38" width="0" hidden="1" customWidth="1" outlineLevel="1"/>
    <col min="39" max="39" width="9.140625" collapsed="1"/>
  </cols>
  <sheetData>
    <row r="1" spans="1:40" ht="15" customHeight="1">
      <c r="A1" s="1554" t="s">
        <v>1400</v>
      </c>
      <c r="B1" s="1554"/>
      <c r="C1" s="1554"/>
      <c r="D1" s="1554"/>
      <c r="E1" s="1554"/>
      <c r="F1" s="1554"/>
      <c r="G1" s="1554"/>
      <c r="H1" s="1554"/>
      <c r="I1" s="1554"/>
      <c r="J1" s="1554"/>
      <c r="K1" s="1554"/>
      <c r="L1" s="1554"/>
      <c r="M1" s="1554"/>
      <c r="N1" s="1554"/>
      <c r="O1" s="1554"/>
      <c r="P1" s="1554"/>
      <c r="Q1" s="1554"/>
      <c r="R1" s="1554"/>
      <c r="S1" s="1554"/>
      <c r="T1" s="1554"/>
      <c r="U1" s="1554"/>
      <c r="V1" s="1554"/>
      <c r="W1" s="1554"/>
      <c r="X1" s="1554"/>
      <c r="Y1" s="1554"/>
      <c r="Z1" s="1554"/>
      <c r="AA1" s="1554"/>
      <c r="AB1" s="1554"/>
      <c r="AC1" s="1554"/>
      <c r="AD1" s="1554"/>
      <c r="AE1" s="1555"/>
      <c r="AF1" s="1555"/>
      <c r="AG1" s="1555"/>
      <c r="AH1" s="1555"/>
      <c r="AI1" s="1555"/>
      <c r="AJ1" s="1555"/>
      <c r="AK1" s="1555"/>
      <c r="AL1" s="1555"/>
      <c r="AM1" s="1555"/>
      <c r="AN1" s="1555"/>
    </row>
    <row r="2" spans="1:40" ht="15" customHeight="1">
      <c r="A2" s="1412" t="s">
        <v>1756</v>
      </c>
      <c r="B2" s="1412"/>
      <c r="C2" s="1412"/>
      <c r="D2" s="1412"/>
      <c r="E2" s="1412"/>
      <c r="F2" s="1412"/>
      <c r="G2" s="1412"/>
      <c r="H2" s="1412"/>
      <c r="I2" s="1412"/>
      <c r="J2" s="1412"/>
      <c r="K2" s="1412"/>
      <c r="L2" s="1412"/>
      <c r="M2" s="1412"/>
      <c r="N2" s="1412"/>
      <c r="O2" s="1412"/>
      <c r="P2" s="1412"/>
      <c r="Q2" s="1412"/>
      <c r="R2" s="1412"/>
      <c r="S2" s="1412"/>
      <c r="T2" s="1412"/>
      <c r="U2" s="1412"/>
      <c r="V2" s="1412"/>
      <c r="W2" s="1412"/>
      <c r="X2" s="1412"/>
      <c r="Y2" s="1412"/>
      <c r="Z2" s="1412"/>
      <c r="AA2" s="1412"/>
      <c r="AB2" s="1412"/>
      <c r="AC2" s="1412"/>
      <c r="AD2" s="1412"/>
    </row>
    <row r="3" spans="1:40" ht="15" customHeight="1">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row>
    <row r="4" spans="1:40" ht="15" customHeight="1">
      <c r="A4" s="1556" t="s">
        <v>1757</v>
      </c>
      <c r="B4" s="1556"/>
      <c r="C4" s="1556"/>
      <c r="D4" s="1556"/>
      <c r="E4" s="1556"/>
      <c r="F4" s="1556"/>
      <c r="G4" s="1556"/>
      <c r="H4" s="1556"/>
      <c r="I4" s="1556"/>
      <c r="J4" s="1556"/>
      <c r="K4" s="1556"/>
      <c r="L4" s="1556"/>
      <c r="M4" s="1556"/>
      <c r="N4" s="1556"/>
      <c r="O4" s="1556"/>
      <c r="P4" s="1556"/>
      <c r="Q4" s="1556"/>
      <c r="R4" s="1556"/>
      <c r="S4" s="1556"/>
      <c r="T4" s="1556"/>
      <c r="U4" s="1556"/>
      <c r="V4" s="1556"/>
      <c r="W4" s="1556"/>
      <c r="X4" s="1556"/>
      <c r="Y4" s="1556"/>
      <c r="Z4" s="1556"/>
      <c r="AA4" s="1556"/>
      <c r="AB4" s="1556"/>
      <c r="AC4" s="1556"/>
      <c r="AD4" s="1556"/>
      <c r="AE4" s="1555"/>
      <c r="AF4" s="1555"/>
      <c r="AG4" s="1555"/>
      <c r="AH4" s="1555"/>
      <c r="AI4" s="1555"/>
      <c r="AJ4" s="1555"/>
      <c r="AK4" s="1555"/>
      <c r="AL4" s="1555"/>
      <c r="AM4" s="1555"/>
      <c r="AN4" s="1555"/>
    </row>
    <row r="5" spans="1:40" ht="15" customHeight="1">
      <c r="A5" s="1414" t="s">
        <v>1758</v>
      </c>
      <c r="B5" s="1414"/>
      <c r="C5" s="1414"/>
      <c r="D5" s="1414"/>
      <c r="E5" s="1414"/>
      <c r="F5" s="1414"/>
      <c r="G5" s="1414"/>
      <c r="H5" s="1414"/>
      <c r="I5" s="1414"/>
      <c r="J5" s="1414"/>
      <c r="K5" s="1414"/>
      <c r="L5" s="1414"/>
      <c r="M5" s="1414"/>
      <c r="N5" s="1414"/>
      <c r="O5" s="1414"/>
      <c r="P5" s="1414"/>
      <c r="Q5" s="1414"/>
      <c r="R5" s="1414"/>
      <c r="S5" s="1414"/>
      <c r="T5" s="1414"/>
      <c r="U5" s="1414"/>
      <c r="V5" s="1414"/>
      <c r="W5" s="1414"/>
      <c r="X5" s="1414"/>
      <c r="Y5" s="1414"/>
      <c r="Z5" s="1414"/>
      <c r="AA5" s="1414"/>
      <c r="AB5" s="1414"/>
      <c r="AC5" s="1414"/>
      <c r="AD5" s="1414"/>
    </row>
    <row r="6" spans="1:40" ht="15" customHeight="1">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1:40" ht="15" customHeight="1">
      <c r="A7" s="1557" t="s">
        <v>7</v>
      </c>
      <c r="B7" s="1559" t="s">
        <v>8</v>
      </c>
      <c r="C7" s="1560"/>
      <c r="D7" s="1560"/>
      <c r="E7" s="1560"/>
      <c r="F7" s="1560"/>
      <c r="G7" s="1561"/>
      <c r="H7" s="1568" t="s">
        <v>1759</v>
      </c>
      <c r="I7" s="471"/>
      <c r="J7" s="1570" t="s">
        <v>1535</v>
      </c>
      <c r="K7" s="1571"/>
      <c r="L7" s="1574" t="s">
        <v>865</v>
      </c>
      <c r="M7" s="1574"/>
      <c r="N7" s="1574" t="s">
        <v>866</v>
      </c>
      <c r="O7" s="1574"/>
      <c r="P7" s="1574" t="s">
        <v>867</v>
      </c>
      <c r="Q7" s="1574"/>
      <c r="R7" s="1574" t="s">
        <v>868</v>
      </c>
      <c r="S7" s="1574"/>
      <c r="T7" s="1574" t="s">
        <v>869</v>
      </c>
      <c r="U7" s="1574"/>
      <c r="V7" s="1574" t="s">
        <v>870</v>
      </c>
      <c r="W7" s="1574"/>
      <c r="X7" s="1575" t="s">
        <v>871</v>
      </c>
      <c r="Y7" s="1575"/>
      <c r="Z7" s="1575" t="s">
        <v>872</v>
      </c>
      <c r="AA7" s="1575"/>
      <c r="AB7" s="1575" t="s">
        <v>873</v>
      </c>
      <c r="AC7" s="1575"/>
      <c r="AD7" s="1575" t="s">
        <v>874</v>
      </c>
      <c r="AE7" s="1575"/>
      <c r="AF7" s="1575" t="s">
        <v>875</v>
      </c>
      <c r="AG7" s="1575"/>
      <c r="AH7" s="1575" t="s">
        <v>876</v>
      </c>
      <c r="AI7" s="1575"/>
      <c r="AJ7" s="1576" t="s">
        <v>1536</v>
      </c>
      <c r="AK7" s="1576" t="s">
        <v>1537</v>
      </c>
      <c r="AL7" s="1576" t="s">
        <v>1538</v>
      </c>
      <c r="AM7" s="1577" t="s">
        <v>490</v>
      </c>
      <c r="AN7" s="1578"/>
    </row>
    <row r="8" spans="1:40" ht="15" customHeight="1">
      <c r="A8" s="1558"/>
      <c r="B8" s="1562"/>
      <c r="C8" s="1563"/>
      <c r="D8" s="1563"/>
      <c r="E8" s="1563"/>
      <c r="F8" s="1563"/>
      <c r="G8" s="1564"/>
      <c r="H8" s="1569"/>
      <c r="I8" s="438"/>
      <c r="J8" s="1572"/>
      <c r="K8" s="1573"/>
      <c r="L8" s="1574"/>
      <c r="M8" s="1574"/>
      <c r="N8" s="1574"/>
      <c r="O8" s="1574"/>
      <c r="P8" s="1574"/>
      <c r="Q8" s="1574"/>
      <c r="R8" s="1574"/>
      <c r="S8" s="1574"/>
      <c r="T8" s="1574"/>
      <c r="U8" s="1574"/>
      <c r="V8" s="1574"/>
      <c r="W8" s="1574"/>
      <c r="X8" s="1575"/>
      <c r="Y8" s="1575"/>
      <c r="Z8" s="1575"/>
      <c r="AA8" s="1575"/>
      <c r="AB8" s="1575"/>
      <c r="AC8" s="1575"/>
      <c r="AD8" s="1575"/>
      <c r="AE8" s="1575"/>
      <c r="AF8" s="1575"/>
      <c r="AG8" s="1575"/>
      <c r="AH8" s="1575"/>
      <c r="AI8" s="1575"/>
      <c r="AJ8" s="1576"/>
      <c r="AK8" s="1576"/>
      <c r="AL8" s="1576"/>
      <c r="AM8" s="1579"/>
      <c r="AN8" s="1580"/>
    </row>
    <row r="9" spans="1:40" ht="113.25">
      <c r="A9" s="1476"/>
      <c r="B9" s="1565"/>
      <c r="C9" s="1566"/>
      <c r="D9" s="1566"/>
      <c r="E9" s="1566"/>
      <c r="F9" s="1566"/>
      <c r="G9" s="1567"/>
      <c r="H9" s="438"/>
      <c r="I9" s="438"/>
      <c r="J9" s="438" t="s">
        <v>877</v>
      </c>
      <c r="K9" s="438" t="s">
        <v>878</v>
      </c>
      <c r="L9" s="474"/>
      <c r="M9" s="474"/>
      <c r="N9" s="474"/>
      <c r="O9" s="474"/>
      <c r="P9" s="474"/>
      <c r="Q9" s="474"/>
      <c r="R9" s="474"/>
      <c r="S9" s="474"/>
      <c r="T9" s="474"/>
      <c r="U9" s="474"/>
      <c r="V9" s="474"/>
      <c r="W9" s="474"/>
      <c r="X9" s="475"/>
      <c r="Y9" s="475"/>
      <c r="Z9" s="475"/>
      <c r="AA9" s="475"/>
      <c r="AB9" s="475"/>
      <c r="AC9" s="475"/>
      <c r="AD9" s="475"/>
      <c r="AE9" s="475"/>
      <c r="AF9" s="475"/>
      <c r="AG9" s="475"/>
      <c r="AH9" s="475"/>
      <c r="AI9" s="475"/>
      <c r="AJ9" s="438"/>
      <c r="AK9" s="438"/>
      <c r="AL9" s="438"/>
      <c r="AM9" s="440" t="s">
        <v>491</v>
      </c>
      <c r="AN9" s="440" t="s">
        <v>492</v>
      </c>
    </row>
    <row r="10" spans="1:40" ht="15" customHeight="1">
      <c r="A10" s="476" t="s">
        <v>463</v>
      </c>
      <c r="B10" s="1592">
        <v>2</v>
      </c>
      <c r="C10" s="1593"/>
      <c r="D10" s="1593"/>
      <c r="E10" s="1593"/>
      <c r="F10" s="1593"/>
      <c r="G10" s="1594"/>
      <c r="H10" s="465"/>
      <c r="I10" s="477"/>
      <c r="J10" s="477">
        <v>3</v>
      </c>
      <c r="K10" s="438">
        <v>4</v>
      </c>
      <c r="L10" s="438" t="s">
        <v>879</v>
      </c>
      <c r="M10" s="438" t="s">
        <v>880</v>
      </c>
      <c r="N10" s="438" t="s">
        <v>879</v>
      </c>
      <c r="O10" s="438" t="s">
        <v>880</v>
      </c>
      <c r="P10" s="438" t="s">
        <v>879</v>
      </c>
      <c r="Q10" s="438" t="s">
        <v>880</v>
      </c>
      <c r="R10" s="438" t="s">
        <v>879</v>
      </c>
      <c r="S10" s="438" t="s">
        <v>880</v>
      </c>
      <c r="T10" s="438" t="s">
        <v>879</v>
      </c>
      <c r="U10" s="438" t="s">
        <v>880</v>
      </c>
      <c r="V10" s="438" t="s">
        <v>879</v>
      </c>
      <c r="W10" s="438" t="s">
        <v>880</v>
      </c>
      <c r="X10" s="438" t="s">
        <v>879</v>
      </c>
      <c r="Y10" s="438" t="s">
        <v>880</v>
      </c>
      <c r="Z10" s="438" t="s">
        <v>879</v>
      </c>
      <c r="AA10" s="438" t="s">
        <v>880</v>
      </c>
      <c r="AB10" s="438" t="s">
        <v>879</v>
      </c>
      <c r="AC10" s="438" t="s">
        <v>880</v>
      </c>
      <c r="AD10" s="438" t="s">
        <v>879</v>
      </c>
      <c r="AE10" s="438" t="s">
        <v>880</v>
      </c>
      <c r="AF10" s="438" t="s">
        <v>879</v>
      </c>
      <c r="AG10" s="438" t="s">
        <v>880</v>
      </c>
      <c r="AH10" s="438" t="s">
        <v>879</v>
      </c>
      <c r="AI10" s="438" t="s">
        <v>880</v>
      </c>
      <c r="AJ10" s="438"/>
      <c r="AK10" s="438"/>
      <c r="AL10" s="438"/>
      <c r="AM10" s="441">
        <v>5</v>
      </c>
      <c r="AN10" s="441">
        <v>6</v>
      </c>
    </row>
    <row r="11" spans="1:40">
      <c r="A11" s="1595" t="s">
        <v>11</v>
      </c>
      <c r="B11" s="1596"/>
      <c r="C11" s="1596"/>
      <c r="D11" s="1596"/>
      <c r="E11" s="1596"/>
      <c r="F11" s="1596"/>
      <c r="G11" s="1596"/>
      <c r="H11" s="461">
        <f>SUM(H12,H161,H171,H209,H236,H241,H257,H261,H267,H272)</f>
        <v>95522.872999999992</v>
      </c>
      <c r="I11" s="478"/>
      <c r="J11" s="461">
        <f>SUM(J12,J161,J171,J209,J236,J241,J257,J261,J267,J272)</f>
        <v>80951.587288135619</v>
      </c>
      <c r="K11" s="461">
        <f>SUM(K12,K161,K171,K209,K236,K241,K257,K261,K267,K272)</f>
        <v>91442.903130000021</v>
      </c>
      <c r="L11" s="443"/>
      <c r="M11" s="443"/>
      <c r="N11" s="443"/>
      <c r="O11" s="443"/>
      <c r="P11" s="443"/>
      <c r="Q11" s="443"/>
      <c r="R11" s="443"/>
      <c r="S11" s="443"/>
      <c r="T11" s="443"/>
      <c r="U11" s="443"/>
      <c r="V11" s="443"/>
      <c r="W11" s="443"/>
      <c r="X11" s="444"/>
      <c r="Y11" s="444"/>
      <c r="Z11" s="444"/>
      <c r="AA11" s="444"/>
      <c r="AB11" s="444"/>
      <c r="AC11" s="444"/>
      <c r="AD11" s="444"/>
      <c r="AE11" s="444"/>
      <c r="AF11" s="444"/>
      <c r="AG11" s="444"/>
      <c r="AH11" s="444"/>
      <c r="AI11" s="444"/>
      <c r="AJ11" s="439"/>
      <c r="AK11" s="439"/>
      <c r="AL11" s="439"/>
      <c r="AM11" s="445"/>
      <c r="AN11" s="445"/>
    </row>
    <row r="12" spans="1:40">
      <c r="A12" s="1500" t="s">
        <v>12</v>
      </c>
      <c r="B12" s="1501"/>
      <c r="C12" s="1501"/>
      <c r="D12" s="1501"/>
      <c r="E12" s="1501"/>
      <c r="F12" s="1501"/>
      <c r="G12" s="1501"/>
      <c r="H12" s="442">
        <f>SUM(H13:H160)</f>
        <v>29579.710000000003</v>
      </c>
      <c r="I12" s="442"/>
      <c r="J12" s="442">
        <f>SUM(J13:J160)</f>
        <v>25067.550847457635</v>
      </c>
      <c r="K12" s="442">
        <f>SUM(K13:K158)</f>
        <v>29705.509346101695</v>
      </c>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46"/>
      <c r="AN12" s="446"/>
    </row>
    <row r="13" spans="1:40" ht="15" customHeight="1">
      <c r="A13" s="1591" t="s">
        <v>137</v>
      </c>
      <c r="B13" s="1518" t="s">
        <v>13</v>
      </c>
      <c r="C13" s="1518"/>
      <c r="D13" s="1518"/>
      <c r="E13" s="1518"/>
      <c r="F13" s="1518"/>
      <c r="G13" s="1518"/>
      <c r="H13" s="1513">
        <v>2950</v>
      </c>
      <c r="I13" s="1475">
        <v>1.18</v>
      </c>
      <c r="J13" s="1475">
        <f>H13/I13</f>
        <v>2500</v>
      </c>
      <c r="K13" s="1425">
        <f>SUM(L13:AI13)</f>
        <v>2405.6204915254239</v>
      </c>
      <c r="L13" s="447"/>
      <c r="M13" s="447"/>
      <c r="N13" s="447"/>
      <c r="O13" s="447"/>
      <c r="P13" s="447"/>
      <c r="Q13" s="447"/>
      <c r="R13" s="447"/>
      <c r="S13" s="447"/>
      <c r="T13" s="447"/>
      <c r="U13" s="447"/>
      <c r="V13" s="447"/>
      <c r="W13" s="447"/>
      <c r="X13" s="447"/>
      <c r="Y13" s="447">
        <f>1060.1892/1.18</f>
        <v>898.46542372881368</v>
      </c>
      <c r="Z13" s="447"/>
      <c r="AA13" s="447">
        <f>522.17694/1.18</f>
        <v>442.52283050847456</v>
      </c>
      <c r="AB13" s="447"/>
      <c r="AC13" s="447">
        <f>241.44448/1.18</f>
        <v>204.61396610169493</v>
      </c>
      <c r="AD13" s="447"/>
      <c r="AE13" s="447">
        <f>1014.82156/1.18</f>
        <v>860.01827118644076</v>
      </c>
      <c r="AF13" s="447"/>
      <c r="AG13" s="447"/>
      <c r="AH13" s="447"/>
      <c r="AI13" s="447"/>
      <c r="AJ13" s="460"/>
      <c r="AK13" s="460"/>
      <c r="AL13" s="460"/>
      <c r="AM13" s="1519" t="s">
        <v>1327</v>
      </c>
      <c r="AN13" s="1519" t="s">
        <v>1328</v>
      </c>
    </row>
    <row r="14" spans="1:40" ht="15" customHeight="1">
      <c r="A14" s="1591"/>
      <c r="B14" s="480" t="s">
        <v>438</v>
      </c>
      <c r="C14" s="448" t="s">
        <v>441</v>
      </c>
      <c r="D14" s="448" t="s">
        <v>439</v>
      </c>
      <c r="E14" s="448" t="s">
        <v>1760</v>
      </c>
      <c r="F14" s="448" t="s">
        <v>440</v>
      </c>
      <c r="G14" s="481"/>
      <c r="H14" s="1513"/>
      <c r="I14" s="1476"/>
      <c r="J14" s="1476"/>
      <c r="K14" s="1514"/>
      <c r="L14" s="457"/>
      <c r="M14" s="460"/>
      <c r="N14" s="460"/>
      <c r="O14" s="460"/>
      <c r="P14" s="460"/>
      <c r="Q14" s="460"/>
      <c r="R14" s="460"/>
      <c r="S14" s="460"/>
      <c r="T14" s="460"/>
      <c r="U14" s="460"/>
      <c r="V14" s="460"/>
      <c r="W14" s="460"/>
      <c r="X14" s="482"/>
      <c r="Y14" s="482"/>
      <c r="Z14" s="482"/>
      <c r="AA14" s="482"/>
      <c r="AB14" s="482"/>
      <c r="AC14" s="482"/>
      <c r="AD14" s="482"/>
      <c r="AE14" s="482"/>
      <c r="AF14" s="482"/>
      <c r="AG14" s="482"/>
      <c r="AH14" s="482"/>
      <c r="AI14" s="482"/>
      <c r="AJ14" s="460"/>
      <c r="AK14" s="451"/>
      <c r="AL14" s="316"/>
      <c r="AM14" s="1520"/>
      <c r="AN14" s="1520"/>
    </row>
    <row r="15" spans="1:40" ht="15" customHeight="1">
      <c r="A15" s="1431" t="s">
        <v>138</v>
      </c>
      <c r="B15" s="1551" t="s">
        <v>14</v>
      </c>
      <c r="C15" s="1552"/>
      <c r="D15" s="1552"/>
      <c r="E15" s="1552"/>
      <c r="F15" s="1552"/>
      <c r="G15" s="1553"/>
      <c r="H15" s="1475">
        <v>140.91</v>
      </c>
      <c r="I15" s="1475">
        <v>1.18</v>
      </c>
      <c r="J15" s="1475">
        <f>H15/I15</f>
        <v>119.41525423728814</v>
      </c>
      <c r="K15" s="1425">
        <v>119.42</v>
      </c>
      <c r="L15" s="457"/>
      <c r="M15" s="460"/>
      <c r="N15" s="460"/>
      <c r="O15" s="460"/>
      <c r="P15" s="460"/>
      <c r="Q15" s="460"/>
      <c r="R15" s="460"/>
      <c r="S15" s="460"/>
      <c r="T15" s="460"/>
      <c r="U15" s="460"/>
      <c r="V15" s="460"/>
      <c r="W15" s="460"/>
      <c r="X15" s="482"/>
      <c r="Y15" s="482"/>
      <c r="Z15" s="482"/>
      <c r="AA15" s="482"/>
      <c r="AB15" s="482"/>
      <c r="AC15" s="482"/>
      <c r="AD15" s="482"/>
      <c r="AE15" s="482"/>
      <c r="AF15" s="482"/>
      <c r="AG15" s="482"/>
      <c r="AH15" s="482"/>
      <c r="AI15" s="482"/>
      <c r="AJ15" s="460"/>
      <c r="AK15" s="460"/>
      <c r="AL15" s="316"/>
      <c r="AM15" s="1519" t="s">
        <v>1327</v>
      </c>
      <c r="AN15" s="1519" t="s">
        <v>1328</v>
      </c>
    </row>
    <row r="16" spans="1:40" ht="15" customHeight="1">
      <c r="A16" s="1432"/>
      <c r="B16" s="480" t="s">
        <v>438</v>
      </c>
      <c r="C16" s="448" t="s">
        <v>444</v>
      </c>
      <c r="D16" s="448" t="s">
        <v>439</v>
      </c>
      <c r="E16" s="448" t="s">
        <v>445</v>
      </c>
      <c r="F16" s="448" t="s">
        <v>440</v>
      </c>
      <c r="G16" s="481"/>
      <c r="H16" s="1523"/>
      <c r="I16" s="1523"/>
      <c r="J16" s="1476"/>
      <c r="K16" s="1514"/>
      <c r="L16" s="457"/>
      <c r="M16" s="442">
        <f>SUM(M57:M164)</f>
        <v>103.97629999999999</v>
      </c>
      <c r="N16" s="460"/>
      <c r="O16" s="460"/>
      <c r="P16" s="460"/>
      <c r="Q16" s="460"/>
      <c r="R16" s="460"/>
      <c r="S16" s="460"/>
      <c r="T16" s="460"/>
      <c r="U16" s="460"/>
      <c r="V16" s="460"/>
      <c r="W16" s="460"/>
      <c r="X16" s="482"/>
      <c r="Y16" s="482"/>
      <c r="Z16" s="482"/>
      <c r="AA16" s="482"/>
      <c r="AB16" s="482"/>
      <c r="AC16" s="482"/>
      <c r="AD16" s="482"/>
      <c r="AE16" s="482"/>
      <c r="AF16" s="482"/>
      <c r="AG16" s="482"/>
      <c r="AH16" s="482"/>
      <c r="AI16" s="482"/>
      <c r="AJ16" s="460"/>
      <c r="AK16" s="451"/>
      <c r="AL16" s="316"/>
      <c r="AM16" s="1520"/>
      <c r="AN16" s="1520"/>
    </row>
    <row r="17" spans="1:40" ht="15" customHeight="1">
      <c r="A17" s="1431" t="s">
        <v>139</v>
      </c>
      <c r="B17" s="1548" t="s">
        <v>15</v>
      </c>
      <c r="C17" s="1549"/>
      <c r="D17" s="1549"/>
      <c r="E17" s="1549"/>
      <c r="F17" s="1549"/>
      <c r="G17" s="1550"/>
      <c r="H17" s="1475">
        <v>198.97</v>
      </c>
      <c r="I17" s="1475">
        <v>1.18</v>
      </c>
      <c r="J17" s="1475">
        <f>H17/I17</f>
        <v>168.61864406779662</v>
      </c>
      <c r="K17" s="1425">
        <f>SUM(L17:AI17)</f>
        <v>129.023</v>
      </c>
      <c r="L17" s="457"/>
      <c r="M17" s="460"/>
      <c r="N17" s="460"/>
      <c r="O17" s="460"/>
      <c r="P17" s="460"/>
      <c r="Q17" s="460"/>
      <c r="R17" s="460"/>
      <c r="S17" s="460"/>
      <c r="T17" s="460"/>
      <c r="U17" s="460"/>
      <c r="V17" s="460"/>
      <c r="W17" s="460"/>
      <c r="X17" s="482"/>
      <c r="Y17" s="482"/>
      <c r="Z17" s="482"/>
      <c r="AA17" s="482"/>
      <c r="AB17" s="482"/>
      <c r="AC17" s="244"/>
      <c r="AD17" s="482"/>
      <c r="AE17" s="482"/>
      <c r="AF17" s="482"/>
      <c r="AG17" s="482"/>
      <c r="AH17" s="354"/>
      <c r="AI17" s="354">
        <f>152.24714/1.18</f>
        <v>129.023</v>
      </c>
      <c r="AJ17" s="460"/>
      <c r="AK17" s="452"/>
      <c r="AL17" s="451"/>
      <c r="AM17" s="1519" t="s">
        <v>1327</v>
      </c>
      <c r="AN17" s="1519" t="s">
        <v>1328</v>
      </c>
    </row>
    <row r="18" spans="1:40" ht="15" customHeight="1">
      <c r="A18" s="1432"/>
      <c r="B18" s="480" t="s">
        <v>438</v>
      </c>
      <c r="C18" s="448" t="s">
        <v>444</v>
      </c>
      <c r="D18" s="448" t="s">
        <v>439</v>
      </c>
      <c r="E18" s="448" t="s">
        <v>445</v>
      </c>
      <c r="F18" s="448" t="s">
        <v>440</v>
      </c>
      <c r="G18" s="483"/>
      <c r="H18" s="1523"/>
      <c r="I18" s="1523"/>
      <c r="J18" s="1476"/>
      <c r="K18" s="1514"/>
      <c r="L18" s="457"/>
      <c r="M18" s="460"/>
      <c r="N18" s="460"/>
      <c r="O18" s="460"/>
      <c r="P18" s="460"/>
      <c r="Q18" s="460"/>
      <c r="R18" s="460"/>
      <c r="S18" s="460"/>
      <c r="T18" s="460"/>
      <c r="U18" s="460"/>
      <c r="V18" s="460"/>
      <c r="W18" s="460"/>
      <c r="X18" s="482"/>
      <c r="Y18" s="482"/>
      <c r="Z18" s="482"/>
      <c r="AA18" s="482"/>
      <c r="AB18" s="482"/>
      <c r="AC18" s="482"/>
      <c r="AD18" s="482"/>
      <c r="AE18" s="482"/>
      <c r="AF18" s="482"/>
      <c r="AG18" s="482"/>
      <c r="AH18" s="482"/>
      <c r="AI18" s="482"/>
      <c r="AJ18" s="460"/>
      <c r="AK18" s="460"/>
      <c r="AL18" s="460"/>
      <c r="AM18" s="1520"/>
      <c r="AN18" s="1520"/>
    </row>
    <row r="19" spans="1:40" ht="15" customHeight="1">
      <c r="A19" s="1431" t="s">
        <v>136</v>
      </c>
      <c r="B19" s="1548" t="s">
        <v>1761</v>
      </c>
      <c r="C19" s="1549"/>
      <c r="D19" s="1549"/>
      <c r="E19" s="1549"/>
      <c r="F19" s="1549"/>
      <c r="G19" s="1550"/>
      <c r="H19" s="1475">
        <v>96.81</v>
      </c>
      <c r="I19" s="1475">
        <v>1.18</v>
      </c>
      <c r="J19" s="1475">
        <f>H19/I19</f>
        <v>82.042372881355945</v>
      </c>
      <c r="K19" s="1425">
        <f>SUM(L19:AI19)</f>
        <v>75.336627118644074</v>
      </c>
      <c r="L19" s="457"/>
      <c r="M19" s="460"/>
      <c r="N19" s="460"/>
      <c r="O19" s="460"/>
      <c r="P19" s="460"/>
      <c r="Q19" s="460"/>
      <c r="R19" s="460"/>
      <c r="S19" s="460"/>
      <c r="T19" s="460"/>
      <c r="U19" s="460"/>
      <c r="V19" s="460"/>
      <c r="W19" s="460"/>
      <c r="X19" s="482"/>
      <c r="Y19" s="482"/>
      <c r="Z19" s="482"/>
      <c r="AA19" s="482"/>
      <c r="AB19" s="482"/>
      <c r="AC19" s="482"/>
      <c r="AD19" s="482"/>
      <c r="AE19" s="482"/>
      <c r="AF19" s="482"/>
      <c r="AG19" s="482"/>
      <c r="AH19" s="244"/>
      <c r="AI19" s="354">
        <f>88.89722/1.18</f>
        <v>75.336627118644074</v>
      </c>
      <c r="AJ19" s="460"/>
      <c r="AK19" s="451"/>
      <c r="AL19" s="316"/>
      <c r="AM19" s="1519" t="s">
        <v>1327</v>
      </c>
      <c r="AN19" s="1519" t="s">
        <v>1328</v>
      </c>
    </row>
    <row r="20" spans="1:40" ht="15" customHeight="1">
      <c r="A20" s="1432"/>
      <c r="B20" s="480" t="s">
        <v>438</v>
      </c>
      <c r="C20" s="448" t="s">
        <v>446</v>
      </c>
      <c r="D20" s="448" t="s">
        <v>439</v>
      </c>
      <c r="E20" s="448" t="s">
        <v>447</v>
      </c>
      <c r="F20" s="448" t="s">
        <v>440</v>
      </c>
      <c r="G20" s="484"/>
      <c r="H20" s="1523"/>
      <c r="I20" s="1523"/>
      <c r="J20" s="1476"/>
      <c r="K20" s="1514"/>
      <c r="L20" s="457"/>
      <c r="M20" s="460"/>
      <c r="N20" s="460"/>
      <c r="O20" s="460"/>
      <c r="P20" s="460"/>
      <c r="Q20" s="460"/>
      <c r="R20" s="460"/>
      <c r="S20" s="460"/>
      <c r="T20" s="460"/>
      <c r="U20" s="460"/>
      <c r="V20" s="460"/>
      <c r="W20" s="460"/>
      <c r="X20" s="482"/>
      <c r="Y20" s="482"/>
      <c r="Z20" s="482"/>
      <c r="AA20" s="482"/>
      <c r="AB20" s="482"/>
      <c r="AC20" s="482"/>
      <c r="AD20" s="482"/>
      <c r="AE20" s="482"/>
      <c r="AF20" s="482"/>
      <c r="AG20" s="482"/>
      <c r="AH20" s="244"/>
      <c r="AI20" s="244"/>
      <c r="AJ20" s="460"/>
      <c r="AK20" s="451"/>
      <c r="AL20" s="316"/>
      <c r="AM20" s="1520"/>
      <c r="AN20" s="1520"/>
    </row>
    <row r="21" spans="1:40">
      <c r="A21" s="1431" t="s">
        <v>140</v>
      </c>
      <c r="B21" s="1548" t="s">
        <v>1762</v>
      </c>
      <c r="C21" s="1549"/>
      <c r="D21" s="1549"/>
      <c r="E21" s="1549"/>
      <c r="F21" s="1549"/>
      <c r="G21" s="1550"/>
      <c r="H21" s="1475">
        <v>93.9</v>
      </c>
      <c r="I21" s="1475">
        <v>1.18</v>
      </c>
      <c r="J21" s="1475">
        <f>H21/I21</f>
        <v>79.576271186440692</v>
      </c>
      <c r="K21" s="1425">
        <v>79.53</v>
      </c>
      <c r="L21" s="457"/>
      <c r="M21" s="460"/>
      <c r="N21" s="460"/>
      <c r="O21" s="460"/>
      <c r="P21" s="460"/>
      <c r="Q21" s="460"/>
      <c r="R21" s="460"/>
      <c r="S21" s="460"/>
      <c r="T21" s="460"/>
      <c r="U21" s="460"/>
      <c r="V21" s="460"/>
      <c r="W21" s="460"/>
      <c r="X21" s="482"/>
      <c r="Y21" s="482"/>
      <c r="Z21" s="482"/>
      <c r="AA21" s="482"/>
      <c r="AB21" s="482"/>
      <c r="AC21" s="244"/>
      <c r="AD21" s="482"/>
      <c r="AE21" s="482"/>
      <c r="AF21" s="482"/>
      <c r="AG21" s="482"/>
      <c r="AH21" s="266"/>
      <c r="AI21" s="266"/>
      <c r="AJ21" s="460"/>
      <c r="AK21" s="451"/>
      <c r="AL21" s="316"/>
      <c r="AM21" s="1519" t="s">
        <v>1327</v>
      </c>
      <c r="AN21" s="1519" t="s">
        <v>1328</v>
      </c>
    </row>
    <row r="22" spans="1:40" ht="15" customHeight="1">
      <c r="A22" s="1432"/>
      <c r="B22" s="480" t="s">
        <v>438</v>
      </c>
      <c r="C22" s="448" t="s">
        <v>442</v>
      </c>
      <c r="D22" s="448" t="s">
        <v>439</v>
      </c>
      <c r="E22" s="448" t="s">
        <v>448</v>
      </c>
      <c r="F22" s="448" t="s">
        <v>440</v>
      </c>
      <c r="G22" s="485"/>
      <c r="H22" s="1523"/>
      <c r="I22" s="1523"/>
      <c r="J22" s="1476"/>
      <c r="K22" s="1514"/>
      <c r="L22" s="457"/>
      <c r="M22" s="460"/>
      <c r="N22" s="460"/>
      <c r="O22" s="460"/>
      <c r="P22" s="460"/>
      <c r="Q22" s="460"/>
      <c r="R22" s="460"/>
      <c r="S22" s="460"/>
      <c r="T22" s="460"/>
      <c r="U22" s="460"/>
      <c r="V22" s="460"/>
      <c r="W22" s="460"/>
      <c r="X22" s="482"/>
      <c r="Y22" s="482"/>
      <c r="Z22" s="482"/>
      <c r="AA22" s="482"/>
      <c r="AB22" s="482"/>
      <c r="AC22" s="453"/>
      <c r="AD22" s="482"/>
      <c r="AE22" s="482"/>
      <c r="AF22" s="482"/>
      <c r="AG22" s="482"/>
      <c r="AH22" s="266"/>
      <c r="AI22" s="266"/>
      <c r="AJ22" s="460"/>
      <c r="AK22" s="451"/>
      <c r="AL22" s="316"/>
      <c r="AM22" s="1520"/>
      <c r="AN22" s="1520"/>
    </row>
    <row r="23" spans="1:40" ht="15" customHeight="1">
      <c r="A23" s="486" t="s">
        <v>141</v>
      </c>
      <c r="B23" s="1548" t="s">
        <v>16</v>
      </c>
      <c r="C23" s="1549"/>
      <c r="D23" s="1549"/>
      <c r="E23" s="1549"/>
      <c r="F23" s="1549"/>
      <c r="G23" s="1550"/>
      <c r="H23" s="1475">
        <v>130.4</v>
      </c>
      <c r="I23" s="1475">
        <v>1.18</v>
      </c>
      <c r="J23" s="1475">
        <f>H23/I23</f>
        <v>110.5084745762712</v>
      </c>
      <c r="K23" s="1425">
        <f>SUM(L23:AI23)</f>
        <v>82.027432203389836</v>
      </c>
      <c r="L23" s="457"/>
      <c r="M23" s="460"/>
      <c r="N23" s="460"/>
      <c r="O23" s="460"/>
      <c r="P23" s="460"/>
      <c r="Q23" s="460"/>
      <c r="R23" s="460"/>
      <c r="S23" s="460"/>
      <c r="T23" s="460"/>
      <c r="U23" s="460"/>
      <c r="V23" s="460"/>
      <c r="W23" s="460"/>
      <c r="X23" s="482"/>
      <c r="Y23" s="482"/>
      <c r="Z23" s="482"/>
      <c r="AA23" s="482"/>
      <c r="AB23" s="482"/>
      <c r="AC23" s="453"/>
      <c r="AD23" s="482"/>
      <c r="AE23" s="482"/>
      <c r="AF23" s="482"/>
      <c r="AG23" s="482"/>
      <c r="AH23" s="244"/>
      <c r="AI23" s="354">
        <f>96.79237/1.18</f>
        <v>82.027432203389836</v>
      </c>
      <c r="AJ23" s="460"/>
      <c r="AK23" s="451"/>
      <c r="AL23" s="316"/>
      <c r="AM23" s="1519" t="s">
        <v>1327</v>
      </c>
      <c r="AN23" s="1519" t="s">
        <v>1328</v>
      </c>
    </row>
    <row r="24" spans="1:40" ht="15" customHeight="1">
      <c r="A24" s="487"/>
      <c r="B24" s="480" t="s">
        <v>438</v>
      </c>
      <c r="C24" s="448" t="s">
        <v>442</v>
      </c>
      <c r="D24" s="448" t="s">
        <v>439</v>
      </c>
      <c r="E24" s="448" t="s">
        <v>1763</v>
      </c>
      <c r="F24" s="448" t="s">
        <v>440</v>
      </c>
      <c r="G24" s="483"/>
      <c r="H24" s="1523"/>
      <c r="I24" s="1523"/>
      <c r="J24" s="1476"/>
      <c r="K24" s="1514"/>
      <c r="L24" s="457"/>
      <c r="M24" s="460"/>
      <c r="N24" s="460"/>
      <c r="O24" s="460"/>
      <c r="P24" s="460"/>
      <c r="Q24" s="460"/>
      <c r="R24" s="460"/>
      <c r="S24" s="460"/>
      <c r="T24" s="460"/>
      <c r="U24" s="460"/>
      <c r="V24" s="460"/>
      <c r="W24" s="460"/>
      <c r="X24" s="482"/>
      <c r="Y24" s="482"/>
      <c r="Z24" s="482"/>
      <c r="AA24" s="482"/>
      <c r="AB24" s="482"/>
      <c r="AC24" s="453"/>
      <c r="AD24" s="482"/>
      <c r="AE24" s="482"/>
      <c r="AF24" s="482"/>
      <c r="AG24" s="482"/>
      <c r="AH24" s="266"/>
      <c r="AI24" s="266"/>
      <c r="AJ24" s="460"/>
      <c r="AK24" s="451"/>
      <c r="AL24" s="316"/>
      <c r="AM24" s="1520"/>
      <c r="AN24" s="1520"/>
    </row>
    <row r="25" spans="1:40" ht="15" customHeight="1">
      <c r="A25" s="486" t="s">
        <v>142</v>
      </c>
      <c r="B25" s="1548" t="s">
        <v>17</v>
      </c>
      <c r="C25" s="1549"/>
      <c r="D25" s="1549"/>
      <c r="E25" s="1549"/>
      <c r="F25" s="1549"/>
      <c r="G25" s="1550"/>
      <c r="H25" s="1475">
        <v>1181.8900000000001</v>
      </c>
      <c r="I25" s="1475">
        <v>1.18</v>
      </c>
      <c r="J25" s="1475">
        <f>H25/I25</f>
        <v>1001.6016949152544</v>
      </c>
      <c r="K25" s="1425">
        <f>SUM(L25:AI25)</f>
        <v>0</v>
      </c>
      <c r="L25" s="457"/>
      <c r="M25" s="460"/>
      <c r="N25" s="460"/>
      <c r="O25" s="460"/>
      <c r="P25" s="460"/>
      <c r="Q25" s="460"/>
      <c r="R25" s="460"/>
      <c r="S25" s="460"/>
      <c r="T25" s="460"/>
      <c r="U25" s="460"/>
      <c r="V25" s="460"/>
      <c r="W25" s="460"/>
      <c r="X25" s="482"/>
      <c r="Y25" s="482"/>
      <c r="Z25" s="482"/>
      <c r="AA25" s="482"/>
      <c r="AB25" s="482"/>
      <c r="AC25" s="488"/>
      <c r="AD25" s="482"/>
      <c r="AE25" s="482"/>
      <c r="AF25" s="482"/>
      <c r="AG25" s="482"/>
      <c r="AH25" s="244"/>
      <c r="AI25" s="244"/>
      <c r="AJ25" s="460"/>
      <c r="AK25" s="460"/>
      <c r="AL25" s="460"/>
      <c r="AM25" s="1519" t="s">
        <v>1327</v>
      </c>
      <c r="AN25" s="1519" t="s">
        <v>1328</v>
      </c>
    </row>
    <row r="26" spans="1:40" ht="15" customHeight="1">
      <c r="A26" s="487"/>
      <c r="B26" s="480" t="s">
        <v>438</v>
      </c>
      <c r="C26" s="448" t="s">
        <v>449</v>
      </c>
      <c r="D26" s="448" t="s">
        <v>439</v>
      </c>
      <c r="E26" s="448" t="s">
        <v>443</v>
      </c>
      <c r="F26" s="448" t="s">
        <v>440</v>
      </c>
      <c r="G26" s="483"/>
      <c r="H26" s="1523"/>
      <c r="I26" s="1523"/>
      <c r="J26" s="1476"/>
      <c r="K26" s="1514"/>
      <c r="L26" s="457"/>
      <c r="M26" s="460"/>
      <c r="N26" s="460"/>
      <c r="O26" s="460"/>
      <c r="P26" s="460"/>
      <c r="Q26" s="460"/>
      <c r="R26" s="460"/>
      <c r="S26" s="460"/>
      <c r="T26" s="460"/>
      <c r="U26" s="460"/>
      <c r="V26" s="460"/>
      <c r="W26" s="460"/>
      <c r="X26" s="482"/>
      <c r="Y26" s="482"/>
      <c r="Z26" s="482"/>
      <c r="AA26" s="482"/>
      <c r="AB26" s="482"/>
      <c r="AC26" s="488"/>
      <c r="AD26" s="482"/>
      <c r="AE26" s="482"/>
      <c r="AF26" s="482"/>
      <c r="AG26" s="482"/>
      <c r="AH26" s="482"/>
      <c r="AI26" s="482"/>
      <c r="AJ26" s="460"/>
      <c r="AK26" s="460"/>
      <c r="AL26" s="460"/>
      <c r="AM26" s="1520"/>
      <c r="AN26" s="1520"/>
    </row>
    <row r="27" spans="1:40" ht="15" customHeight="1">
      <c r="A27" s="486" t="s">
        <v>143</v>
      </c>
      <c r="B27" s="1548" t="s">
        <v>18</v>
      </c>
      <c r="C27" s="1549"/>
      <c r="D27" s="1549"/>
      <c r="E27" s="1549"/>
      <c r="F27" s="1549"/>
      <c r="G27" s="1550"/>
      <c r="H27" s="1475">
        <v>39.69</v>
      </c>
      <c r="I27" s="1475">
        <v>1.18</v>
      </c>
      <c r="J27" s="1475">
        <f>H27/I27</f>
        <v>33.635593220338983</v>
      </c>
      <c r="K27" s="1425">
        <f>SUM(L27:AI27)</f>
        <v>0</v>
      </c>
      <c r="L27" s="457"/>
      <c r="M27" s="460"/>
      <c r="N27" s="460"/>
      <c r="O27" s="460"/>
      <c r="P27" s="460"/>
      <c r="Q27" s="460"/>
      <c r="R27" s="460"/>
      <c r="S27" s="460"/>
      <c r="T27" s="460"/>
      <c r="U27" s="460"/>
      <c r="V27" s="460"/>
      <c r="W27" s="460"/>
      <c r="X27" s="482"/>
      <c r="Y27" s="482"/>
      <c r="Z27" s="482"/>
      <c r="AA27" s="482"/>
      <c r="AB27" s="482"/>
      <c r="AC27" s="453"/>
      <c r="AD27" s="482"/>
      <c r="AE27" s="482"/>
      <c r="AF27" s="482"/>
      <c r="AG27" s="482"/>
      <c r="AH27" s="244"/>
      <c r="AI27" s="244"/>
      <c r="AJ27" s="460"/>
      <c r="AK27" s="451"/>
      <c r="AL27" s="316"/>
      <c r="AM27" s="1519" t="s">
        <v>1327</v>
      </c>
      <c r="AN27" s="1519" t="s">
        <v>1328</v>
      </c>
    </row>
    <row r="28" spans="1:40" ht="15" customHeight="1">
      <c r="A28" s="487"/>
      <c r="B28" s="480" t="s">
        <v>438</v>
      </c>
      <c r="C28" s="448" t="s">
        <v>442</v>
      </c>
      <c r="D28" s="448" t="s">
        <v>439</v>
      </c>
      <c r="E28" s="448" t="s">
        <v>450</v>
      </c>
      <c r="F28" s="448" t="s">
        <v>440</v>
      </c>
      <c r="G28" s="483"/>
      <c r="H28" s="1523"/>
      <c r="I28" s="1523"/>
      <c r="J28" s="1476"/>
      <c r="K28" s="1514"/>
      <c r="L28" s="457"/>
      <c r="M28" s="460"/>
      <c r="N28" s="460"/>
      <c r="O28" s="460"/>
      <c r="P28" s="460"/>
      <c r="Q28" s="460"/>
      <c r="R28" s="460"/>
      <c r="S28" s="460"/>
      <c r="T28" s="460"/>
      <c r="U28" s="460"/>
      <c r="V28" s="460"/>
      <c r="W28" s="460"/>
      <c r="X28" s="482"/>
      <c r="Y28" s="482"/>
      <c r="Z28" s="482"/>
      <c r="AA28" s="482"/>
      <c r="AB28" s="482"/>
      <c r="AC28" s="482"/>
      <c r="AD28" s="482"/>
      <c r="AE28" s="482"/>
      <c r="AF28" s="482"/>
      <c r="AG28" s="482"/>
      <c r="AH28" s="482"/>
      <c r="AI28" s="482"/>
      <c r="AJ28" s="460"/>
      <c r="AK28" s="451"/>
      <c r="AL28" s="316"/>
      <c r="AM28" s="1520"/>
      <c r="AN28" s="1520"/>
    </row>
    <row r="29" spans="1:40" ht="15" customHeight="1">
      <c r="A29" s="486" t="s">
        <v>144</v>
      </c>
      <c r="B29" s="1548" t="s">
        <v>19</v>
      </c>
      <c r="C29" s="1549"/>
      <c r="D29" s="1549"/>
      <c r="E29" s="1549"/>
      <c r="F29" s="1549"/>
      <c r="G29" s="1550"/>
      <c r="H29" s="1475">
        <v>186.3</v>
      </c>
      <c r="I29" s="1475">
        <v>1.18</v>
      </c>
      <c r="J29" s="1475">
        <f>H29/I29</f>
        <v>157.88135593220341</v>
      </c>
      <c r="K29" s="1425">
        <f>SUM(L29:AI29)</f>
        <v>0</v>
      </c>
      <c r="L29" s="457"/>
      <c r="M29" s="460"/>
      <c r="N29" s="460"/>
      <c r="O29" s="460"/>
      <c r="P29" s="460"/>
      <c r="Q29" s="460"/>
      <c r="R29" s="460"/>
      <c r="S29" s="460"/>
      <c r="T29" s="460"/>
      <c r="U29" s="460"/>
      <c r="V29" s="460"/>
      <c r="W29" s="460"/>
      <c r="X29" s="482"/>
      <c r="Y29" s="482"/>
      <c r="Z29" s="482"/>
      <c r="AA29" s="482"/>
      <c r="AB29" s="482"/>
      <c r="AC29" s="482"/>
      <c r="AD29" s="482"/>
      <c r="AE29" s="482"/>
      <c r="AF29" s="482"/>
      <c r="AG29" s="482"/>
      <c r="AH29" s="244"/>
      <c r="AI29" s="244"/>
      <c r="AJ29" s="460"/>
      <c r="AK29" s="460"/>
      <c r="AL29" s="460"/>
      <c r="AM29" s="1519" t="s">
        <v>1327</v>
      </c>
      <c r="AN29" s="1519" t="s">
        <v>1328</v>
      </c>
    </row>
    <row r="30" spans="1:40" ht="15" customHeight="1">
      <c r="A30" s="487"/>
      <c r="B30" s="480" t="s">
        <v>438</v>
      </c>
      <c r="C30" s="448" t="s">
        <v>442</v>
      </c>
      <c r="D30" s="448" t="s">
        <v>439</v>
      </c>
      <c r="E30" s="448" t="s">
        <v>451</v>
      </c>
      <c r="F30" s="448" t="s">
        <v>440</v>
      </c>
      <c r="G30" s="483"/>
      <c r="H30" s="1523"/>
      <c r="I30" s="1523"/>
      <c r="J30" s="1476"/>
      <c r="K30" s="1514"/>
      <c r="L30" s="457"/>
      <c r="M30" s="460"/>
      <c r="N30" s="460"/>
      <c r="O30" s="460"/>
      <c r="P30" s="460"/>
      <c r="Q30" s="460"/>
      <c r="R30" s="460"/>
      <c r="S30" s="460"/>
      <c r="T30" s="460"/>
      <c r="U30" s="460"/>
      <c r="V30" s="460"/>
      <c r="W30" s="460"/>
      <c r="X30" s="482"/>
      <c r="Y30" s="482"/>
      <c r="Z30" s="482"/>
      <c r="AA30" s="482"/>
      <c r="AB30" s="482"/>
      <c r="AC30" s="482"/>
      <c r="AD30" s="482"/>
      <c r="AE30" s="482"/>
      <c r="AF30" s="482"/>
      <c r="AG30" s="482"/>
      <c r="AH30" s="482"/>
      <c r="AI30" s="482"/>
      <c r="AJ30" s="460"/>
      <c r="AK30" s="451"/>
      <c r="AL30" s="316"/>
      <c r="AM30" s="1520"/>
      <c r="AN30" s="1520"/>
    </row>
    <row r="31" spans="1:40" ht="15" customHeight="1">
      <c r="A31" s="486" t="s">
        <v>145</v>
      </c>
      <c r="B31" s="1544" t="s">
        <v>20</v>
      </c>
      <c r="C31" s="1544"/>
      <c r="D31" s="1544"/>
      <c r="E31" s="1544"/>
      <c r="F31" s="1544"/>
      <c r="G31" s="1544"/>
      <c r="H31" s="1513">
        <v>180</v>
      </c>
      <c r="I31" s="1475">
        <v>1.18</v>
      </c>
      <c r="J31" s="1475">
        <f>H31/I31</f>
        <v>152.54237288135593</v>
      </c>
      <c r="K31" s="1425">
        <v>76.3</v>
      </c>
      <c r="L31" s="457"/>
      <c r="M31" s="460"/>
      <c r="N31" s="460"/>
      <c r="O31" s="460"/>
      <c r="P31" s="460"/>
      <c r="Q31" s="460"/>
      <c r="R31" s="460"/>
      <c r="S31" s="460"/>
      <c r="T31" s="460"/>
      <c r="U31" s="460"/>
      <c r="V31" s="460"/>
      <c r="W31" s="460"/>
      <c r="X31" s="482"/>
      <c r="Y31" s="482"/>
      <c r="Z31" s="482"/>
      <c r="AA31" s="482"/>
      <c r="AB31" s="482"/>
      <c r="AC31" s="453"/>
      <c r="AD31" s="482"/>
      <c r="AE31" s="354">
        <f>180.065/1.18</f>
        <v>152.59745762711864</v>
      </c>
      <c r="AF31" s="482"/>
      <c r="AG31" s="482"/>
      <c r="AH31" s="482"/>
      <c r="AI31" s="482"/>
      <c r="AJ31" s="460"/>
      <c r="AK31" s="451"/>
      <c r="AL31" s="316"/>
      <c r="AM31" s="1519" t="s">
        <v>1327</v>
      </c>
      <c r="AN31" s="1519" t="s">
        <v>1328</v>
      </c>
    </row>
    <row r="32" spans="1:40" ht="15" customHeight="1">
      <c r="A32" s="487"/>
      <c r="B32" s="480" t="s">
        <v>438</v>
      </c>
      <c r="C32" s="448" t="s">
        <v>449</v>
      </c>
      <c r="D32" s="448" t="s">
        <v>439</v>
      </c>
      <c r="E32" s="448" t="s">
        <v>452</v>
      </c>
      <c r="F32" s="448" t="s">
        <v>440</v>
      </c>
      <c r="G32" s="483"/>
      <c r="H32" s="1513"/>
      <c r="I32" s="1523"/>
      <c r="J32" s="1476"/>
      <c r="K32" s="1514"/>
      <c r="L32" s="457"/>
      <c r="M32" s="460"/>
      <c r="N32" s="460"/>
      <c r="O32" s="460"/>
      <c r="P32" s="460"/>
      <c r="Q32" s="460"/>
      <c r="R32" s="460"/>
      <c r="S32" s="460"/>
      <c r="T32" s="460"/>
      <c r="U32" s="460"/>
      <c r="V32" s="460"/>
      <c r="W32" s="460"/>
      <c r="X32" s="482"/>
      <c r="Y32" s="482"/>
      <c r="Z32" s="482"/>
      <c r="AA32" s="482"/>
      <c r="AB32" s="482"/>
      <c r="AC32" s="489"/>
      <c r="AD32" s="482"/>
      <c r="AE32" s="482"/>
      <c r="AF32" s="482"/>
      <c r="AG32" s="482"/>
      <c r="AH32" s="482"/>
      <c r="AI32" s="482"/>
      <c r="AJ32" s="460"/>
      <c r="AK32" s="460"/>
      <c r="AL32" s="460"/>
      <c r="AM32" s="1520"/>
      <c r="AN32" s="1520"/>
    </row>
    <row r="33" spans="1:40" ht="15" customHeight="1">
      <c r="A33" s="1431" t="s">
        <v>146</v>
      </c>
      <c r="B33" s="1544" t="s">
        <v>21</v>
      </c>
      <c r="C33" s="1544"/>
      <c r="D33" s="1544"/>
      <c r="E33" s="1544"/>
      <c r="F33" s="1544"/>
      <c r="G33" s="1544"/>
      <c r="H33" s="1513">
        <v>18.75</v>
      </c>
      <c r="I33" s="1475">
        <v>1.18</v>
      </c>
      <c r="J33" s="1475">
        <f>H33/I33</f>
        <v>15.889830508474578</v>
      </c>
      <c r="K33" s="1425">
        <f>SUM(L33:AI33)</f>
        <v>24.941661016949151</v>
      </c>
      <c r="L33" s="457"/>
      <c r="M33" s="460"/>
      <c r="N33" s="460"/>
      <c r="O33" s="460"/>
      <c r="P33" s="460"/>
      <c r="Q33" s="460"/>
      <c r="R33" s="460"/>
      <c r="S33" s="460"/>
      <c r="T33" s="460"/>
      <c r="U33" s="460"/>
      <c r="V33" s="460"/>
      <c r="W33" s="460"/>
      <c r="X33" s="482"/>
      <c r="Y33" s="482"/>
      <c r="Z33" s="482"/>
      <c r="AA33" s="482"/>
      <c r="AB33" s="482"/>
      <c r="AC33" s="482"/>
      <c r="AD33" s="482"/>
      <c r="AE33" s="482"/>
      <c r="AF33" s="482"/>
      <c r="AG33" s="482"/>
      <c r="AH33" s="354"/>
      <c r="AI33" s="354">
        <f>29.43116/1.18</f>
        <v>24.941661016949151</v>
      </c>
      <c r="AJ33" s="460"/>
      <c r="AK33" s="460"/>
      <c r="AL33" s="460"/>
      <c r="AM33" s="1519" t="s">
        <v>1327</v>
      </c>
      <c r="AN33" s="1519" t="s">
        <v>1328</v>
      </c>
    </row>
    <row r="34" spans="1:40" ht="15" customHeight="1">
      <c r="A34" s="1432"/>
      <c r="B34" s="480" t="s">
        <v>438</v>
      </c>
      <c r="C34" s="448" t="s">
        <v>442</v>
      </c>
      <c r="D34" s="448" t="s">
        <v>439</v>
      </c>
      <c r="E34" s="448" t="s">
        <v>453</v>
      </c>
      <c r="F34" s="448" t="s">
        <v>440</v>
      </c>
      <c r="G34" s="483"/>
      <c r="H34" s="1513"/>
      <c r="I34" s="1523"/>
      <c r="J34" s="1476"/>
      <c r="K34" s="1514"/>
      <c r="L34" s="457"/>
      <c r="M34" s="460"/>
      <c r="N34" s="460"/>
      <c r="O34" s="460"/>
      <c r="P34" s="460"/>
      <c r="Q34" s="460"/>
      <c r="R34" s="460"/>
      <c r="S34" s="460"/>
      <c r="T34" s="460"/>
      <c r="U34" s="460"/>
      <c r="V34" s="460"/>
      <c r="W34" s="460"/>
      <c r="X34" s="482"/>
      <c r="Y34" s="482"/>
      <c r="Z34" s="482"/>
      <c r="AA34" s="482"/>
      <c r="AB34" s="482"/>
      <c r="AC34" s="258"/>
      <c r="AD34" s="482"/>
      <c r="AE34" s="482"/>
      <c r="AF34" s="482"/>
      <c r="AG34" s="482"/>
      <c r="AH34" s="482"/>
      <c r="AI34" s="482"/>
      <c r="AJ34" s="460"/>
      <c r="AK34" s="451"/>
      <c r="AL34" s="316"/>
      <c r="AM34" s="1520"/>
      <c r="AN34" s="1520"/>
    </row>
    <row r="35" spans="1:40" ht="15" customHeight="1">
      <c r="A35" s="1431" t="s">
        <v>147</v>
      </c>
      <c r="B35" s="1544" t="s">
        <v>22</v>
      </c>
      <c r="C35" s="1544"/>
      <c r="D35" s="1544"/>
      <c r="E35" s="1544"/>
      <c r="F35" s="1544"/>
      <c r="G35" s="1544"/>
      <c r="H35" s="1513">
        <v>234.84</v>
      </c>
      <c r="I35" s="1475">
        <v>1.18</v>
      </c>
      <c r="J35" s="1475">
        <f>H35/I35</f>
        <v>199.0169491525424</v>
      </c>
      <c r="K35" s="1425">
        <f>SUM(L35:AI35)</f>
        <v>0</v>
      </c>
      <c r="L35" s="457"/>
      <c r="M35" s="460"/>
      <c r="N35" s="460"/>
      <c r="O35" s="460"/>
      <c r="P35" s="460"/>
      <c r="Q35" s="460"/>
      <c r="R35" s="460"/>
      <c r="S35" s="460"/>
      <c r="T35" s="460"/>
      <c r="U35" s="460"/>
      <c r="V35" s="460"/>
      <c r="W35" s="460"/>
      <c r="X35" s="482"/>
      <c r="Y35" s="482"/>
      <c r="Z35" s="482"/>
      <c r="AA35" s="482"/>
      <c r="AB35" s="482"/>
      <c r="AC35" s="482"/>
      <c r="AD35" s="482"/>
      <c r="AE35" s="482"/>
      <c r="AF35" s="482"/>
      <c r="AG35" s="482"/>
      <c r="AH35" s="482"/>
      <c r="AI35" s="482"/>
      <c r="AJ35" s="460"/>
      <c r="AK35" s="451"/>
      <c r="AL35" s="316"/>
      <c r="AM35" s="1519" t="s">
        <v>1327</v>
      </c>
      <c r="AN35" s="1519" t="s">
        <v>1328</v>
      </c>
    </row>
    <row r="36" spans="1:40" ht="15" customHeight="1">
      <c r="A36" s="1432"/>
      <c r="B36" s="480" t="s">
        <v>438</v>
      </c>
      <c r="C36" s="448" t="s">
        <v>454</v>
      </c>
      <c r="D36" s="448" t="s">
        <v>439</v>
      </c>
      <c r="E36" s="448" t="s">
        <v>455</v>
      </c>
      <c r="F36" s="448" t="s">
        <v>440</v>
      </c>
      <c r="G36" s="483"/>
      <c r="H36" s="1513"/>
      <c r="I36" s="1523"/>
      <c r="J36" s="1476"/>
      <c r="K36" s="1514"/>
      <c r="L36" s="457"/>
      <c r="M36" s="460"/>
      <c r="N36" s="460"/>
      <c r="O36" s="460"/>
      <c r="P36" s="460"/>
      <c r="Q36" s="460"/>
      <c r="R36" s="460"/>
      <c r="S36" s="460"/>
      <c r="T36" s="460"/>
      <c r="U36" s="460"/>
      <c r="V36" s="460"/>
      <c r="W36" s="460"/>
      <c r="X36" s="482"/>
      <c r="Y36" s="482"/>
      <c r="Z36" s="482"/>
      <c r="AA36" s="482"/>
      <c r="AB36" s="482"/>
      <c r="AC36" s="488"/>
      <c r="AD36" s="482"/>
      <c r="AE36" s="482"/>
      <c r="AF36" s="482"/>
      <c r="AG36" s="482"/>
      <c r="AH36" s="482"/>
      <c r="AI36" s="482"/>
      <c r="AJ36" s="460"/>
      <c r="AK36" s="460"/>
      <c r="AL36" s="452"/>
      <c r="AM36" s="1520"/>
      <c r="AN36" s="1520"/>
    </row>
    <row r="37" spans="1:40" ht="15" customHeight="1">
      <c r="A37" s="1431" t="s">
        <v>148</v>
      </c>
      <c r="B37" s="1518" t="s">
        <v>23</v>
      </c>
      <c r="C37" s="1518"/>
      <c r="D37" s="1518"/>
      <c r="E37" s="1518"/>
      <c r="F37" s="1518"/>
      <c r="G37" s="1518"/>
      <c r="H37" s="1513">
        <v>216.47</v>
      </c>
      <c r="I37" s="1475">
        <v>1.18</v>
      </c>
      <c r="J37" s="1475">
        <f>H37/I37</f>
        <v>183.4491525423729</v>
      </c>
      <c r="K37" s="1425">
        <f>SUM(L37:AI37)</f>
        <v>139.388593220339</v>
      </c>
      <c r="L37" s="457"/>
      <c r="M37" s="460"/>
      <c r="N37" s="460"/>
      <c r="O37" s="460"/>
      <c r="P37" s="460"/>
      <c r="Q37" s="460"/>
      <c r="R37" s="460"/>
      <c r="S37" s="460"/>
      <c r="T37" s="460"/>
      <c r="U37" s="460"/>
      <c r="V37" s="460"/>
      <c r="W37" s="460"/>
      <c r="X37" s="482"/>
      <c r="Y37" s="482"/>
      <c r="Z37" s="482"/>
      <c r="AA37" s="482"/>
      <c r="AB37" s="482"/>
      <c r="AC37" s="453"/>
      <c r="AD37" s="482"/>
      <c r="AE37" s="482"/>
      <c r="AF37" s="354"/>
      <c r="AG37" s="354"/>
      <c r="AH37" s="354"/>
      <c r="AI37" s="354">
        <f>164.47854/1.18</f>
        <v>139.388593220339</v>
      </c>
      <c r="AJ37" s="460"/>
      <c r="AK37" s="451"/>
      <c r="AL37" s="316"/>
      <c r="AM37" s="1519" t="s">
        <v>1327</v>
      </c>
      <c r="AN37" s="1519" t="s">
        <v>1328</v>
      </c>
    </row>
    <row r="38" spans="1:40" ht="15" customHeight="1">
      <c r="A38" s="1432"/>
      <c r="B38" s="480" t="s">
        <v>438</v>
      </c>
      <c r="C38" s="448" t="s">
        <v>456</v>
      </c>
      <c r="D38" s="448" t="s">
        <v>439</v>
      </c>
      <c r="E38" s="448" t="s">
        <v>448</v>
      </c>
      <c r="F38" s="448" t="s">
        <v>440</v>
      </c>
      <c r="G38" s="481"/>
      <c r="H38" s="1513"/>
      <c r="I38" s="1523"/>
      <c r="J38" s="1476"/>
      <c r="K38" s="1514"/>
      <c r="L38" s="457"/>
      <c r="M38" s="460"/>
      <c r="N38" s="460"/>
      <c r="O38" s="460"/>
      <c r="P38" s="460"/>
      <c r="Q38" s="460"/>
      <c r="R38" s="460"/>
      <c r="S38" s="460"/>
      <c r="T38" s="460"/>
      <c r="U38" s="460"/>
      <c r="V38" s="460"/>
      <c r="W38" s="460"/>
      <c r="X38" s="482"/>
      <c r="Y38" s="482"/>
      <c r="Z38" s="482"/>
      <c r="AA38" s="482"/>
      <c r="AB38" s="482"/>
      <c r="AC38" s="482"/>
      <c r="AD38" s="482"/>
      <c r="AE38" s="482"/>
      <c r="AF38" s="482"/>
      <c r="AG38" s="482"/>
      <c r="AH38" s="482"/>
      <c r="AI38" s="482"/>
      <c r="AJ38" s="460"/>
      <c r="AK38" s="451"/>
      <c r="AL38" s="316"/>
      <c r="AM38" s="1520"/>
      <c r="AN38" s="1520"/>
    </row>
    <row r="39" spans="1:40" ht="15" customHeight="1">
      <c r="A39" s="1431" t="s">
        <v>149</v>
      </c>
      <c r="B39" s="1518" t="s">
        <v>24</v>
      </c>
      <c r="C39" s="1518"/>
      <c r="D39" s="1518"/>
      <c r="E39" s="1518"/>
      <c r="F39" s="1518"/>
      <c r="G39" s="1518"/>
      <c r="H39" s="1513">
        <v>68.69</v>
      </c>
      <c r="I39" s="1475">
        <v>1.18</v>
      </c>
      <c r="J39" s="1475">
        <f>H39/I39</f>
        <v>58.211864406779661</v>
      </c>
      <c r="K39" s="1425">
        <f>SUM(L39:AI39)</f>
        <v>41.19614406779661</v>
      </c>
      <c r="L39" s="457"/>
      <c r="M39" s="460"/>
      <c r="N39" s="460"/>
      <c r="O39" s="460"/>
      <c r="P39" s="460"/>
      <c r="Q39" s="460"/>
      <c r="R39" s="460"/>
      <c r="S39" s="460"/>
      <c r="T39" s="460"/>
      <c r="U39" s="460"/>
      <c r="V39" s="460"/>
      <c r="W39" s="460"/>
      <c r="X39" s="482"/>
      <c r="Y39" s="482"/>
      <c r="Z39" s="482"/>
      <c r="AA39" s="482"/>
      <c r="AB39" s="482"/>
      <c r="AC39" s="453"/>
      <c r="AD39" s="244"/>
      <c r="AE39" s="244"/>
      <c r="AF39" s="244"/>
      <c r="AG39" s="244"/>
      <c r="AH39" s="354"/>
      <c r="AI39" s="354">
        <f>48.61145/1.18</f>
        <v>41.19614406779661</v>
      </c>
      <c r="AJ39" s="244"/>
      <c r="AK39" s="451"/>
      <c r="AL39" s="316"/>
      <c r="AM39" s="1519" t="s">
        <v>1327</v>
      </c>
      <c r="AN39" s="1519" t="s">
        <v>1328</v>
      </c>
    </row>
    <row r="40" spans="1:40" ht="15" customHeight="1">
      <c r="A40" s="1432"/>
      <c r="B40" s="480" t="s">
        <v>438</v>
      </c>
      <c r="C40" s="448" t="s">
        <v>456</v>
      </c>
      <c r="D40" s="448" t="s">
        <v>439</v>
      </c>
      <c r="E40" s="448" t="s">
        <v>457</v>
      </c>
      <c r="F40" s="448" t="s">
        <v>440</v>
      </c>
      <c r="G40" s="481"/>
      <c r="H40" s="1513"/>
      <c r="I40" s="1523"/>
      <c r="J40" s="1476"/>
      <c r="K40" s="1514"/>
      <c r="L40" s="457"/>
      <c r="M40" s="460"/>
      <c r="N40" s="460"/>
      <c r="O40" s="460"/>
      <c r="P40" s="460"/>
      <c r="Q40" s="460"/>
      <c r="R40" s="460"/>
      <c r="S40" s="460"/>
      <c r="T40" s="460"/>
      <c r="U40" s="460"/>
      <c r="V40" s="460"/>
      <c r="W40" s="460"/>
      <c r="X40" s="482"/>
      <c r="Y40" s="482"/>
      <c r="Z40" s="482"/>
      <c r="AA40" s="482"/>
      <c r="AB40" s="482"/>
      <c r="AC40" s="453"/>
      <c r="AD40" s="244"/>
      <c r="AE40" s="244"/>
      <c r="AF40" s="244"/>
      <c r="AG40" s="244"/>
      <c r="AH40" s="244"/>
      <c r="AI40" s="244"/>
      <c r="AJ40" s="244"/>
      <c r="AK40" s="451"/>
      <c r="AL40" s="316"/>
      <c r="AM40" s="1520"/>
      <c r="AN40" s="1520"/>
    </row>
    <row r="41" spans="1:40" ht="15" customHeight="1">
      <c r="A41" s="1431" t="s">
        <v>150</v>
      </c>
      <c r="B41" s="1518" t="s">
        <v>25</v>
      </c>
      <c r="C41" s="1518"/>
      <c r="D41" s="1518"/>
      <c r="E41" s="1518"/>
      <c r="F41" s="1518"/>
      <c r="G41" s="1518"/>
      <c r="H41" s="1513">
        <v>173.1</v>
      </c>
      <c r="I41" s="1475">
        <v>1.18</v>
      </c>
      <c r="J41" s="1475">
        <f>H41/I41</f>
        <v>146.69491525423729</v>
      </c>
      <c r="K41" s="1425">
        <f>SUM(L41:AI41)</f>
        <v>82.149000000000015</v>
      </c>
      <c r="L41" s="457"/>
      <c r="M41" s="460"/>
      <c r="N41" s="460"/>
      <c r="O41" s="460"/>
      <c r="P41" s="460"/>
      <c r="Q41" s="460"/>
      <c r="R41" s="460"/>
      <c r="S41" s="460"/>
      <c r="T41" s="460"/>
      <c r="U41" s="460"/>
      <c r="V41" s="460"/>
      <c r="W41" s="460"/>
      <c r="X41" s="482"/>
      <c r="Y41" s="482"/>
      <c r="Z41" s="482"/>
      <c r="AA41" s="482"/>
      <c r="AB41" s="482"/>
      <c r="AC41" s="482"/>
      <c r="AD41" s="244"/>
      <c r="AE41" s="244"/>
      <c r="AF41" s="354"/>
      <c r="AG41" s="354"/>
      <c r="AH41" s="244"/>
      <c r="AI41" s="354">
        <f>96.93582/1.18</f>
        <v>82.149000000000015</v>
      </c>
      <c r="AJ41" s="244"/>
      <c r="AK41" s="460"/>
      <c r="AL41" s="460"/>
      <c r="AM41" s="1519" t="s">
        <v>1327</v>
      </c>
      <c r="AN41" s="1519" t="s">
        <v>1328</v>
      </c>
    </row>
    <row r="42" spans="1:40" ht="15" customHeight="1">
      <c r="A42" s="1432"/>
      <c r="B42" s="480" t="s">
        <v>438</v>
      </c>
      <c r="C42" s="448" t="s">
        <v>456</v>
      </c>
      <c r="D42" s="448" t="s">
        <v>439</v>
      </c>
      <c r="E42" s="448" t="s">
        <v>1764</v>
      </c>
      <c r="F42" s="448" t="s">
        <v>440</v>
      </c>
      <c r="G42" s="481"/>
      <c r="H42" s="1513"/>
      <c r="I42" s="1523"/>
      <c r="J42" s="1476"/>
      <c r="K42" s="1514"/>
      <c r="L42" s="457"/>
      <c r="M42" s="460"/>
      <c r="N42" s="460"/>
      <c r="O42" s="460"/>
      <c r="P42" s="460"/>
      <c r="Q42" s="460"/>
      <c r="R42" s="460"/>
      <c r="S42" s="460"/>
      <c r="T42" s="460"/>
      <c r="U42" s="460"/>
      <c r="V42" s="460"/>
      <c r="W42" s="460"/>
      <c r="X42" s="482"/>
      <c r="Y42" s="482"/>
      <c r="Z42" s="482"/>
      <c r="AA42" s="482"/>
      <c r="AB42" s="482"/>
      <c r="AC42" s="482"/>
      <c r="AD42" s="244"/>
      <c r="AE42" s="244"/>
      <c r="AF42" s="244"/>
      <c r="AG42" s="244"/>
      <c r="AH42" s="244"/>
      <c r="AI42" s="244"/>
      <c r="AJ42" s="244"/>
      <c r="AK42" s="460"/>
      <c r="AL42" s="460"/>
      <c r="AM42" s="1520"/>
      <c r="AN42" s="1520"/>
    </row>
    <row r="43" spans="1:40" ht="15" customHeight="1">
      <c r="A43" s="1431" t="s">
        <v>151</v>
      </c>
      <c r="B43" s="1547" t="s">
        <v>1765</v>
      </c>
      <c r="C43" s="1547"/>
      <c r="D43" s="1547"/>
      <c r="E43" s="1547"/>
      <c r="F43" s="1547"/>
      <c r="G43" s="1547"/>
      <c r="H43" s="1513">
        <v>708.11</v>
      </c>
      <c r="I43" s="1475">
        <v>1.18</v>
      </c>
      <c r="J43" s="1475">
        <f>H43/I43</f>
        <v>600.09322033898309</v>
      </c>
      <c r="K43" s="1425">
        <f>SUM(L43:AI43)</f>
        <v>0</v>
      </c>
      <c r="L43" s="457"/>
      <c r="M43" s="460"/>
      <c r="N43" s="460"/>
      <c r="O43" s="460"/>
      <c r="P43" s="460"/>
      <c r="Q43" s="460"/>
      <c r="R43" s="460"/>
      <c r="S43" s="460"/>
      <c r="T43" s="460"/>
      <c r="U43" s="460"/>
      <c r="V43" s="460"/>
      <c r="W43" s="460"/>
      <c r="X43" s="482"/>
      <c r="Y43" s="482"/>
      <c r="Z43" s="482"/>
      <c r="AA43" s="482"/>
      <c r="AB43" s="482"/>
      <c r="AC43" s="482"/>
      <c r="AD43" s="244"/>
      <c r="AE43" s="244"/>
      <c r="AF43" s="244"/>
      <c r="AG43" s="244"/>
      <c r="AH43" s="244"/>
      <c r="AI43" s="244"/>
      <c r="AJ43" s="244"/>
      <c r="AK43" s="460"/>
      <c r="AL43" s="460"/>
      <c r="AM43" s="1519" t="s">
        <v>1327</v>
      </c>
      <c r="AN43" s="1519" t="s">
        <v>1328</v>
      </c>
    </row>
    <row r="44" spans="1:40" ht="15" customHeight="1">
      <c r="A44" s="1432"/>
      <c r="B44" s="490" t="s">
        <v>438</v>
      </c>
      <c r="C44" s="491" t="s">
        <v>441</v>
      </c>
      <c r="D44" s="491" t="s">
        <v>439</v>
      </c>
      <c r="E44" s="491" t="s">
        <v>458</v>
      </c>
      <c r="F44" s="491" t="s">
        <v>440</v>
      </c>
      <c r="G44" s="492"/>
      <c r="H44" s="1513"/>
      <c r="I44" s="1523"/>
      <c r="J44" s="1476"/>
      <c r="K44" s="1514"/>
      <c r="L44" s="457"/>
      <c r="M44" s="460"/>
      <c r="N44" s="460"/>
      <c r="O44" s="460"/>
      <c r="P44" s="460"/>
      <c r="Q44" s="460"/>
      <c r="R44" s="460"/>
      <c r="S44" s="460"/>
      <c r="T44" s="460"/>
      <c r="U44" s="460"/>
      <c r="V44" s="460"/>
      <c r="W44" s="460"/>
      <c r="X44" s="482"/>
      <c r="Y44" s="482"/>
      <c r="Z44" s="482"/>
      <c r="AA44" s="482"/>
      <c r="AB44" s="482"/>
      <c r="AC44" s="482"/>
      <c r="AD44" s="244"/>
      <c r="AE44" s="244"/>
      <c r="AF44" s="244"/>
      <c r="AG44" s="244"/>
      <c r="AH44" s="244"/>
      <c r="AI44" s="244"/>
      <c r="AJ44" s="244"/>
      <c r="AK44" s="460"/>
      <c r="AL44" s="460"/>
      <c r="AM44" s="1520"/>
      <c r="AN44" s="1520"/>
    </row>
    <row r="45" spans="1:40" ht="15" customHeight="1">
      <c r="A45" s="1545" t="s">
        <v>152</v>
      </c>
      <c r="B45" s="1518" t="s">
        <v>26</v>
      </c>
      <c r="C45" s="1518"/>
      <c r="D45" s="1518"/>
      <c r="E45" s="1518"/>
      <c r="F45" s="1518"/>
      <c r="G45" s="1518"/>
      <c r="H45" s="1513">
        <v>373.61</v>
      </c>
      <c r="I45" s="1475">
        <v>1.18</v>
      </c>
      <c r="J45" s="1475">
        <f>H45/I45</f>
        <v>316.61864406779665</v>
      </c>
      <c r="K45" s="1425">
        <f>SUM(L45:AI45)</f>
        <v>0</v>
      </c>
      <c r="L45" s="457"/>
      <c r="M45" s="460"/>
      <c r="N45" s="460"/>
      <c r="O45" s="460"/>
      <c r="P45" s="460"/>
      <c r="Q45" s="460"/>
      <c r="R45" s="460"/>
      <c r="S45" s="460"/>
      <c r="T45" s="460"/>
      <c r="U45" s="460"/>
      <c r="V45" s="460"/>
      <c r="W45" s="460"/>
      <c r="X45" s="482"/>
      <c r="Y45" s="482"/>
      <c r="Z45" s="482"/>
      <c r="AA45" s="482"/>
      <c r="AB45" s="482"/>
      <c r="AC45" s="482"/>
      <c r="AD45" s="244"/>
      <c r="AE45" s="244"/>
      <c r="AF45" s="244"/>
      <c r="AG45" s="244"/>
      <c r="AH45" s="354"/>
      <c r="AI45" s="354"/>
      <c r="AJ45" s="244"/>
      <c r="AK45" s="460"/>
      <c r="AL45" s="460"/>
      <c r="AM45" s="1519" t="s">
        <v>1327</v>
      </c>
      <c r="AN45" s="1519" t="s">
        <v>1328</v>
      </c>
    </row>
    <row r="46" spans="1:40" ht="15" customHeight="1">
      <c r="A46" s="1546"/>
      <c r="B46" s="480" t="s">
        <v>438</v>
      </c>
      <c r="C46" s="448" t="s">
        <v>454</v>
      </c>
      <c r="D46" s="448" t="s">
        <v>439</v>
      </c>
      <c r="E46" s="448" t="s">
        <v>459</v>
      </c>
      <c r="F46" s="448" t="s">
        <v>440</v>
      </c>
      <c r="G46" s="481"/>
      <c r="H46" s="1513"/>
      <c r="I46" s="1523"/>
      <c r="J46" s="1476"/>
      <c r="K46" s="1514"/>
      <c r="L46" s="457"/>
      <c r="M46" s="460"/>
      <c r="N46" s="460"/>
      <c r="O46" s="460"/>
      <c r="P46" s="460"/>
      <c r="Q46" s="460"/>
      <c r="R46" s="460"/>
      <c r="S46" s="460"/>
      <c r="T46" s="460"/>
      <c r="U46" s="460"/>
      <c r="V46" s="460"/>
      <c r="W46" s="460"/>
      <c r="X46" s="482"/>
      <c r="Y46" s="482"/>
      <c r="Z46" s="482"/>
      <c r="AA46" s="482"/>
      <c r="AB46" s="482"/>
      <c r="AC46" s="482"/>
      <c r="AD46" s="244"/>
      <c r="AE46" s="244"/>
      <c r="AF46" s="244"/>
      <c r="AG46" s="244"/>
      <c r="AH46" s="244"/>
      <c r="AI46" s="244"/>
      <c r="AJ46" s="244"/>
      <c r="AK46" s="460"/>
      <c r="AL46" s="460"/>
      <c r="AM46" s="1520"/>
      <c r="AN46" s="1520"/>
    </row>
    <row r="47" spans="1:40" ht="15" customHeight="1">
      <c r="A47" s="1431" t="s">
        <v>153</v>
      </c>
      <c r="B47" s="1518" t="s">
        <v>27</v>
      </c>
      <c r="C47" s="1518"/>
      <c r="D47" s="1518"/>
      <c r="E47" s="1518"/>
      <c r="F47" s="1518"/>
      <c r="G47" s="1518"/>
      <c r="H47" s="1513">
        <v>168.18</v>
      </c>
      <c r="I47" s="1475">
        <v>1.18</v>
      </c>
      <c r="J47" s="1475">
        <f>H47/I47</f>
        <v>142.52542372881356</v>
      </c>
      <c r="K47" s="1425">
        <f>SUM(L47:AI47)</f>
        <v>98.234000000000009</v>
      </c>
      <c r="L47" s="457"/>
      <c r="M47" s="460"/>
      <c r="N47" s="460"/>
      <c r="O47" s="460"/>
      <c r="P47" s="460"/>
      <c r="Q47" s="460"/>
      <c r="R47" s="460"/>
      <c r="S47" s="460"/>
      <c r="T47" s="460"/>
      <c r="U47" s="460"/>
      <c r="V47" s="460"/>
      <c r="W47" s="460"/>
      <c r="X47" s="482"/>
      <c r="Y47" s="482"/>
      <c r="Z47" s="482"/>
      <c r="AA47" s="482"/>
      <c r="AB47" s="482"/>
      <c r="AC47" s="482"/>
      <c r="AD47" s="244"/>
      <c r="AE47" s="244"/>
      <c r="AF47" s="354"/>
      <c r="AG47" s="354"/>
      <c r="AH47" s="354"/>
      <c r="AI47" s="354">
        <f>115.91612/1.18</f>
        <v>98.234000000000009</v>
      </c>
      <c r="AJ47" s="244"/>
      <c r="AK47" s="460"/>
      <c r="AL47" s="460"/>
      <c r="AM47" s="1519" t="s">
        <v>1327</v>
      </c>
      <c r="AN47" s="1519" t="s">
        <v>1328</v>
      </c>
    </row>
    <row r="48" spans="1:40" ht="15" customHeight="1">
      <c r="A48" s="1432"/>
      <c r="B48" s="480" t="s">
        <v>438</v>
      </c>
      <c r="C48" s="448" t="s">
        <v>456</v>
      </c>
      <c r="D48" s="448" t="s">
        <v>439</v>
      </c>
      <c r="E48" s="448" t="s">
        <v>445</v>
      </c>
      <c r="F48" s="448" t="s">
        <v>440</v>
      </c>
      <c r="G48" s="481"/>
      <c r="H48" s="1513"/>
      <c r="I48" s="1523"/>
      <c r="J48" s="1476"/>
      <c r="K48" s="1514"/>
      <c r="L48" s="457"/>
      <c r="M48" s="460"/>
      <c r="N48" s="460"/>
      <c r="O48" s="460"/>
      <c r="P48" s="460"/>
      <c r="Q48" s="460"/>
      <c r="R48" s="460"/>
      <c r="S48" s="460"/>
      <c r="T48" s="460"/>
      <c r="U48" s="460"/>
      <c r="V48" s="460"/>
      <c r="W48" s="460"/>
      <c r="X48" s="482"/>
      <c r="Y48" s="482"/>
      <c r="Z48" s="482"/>
      <c r="AA48" s="482"/>
      <c r="AB48" s="482"/>
      <c r="AC48" s="482"/>
      <c r="AD48" s="244"/>
      <c r="AE48" s="244"/>
      <c r="AF48" s="244"/>
      <c r="AG48" s="244"/>
      <c r="AH48" s="244"/>
      <c r="AI48" s="244"/>
      <c r="AJ48" s="244"/>
      <c r="AK48" s="460"/>
      <c r="AL48" s="460"/>
      <c r="AM48" s="1520"/>
      <c r="AN48" s="1520"/>
    </row>
    <row r="49" spans="1:40" ht="15" customHeight="1">
      <c r="A49" s="1431" t="s">
        <v>154</v>
      </c>
      <c r="B49" s="1518" t="s">
        <v>28</v>
      </c>
      <c r="C49" s="1518"/>
      <c r="D49" s="1518"/>
      <c r="E49" s="1518"/>
      <c r="F49" s="1518"/>
      <c r="G49" s="1518"/>
      <c r="H49" s="1513">
        <v>180.76</v>
      </c>
      <c r="I49" s="1475">
        <v>1.18</v>
      </c>
      <c r="J49" s="1475">
        <f>H49/I49</f>
        <v>153.18644067796609</v>
      </c>
      <c r="K49" s="1425">
        <f>SUM(L49:AI49)</f>
        <v>0</v>
      </c>
      <c r="L49" s="457"/>
      <c r="M49" s="460"/>
      <c r="N49" s="460"/>
      <c r="O49" s="460"/>
      <c r="P49" s="460"/>
      <c r="Q49" s="460"/>
      <c r="R49" s="460"/>
      <c r="S49" s="460"/>
      <c r="T49" s="460"/>
      <c r="U49" s="460"/>
      <c r="V49" s="460"/>
      <c r="W49" s="460"/>
      <c r="X49" s="482"/>
      <c r="Y49" s="482"/>
      <c r="Z49" s="482"/>
      <c r="AA49" s="482"/>
      <c r="AB49" s="482"/>
      <c r="AC49" s="482"/>
      <c r="AD49" s="244"/>
      <c r="AE49" s="244"/>
      <c r="AF49" s="244"/>
      <c r="AG49" s="244"/>
      <c r="AH49" s="244"/>
      <c r="AI49" s="244"/>
      <c r="AJ49" s="244"/>
      <c r="AK49" s="460"/>
      <c r="AL49" s="460"/>
      <c r="AM49" s="1519" t="s">
        <v>1327</v>
      </c>
      <c r="AN49" s="1519" t="s">
        <v>1328</v>
      </c>
    </row>
    <row r="50" spans="1:40" ht="15" customHeight="1">
      <c r="A50" s="1432"/>
      <c r="B50" s="480" t="s">
        <v>438</v>
      </c>
      <c r="C50" s="448" t="s">
        <v>456</v>
      </c>
      <c r="D50" s="448" t="s">
        <v>439</v>
      </c>
      <c r="E50" s="448" t="s">
        <v>448</v>
      </c>
      <c r="F50" s="448" t="s">
        <v>440</v>
      </c>
      <c r="G50" s="481"/>
      <c r="H50" s="1513"/>
      <c r="I50" s="1523"/>
      <c r="J50" s="1476"/>
      <c r="K50" s="1514"/>
      <c r="L50" s="457"/>
      <c r="M50" s="460"/>
      <c r="N50" s="460"/>
      <c r="O50" s="460"/>
      <c r="P50" s="460"/>
      <c r="Q50" s="460"/>
      <c r="R50" s="460"/>
      <c r="S50" s="460"/>
      <c r="T50" s="460"/>
      <c r="U50" s="460"/>
      <c r="V50" s="460"/>
      <c r="W50" s="460"/>
      <c r="X50" s="482"/>
      <c r="Y50" s="482"/>
      <c r="Z50" s="482"/>
      <c r="AA50" s="482"/>
      <c r="AB50" s="482"/>
      <c r="AC50" s="482"/>
      <c r="AD50" s="244"/>
      <c r="AE50" s="244"/>
      <c r="AF50" s="244"/>
      <c r="AG50" s="244"/>
      <c r="AH50" s="244"/>
      <c r="AI50" s="244"/>
      <c r="AJ50" s="244"/>
      <c r="AK50" s="457"/>
      <c r="AL50" s="316"/>
      <c r="AM50" s="1520"/>
      <c r="AN50" s="1520"/>
    </row>
    <row r="51" spans="1:40">
      <c r="A51" s="1431" t="s">
        <v>155</v>
      </c>
      <c r="B51" s="1518" t="s">
        <v>29</v>
      </c>
      <c r="C51" s="1518"/>
      <c r="D51" s="1518"/>
      <c r="E51" s="1518"/>
      <c r="F51" s="1518"/>
      <c r="G51" s="1518"/>
      <c r="H51" s="1513">
        <v>65.47</v>
      </c>
      <c r="I51" s="1475">
        <v>1.18</v>
      </c>
      <c r="J51" s="1475">
        <f>H51/I51</f>
        <v>55.483050847457626</v>
      </c>
      <c r="K51" s="1425">
        <f>SUM(L51:AI51)</f>
        <v>0</v>
      </c>
      <c r="L51" s="457"/>
      <c r="M51" s="460"/>
      <c r="N51" s="460"/>
      <c r="O51" s="460"/>
      <c r="P51" s="460"/>
      <c r="Q51" s="460"/>
      <c r="R51" s="460"/>
      <c r="S51" s="460"/>
      <c r="T51" s="460"/>
      <c r="U51" s="460"/>
      <c r="V51" s="460"/>
      <c r="W51" s="460"/>
      <c r="X51" s="482"/>
      <c r="Y51" s="482"/>
      <c r="Z51" s="482"/>
      <c r="AA51" s="482"/>
      <c r="AB51" s="482"/>
      <c r="AC51" s="482"/>
      <c r="AD51" s="244"/>
      <c r="AE51" s="244"/>
      <c r="AF51" s="244"/>
      <c r="AG51" s="244"/>
      <c r="AH51" s="244"/>
      <c r="AI51" s="244"/>
      <c r="AJ51" s="244"/>
      <c r="AK51" s="460"/>
      <c r="AL51" s="460"/>
      <c r="AM51" s="1519" t="s">
        <v>1327</v>
      </c>
      <c r="AN51" s="1519" t="s">
        <v>1328</v>
      </c>
    </row>
    <row r="52" spans="1:40" ht="15" customHeight="1">
      <c r="A52" s="1432"/>
      <c r="B52" s="480" t="s">
        <v>438</v>
      </c>
      <c r="C52" s="448" t="s">
        <v>442</v>
      </c>
      <c r="D52" s="448" t="s">
        <v>439</v>
      </c>
      <c r="E52" s="448" t="s">
        <v>453</v>
      </c>
      <c r="F52" s="448" t="s">
        <v>440</v>
      </c>
      <c r="G52" s="481"/>
      <c r="H52" s="1513"/>
      <c r="I52" s="1523"/>
      <c r="J52" s="1476"/>
      <c r="K52" s="1514"/>
      <c r="L52" s="457"/>
      <c r="M52" s="460"/>
      <c r="N52" s="460"/>
      <c r="O52" s="460"/>
      <c r="P52" s="460"/>
      <c r="Q52" s="460"/>
      <c r="R52" s="460"/>
      <c r="S52" s="460"/>
      <c r="T52" s="460"/>
      <c r="U52" s="460"/>
      <c r="V52" s="460"/>
      <c r="W52" s="460"/>
      <c r="X52" s="482"/>
      <c r="Y52" s="482"/>
      <c r="Z52" s="482"/>
      <c r="AA52" s="482"/>
      <c r="AB52" s="482"/>
      <c r="AC52" s="482"/>
      <c r="AD52" s="244"/>
      <c r="AE52" s="244"/>
      <c r="AF52" s="244"/>
      <c r="AG52" s="244"/>
      <c r="AH52" s="244"/>
      <c r="AI52" s="244"/>
      <c r="AJ52" s="244"/>
      <c r="AK52" s="451"/>
      <c r="AL52" s="316"/>
      <c r="AM52" s="1520"/>
      <c r="AN52" s="1520"/>
    </row>
    <row r="53" spans="1:40" ht="15" customHeight="1">
      <c r="A53" s="1431" t="s">
        <v>156</v>
      </c>
      <c r="B53" s="1518" t="s">
        <v>30</v>
      </c>
      <c r="C53" s="1518"/>
      <c r="D53" s="1518"/>
      <c r="E53" s="1518"/>
      <c r="F53" s="1518"/>
      <c r="G53" s="1518"/>
      <c r="H53" s="1513">
        <v>198.51</v>
      </c>
      <c r="I53" s="1475">
        <v>1.18</v>
      </c>
      <c r="J53" s="1475">
        <f>H53/I53</f>
        <v>168.22881355932205</v>
      </c>
      <c r="K53" s="1425">
        <f>SUM(L53:AI53)</f>
        <v>129.89698305084747</v>
      </c>
      <c r="L53" s="457"/>
      <c r="M53" s="460"/>
      <c r="N53" s="460"/>
      <c r="O53" s="460"/>
      <c r="P53" s="460"/>
      <c r="Q53" s="460"/>
      <c r="R53" s="460"/>
      <c r="S53" s="460"/>
      <c r="T53" s="460"/>
      <c r="U53" s="460"/>
      <c r="V53" s="460"/>
      <c r="W53" s="460"/>
      <c r="X53" s="482"/>
      <c r="Y53" s="482"/>
      <c r="Z53" s="482"/>
      <c r="AA53" s="258"/>
      <c r="AB53" s="482"/>
      <c r="AC53" s="258"/>
      <c r="AD53" s="244"/>
      <c r="AE53" s="244"/>
      <c r="AF53" s="244"/>
      <c r="AG53" s="244"/>
      <c r="AH53" s="354"/>
      <c r="AI53" s="354">
        <f>153.27844/1.18</f>
        <v>129.89698305084747</v>
      </c>
      <c r="AJ53" s="244"/>
      <c r="AK53" s="451"/>
      <c r="AL53" s="316"/>
      <c r="AM53" s="1519" t="s">
        <v>1327</v>
      </c>
      <c r="AN53" s="1519" t="s">
        <v>1328</v>
      </c>
    </row>
    <row r="54" spans="1:40" ht="15" customHeight="1">
      <c r="A54" s="1432"/>
      <c r="B54" s="480" t="s">
        <v>438</v>
      </c>
      <c r="C54" s="448" t="s">
        <v>456</v>
      </c>
      <c r="D54" s="448" t="s">
        <v>439</v>
      </c>
      <c r="E54" s="448" t="s">
        <v>457</v>
      </c>
      <c r="F54" s="448" t="s">
        <v>440</v>
      </c>
      <c r="G54" s="481"/>
      <c r="H54" s="1513"/>
      <c r="I54" s="1523"/>
      <c r="J54" s="1476"/>
      <c r="K54" s="1514"/>
      <c r="L54" s="457"/>
      <c r="M54" s="460"/>
      <c r="N54" s="460"/>
      <c r="O54" s="460"/>
      <c r="P54" s="460"/>
      <c r="Q54" s="460"/>
      <c r="R54" s="460"/>
      <c r="S54" s="460"/>
      <c r="T54" s="460"/>
      <c r="U54" s="460"/>
      <c r="V54" s="460"/>
      <c r="W54" s="460"/>
      <c r="X54" s="482"/>
      <c r="Y54" s="458"/>
      <c r="Z54" s="482"/>
      <c r="AA54" s="258"/>
      <c r="AB54" s="482"/>
      <c r="AC54" s="258"/>
      <c r="AD54" s="244"/>
      <c r="AE54" s="244"/>
      <c r="AF54" s="244"/>
      <c r="AG54" s="244"/>
      <c r="AH54" s="244"/>
      <c r="AI54" s="244"/>
      <c r="AJ54" s="244"/>
      <c r="AK54" s="452"/>
      <c r="AL54" s="459"/>
      <c r="AM54" s="1520"/>
      <c r="AN54" s="1520"/>
    </row>
    <row r="55" spans="1:40" ht="15" customHeight="1">
      <c r="A55" s="1431" t="s">
        <v>157</v>
      </c>
      <c r="B55" s="1518" t="s">
        <v>31</v>
      </c>
      <c r="C55" s="1518"/>
      <c r="D55" s="1518"/>
      <c r="E55" s="1518"/>
      <c r="F55" s="1518"/>
      <c r="G55" s="1518"/>
      <c r="H55" s="1513">
        <v>96.35</v>
      </c>
      <c r="I55" s="1475">
        <v>1.18</v>
      </c>
      <c r="J55" s="1475">
        <f>H55/I55</f>
        <v>81.652542372881356</v>
      </c>
      <c r="K55" s="1425">
        <v>76.3</v>
      </c>
      <c r="L55" s="457"/>
      <c r="M55" s="460"/>
      <c r="N55" s="460"/>
      <c r="O55" s="460"/>
      <c r="P55" s="460"/>
      <c r="Q55" s="460"/>
      <c r="R55" s="460"/>
      <c r="S55" s="460"/>
      <c r="T55" s="460"/>
      <c r="U55" s="460"/>
      <c r="V55" s="460"/>
      <c r="W55" s="460"/>
      <c r="X55" s="482"/>
      <c r="Y55" s="458"/>
      <c r="Z55" s="482"/>
      <c r="AA55" s="258"/>
      <c r="AB55" s="482"/>
      <c r="AC55" s="258"/>
      <c r="AD55" s="244"/>
      <c r="AE55" s="244"/>
      <c r="AF55" s="244"/>
      <c r="AG55" s="244"/>
      <c r="AH55" s="244"/>
      <c r="AI55" s="244"/>
      <c r="AJ55" s="244"/>
      <c r="AK55" s="452"/>
      <c r="AL55" s="459"/>
      <c r="AM55" s="1519" t="s">
        <v>1327</v>
      </c>
      <c r="AN55" s="1519" t="s">
        <v>1328</v>
      </c>
    </row>
    <row r="56" spans="1:40" ht="15" customHeight="1">
      <c r="A56" s="1432"/>
      <c r="B56" s="480" t="s">
        <v>438</v>
      </c>
      <c r="C56" s="448" t="s">
        <v>456</v>
      </c>
      <c r="D56" s="448" t="s">
        <v>439</v>
      </c>
      <c r="E56" s="448" t="s">
        <v>1766</v>
      </c>
      <c r="F56" s="448" t="s">
        <v>440</v>
      </c>
      <c r="G56" s="481"/>
      <c r="H56" s="1513"/>
      <c r="I56" s="1523"/>
      <c r="J56" s="1476"/>
      <c r="K56" s="1514"/>
      <c r="L56" s="457"/>
      <c r="M56" s="460"/>
      <c r="N56" s="460"/>
      <c r="O56" s="460"/>
      <c r="P56" s="460"/>
      <c r="Q56" s="460"/>
      <c r="R56" s="460"/>
      <c r="S56" s="460"/>
      <c r="T56" s="460"/>
      <c r="U56" s="460"/>
      <c r="V56" s="460"/>
      <c r="W56" s="460"/>
      <c r="X56" s="482"/>
      <c r="Y56" s="482"/>
      <c r="Z56" s="482"/>
      <c r="AA56" s="258"/>
      <c r="AB56" s="482"/>
      <c r="AC56" s="258"/>
      <c r="AD56" s="244"/>
      <c r="AE56" s="244"/>
      <c r="AF56" s="244"/>
      <c r="AG56" s="244"/>
      <c r="AH56" s="244"/>
      <c r="AI56" s="244"/>
      <c r="AJ56" s="244"/>
      <c r="AK56" s="451"/>
      <c r="AL56" s="316"/>
      <c r="AM56" s="1520"/>
      <c r="AN56" s="1520"/>
    </row>
    <row r="57" spans="1:40" ht="15" customHeight="1">
      <c r="A57" s="1431" t="s">
        <v>158</v>
      </c>
      <c r="B57" s="1518" t="s">
        <v>32</v>
      </c>
      <c r="C57" s="1518"/>
      <c r="D57" s="1518"/>
      <c r="E57" s="1518"/>
      <c r="F57" s="1518"/>
      <c r="G57" s="1518"/>
      <c r="H57" s="1513">
        <v>543.37</v>
      </c>
      <c r="I57" s="1475">
        <v>1.18</v>
      </c>
      <c r="J57" s="1475">
        <f>H57/I57</f>
        <v>460.48305084745766</v>
      </c>
      <c r="K57" s="1425">
        <f>SUM(L57:AI57)</f>
        <v>0</v>
      </c>
      <c r="L57" s="457"/>
      <c r="M57" s="460"/>
      <c r="N57" s="460"/>
      <c r="O57" s="460"/>
      <c r="P57" s="460"/>
      <c r="Q57" s="460"/>
      <c r="R57" s="460"/>
      <c r="S57" s="460"/>
      <c r="T57" s="460"/>
      <c r="U57" s="460"/>
      <c r="V57" s="460"/>
      <c r="W57" s="460"/>
      <c r="X57" s="482"/>
      <c r="Y57" s="482"/>
      <c r="Z57" s="482"/>
      <c r="AA57" s="258"/>
      <c r="AB57" s="482"/>
      <c r="AC57" s="258"/>
      <c r="AD57" s="244"/>
      <c r="AE57" s="244"/>
      <c r="AF57" s="244"/>
      <c r="AG57" s="244"/>
      <c r="AH57" s="244"/>
      <c r="AI57" s="244"/>
      <c r="AJ57" s="244"/>
      <c r="AK57" s="451"/>
      <c r="AL57" s="316"/>
      <c r="AM57" s="1519" t="s">
        <v>1327</v>
      </c>
      <c r="AN57" s="1519" t="s">
        <v>1328</v>
      </c>
    </row>
    <row r="58" spans="1:40" ht="15" customHeight="1">
      <c r="A58" s="1432"/>
      <c r="B58" s="480" t="s">
        <v>438</v>
      </c>
      <c r="C58" s="448" t="s">
        <v>456</v>
      </c>
      <c r="D58" s="448" t="s">
        <v>439</v>
      </c>
      <c r="E58" s="448" t="s">
        <v>459</v>
      </c>
      <c r="F58" s="448" t="s">
        <v>440</v>
      </c>
      <c r="G58" s="481"/>
      <c r="H58" s="1513"/>
      <c r="I58" s="1523"/>
      <c r="J58" s="1476"/>
      <c r="K58" s="1514"/>
      <c r="L58" s="457"/>
      <c r="M58" s="460"/>
      <c r="N58" s="460"/>
      <c r="O58" s="460"/>
      <c r="P58" s="460"/>
      <c r="Q58" s="460"/>
      <c r="R58" s="460"/>
      <c r="S58" s="460"/>
      <c r="T58" s="460"/>
      <c r="U58" s="460"/>
      <c r="V58" s="460"/>
      <c r="W58" s="257"/>
      <c r="X58" s="482"/>
      <c r="Y58" s="482"/>
      <c r="Z58" s="482"/>
      <c r="AA58" s="258"/>
      <c r="AB58" s="482"/>
      <c r="AC58" s="258"/>
      <c r="AD58" s="244"/>
      <c r="AE58" s="244"/>
      <c r="AF58" s="244"/>
      <c r="AG58" s="244"/>
      <c r="AH58" s="244"/>
      <c r="AI58" s="244"/>
      <c r="AJ58" s="244"/>
      <c r="AK58" s="451"/>
      <c r="AL58" s="316"/>
      <c r="AM58" s="1520"/>
      <c r="AN58" s="1520"/>
    </row>
    <row r="59" spans="1:40" ht="15" customHeight="1">
      <c r="A59" s="1431" t="s">
        <v>159</v>
      </c>
      <c r="B59" s="1518" t="s">
        <v>33</v>
      </c>
      <c r="C59" s="1518"/>
      <c r="D59" s="1518"/>
      <c r="E59" s="1518"/>
      <c r="F59" s="1518"/>
      <c r="G59" s="1518"/>
      <c r="H59" s="1513">
        <v>105.47</v>
      </c>
      <c r="I59" s="1475">
        <v>1.18</v>
      </c>
      <c r="J59" s="1475">
        <f>H59/I59</f>
        <v>89.381355932203391</v>
      </c>
      <c r="K59" s="1425">
        <f>SUM(L59:AI59)</f>
        <v>0</v>
      </c>
      <c r="L59" s="457"/>
      <c r="M59" s="460"/>
      <c r="N59" s="460"/>
      <c r="O59" s="460"/>
      <c r="P59" s="460"/>
      <c r="Q59" s="460"/>
      <c r="R59" s="460"/>
      <c r="S59" s="460"/>
      <c r="T59" s="460"/>
      <c r="U59" s="460"/>
      <c r="V59" s="460"/>
      <c r="W59" s="460"/>
      <c r="X59" s="482"/>
      <c r="Y59" s="482"/>
      <c r="Z59" s="482"/>
      <c r="AA59" s="258"/>
      <c r="AB59" s="482"/>
      <c r="AC59" s="468"/>
      <c r="AD59" s="244"/>
      <c r="AE59" s="244"/>
      <c r="AF59" s="244"/>
      <c r="AG59" s="244"/>
      <c r="AH59" s="244"/>
      <c r="AI59" s="244"/>
      <c r="AJ59" s="244"/>
      <c r="AK59" s="460"/>
      <c r="AL59" s="460"/>
      <c r="AM59" s="1519" t="s">
        <v>1327</v>
      </c>
      <c r="AN59" s="1519" t="s">
        <v>1328</v>
      </c>
    </row>
    <row r="60" spans="1:40" ht="15" customHeight="1">
      <c r="A60" s="1432"/>
      <c r="B60" s="480" t="s">
        <v>438</v>
      </c>
      <c r="C60" s="448" t="s">
        <v>446</v>
      </c>
      <c r="D60" s="448" t="s">
        <v>439</v>
      </c>
      <c r="E60" s="448" t="s">
        <v>448</v>
      </c>
      <c r="F60" s="448" t="s">
        <v>440</v>
      </c>
      <c r="G60" s="481"/>
      <c r="H60" s="1513"/>
      <c r="I60" s="1523"/>
      <c r="J60" s="1476"/>
      <c r="K60" s="1514"/>
      <c r="L60" s="457"/>
      <c r="M60" s="460"/>
      <c r="N60" s="460"/>
      <c r="O60" s="460"/>
      <c r="P60" s="460"/>
      <c r="Q60" s="460"/>
      <c r="R60" s="460"/>
      <c r="S60" s="460"/>
      <c r="T60" s="460"/>
      <c r="U60" s="460"/>
      <c r="V60" s="460"/>
      <c r="W60" s="468"/>
      <c r="X60" s="482"/>
      <c r="Y60" s="316"/>
      <c r="Z60" s="482"/>
      <c r="AA60" s="482"/>
      <c r="AB60" s="482"/>
      <c r="AC60" s="244"/>
      <c r="AD60" s="244"/>
      <c r="AE60" s="244"/>
      <c r="AF60" s="244"/>
      <c r="AG60" s="244"/>
      <c r="AH60" s="244"/>
      <c r="AI60" s="244"/>
      <c r="AJ60" s="244"/>
      <c r="AK60" s="451"/>
      <c r="AL60" s="316"/>
      <c r="AM60" s="1520"/>
      <c r="AN60" s="1520"/>
    </row>
    <row r="61" spans="1:40" ht="15" customHeight="1">
      <c r="A61" s="1431" t="s">
        <v>160</v>
      </c>
      <c r="B61" s="1518" t="s">
        <v>34</v>
      </c>
      <c r="C61" s="1518"/>
      <c r="D61" s="1518"/>
      <c r="E61" s="1518"/>
      <c r="F61" s="1518"/>
      <c r="G61" s="1518"/>
      <c r="H61" s="1513">
        <v>256.27999999999997</v>
      </c>
      <c r="I61" s="1475">
        <v>1.18</v>
      </c>
      <c r="J61" s="1475">
        <f>H61/I61</f>
        <v>217.18644067796609</v>
      </c>
      <c r="K61" s="1425">
        <f>SUM(L61:AI61)</f>
        <v>0</v>
      </c>
      <c r="L61" s="457"/>
      <c r="M61" s="460"/>
      <c r="N61" s="460"/>
      <c r="O61" s="460"/>
      <c r="P61" s="460"/>
      <c r="Q61" s="460"/>
      <c r="R61" s="460"/>
      <c r="S61" s="460"/>
      <c r="T61" s="460"/>
      <c r="U61" s="460"/>
      <c r="V61" s="460"/>
      <c r="W61" s="460"/>
      <c r="X61" s="482"/>
      <c r="Y61" s="482"/>
      <c r="Z61" s="482"/>
      <c r="AA61" s="482"/>
      <c r="AB61" s="482"/>
      <c r="AC61" s="482"/>
      <c r="AD61" s="244"/>
      <c r="AE61" s="244"/>
      <c r="AF61" s="244"/>
      <c r="AG61" s="244"/>
      <c r="AH61" s="244"/>
      <c r="AI61" s="244"/>
      <c r="AJ61" s="244"/>
      <c r="AK61" s="452"/>
      <c r="AL61" s="459"/>
      <c r="AM61" s="1519" t="s">
        <v>1327</v>
      </c>
      <c r="AN61" s="1519" t="s">
        <v>1328</v>
      </c>
    </row>
    <row r="62" spans="1:40" ht="15" customHeight="1">
      <c r="A62" s="1432"/>
      <c r="B62" s="493" t="s">
        <v>438</v>
      </c>
      <c r="C62" s="494" t="s">
        <v>446</v>
      </c>
      <c r="D62" s="494" t="s">
        <v>439</v>
      </c>
      <c r="E62" s="494" t="s">
        <v>448</v>
      </c>
      <c r="F62" s="494" t="s">
        <v>440</v>
      </c>
      <c r="G62" s="481"/>
      <c r="H62" s="1513"/>
      <c r="I62" s="1523"/>
      <c r="J62" s="1476"/>
      <c r="K62" s="1514"/>
      <c r="L62" s="457"/>
      <c r="M62" s="460"/>
      <c r="N62" s="460"/>
      <c r="O62" s="460"/>
      <c r="P62" s="460"/>
      <c r="Q62" s="460"/>
      <c r="R62" s="460"/>
      <c r="S62" s="460"/>
      <c r="T62" s="460"/>
      <c r="U62" s="460"/>
      <c r="V62" s="460"/>
      <c r="W62" s="460"/>
      <c r="X62" s="482"/>
      <c r="Y62" s="482"/>
      <c r="Z62" s="482"/>
      <c r="AA62" s="258"/>
      <c r="AB62" s="482"/>
      <c r="AC62" s="258"/>
      <c r="AD62" s="244"/>
      <c r="AE62" s="244"/>
      <c r="AF62" s="244"/>
      <c r="AG62" s="244"/>
      <c r="AH62" s="244"/>
      <c r="AI62" s="244"/>
      <c r="AJ62" s="244"/>
      <c r="AK62" s="452"/>
      <c r="AL62" s="459"/>
      <c r="AM62" s="1520"/>
      <c r="AN62" s="1520"/>
    </row>
    <row r="63" spans="1:40" ht="15" customHeight="1">
      <c r="A63" s="1431" t="s">
        <v>161</v>
      </c>
      <c r="B63" s="1518" t="s">
        <v>1238</v>
      </c>
      <c r="C63" s="1518"/>
      <c r="D63" s="1518"/>
      <c r="E63" s="1518"/>
      <c r="F63" s="1518"/>
      <c r="G63" s="1518"/>
      <c r="H63" s="1513">
        <v>59</v>
      </c>
      <c r="I63" s="1475">
        <v>1.18</v>
      </c>
      <c r="J63" s="1475">
        <f>H63/I63</f>
        <v>50</v>
      </c>
      <c r="K63" s="1425">
        <f>SUM(L63:AI63)</f>
        <v>50.147579999999998</v>
      </c>
      <c r="L63" s="457"/>
      <c r="M63" s="460"/>
      <c r="N63" s="460"/>
      <c r="O63" s="460"/>
      <c r="P63" s="460"/>
      <c r="Q63" s="460"/>
      <c r="R63" s="460"/>
      <c r="S63" s="460"/>
      <c r="T63" s="460"/>
      <c r="U63" s="259">
        <v>50.147579999999998</v>
      </c>
      <c r="V63" s="460"/>
      <c r="W63" s="460"/>
      <c r="X63" s="482"/>
      <c r="Y63" s="482"/>
      <c r="Z63" s="482"/>
      <c r="AA63" s="482"/>
      <c r="AB63" s="482"/>
      <c r="AC63" s="482"/>
      <c r="AD63" s="244"/>
      <c r="AE63" s="244"/>
      <c r="AF63" s="244"/>
      <c r="AG63" s="244"/>
      <c r="AH63" s="244"/>
      <c r="AI63" s="244"/>
      <c r="AJ63" s="244"/>
      <c r="AK63" s="457"/>
      <c r="AL63" s="457"/>
      <c r="AM63" s="1519" t="s">
        <v>1327</v>
      </c>
      <c r="AN63" s="1519" t="s">
        <v>1328</v>
      </c>
    </row>
    <row r="64" spans="1:40" ht="15" customHeight="1">
      <c r="A64" s="1432"/>
      <c r="B64" s="480" t="s">
        <v>438</v>
      </c>
      <c r="C64" s="448" t="s">
        <v>446</v>
      </c>
      <c r="D64" s="448" t="s">
        <v>439</v>
      </c>
      <c r="E64" s="448" t="s">
        <v>457</v>
      </c>
      <c r="F64" s="448" t="s">
        <v>440</v>
      </c>
      <c r="G64" s="481"/>
      <c r="H64" s="1513"/>
      <c r="I64" s="1523"/>
      <c r="J64" s="1476"/>
      <c r="K64" s="1514"/>
      <c r="L64" s="457"/>
      <c r="M64" s="460"/>
      <c r="N64" s="460"/>
      <c r="O64" s="460"/>
      <c r="P64" s="460"/>
      <c r="Q64" s="460"/>
      <c r="R64" s="460"/>
      <c r="S64" s="460"/>
      <c r="T64" s="460"/>
      <c r="U64" s="460"/>
      <c r="V64" s="460"/>
      <c r="W64" s="460"/>
      <c r="X64" s="482"/>
      <c r="Y64" s="482"/>
      <c r="Z64" s="482"/>
      <c r="AA64" s="482"/>
      <c r="AB64" s="482"/>
      <c r="AC64" s="482"/>
      <c r="AD64" s="244"/>
      <c r="AE64" s="244"/>
      <c r="AF64" s="244"/>
      <c r="AG64" s="244"/>
      <c r="AH64" s="244"/>
      <c r="AI64" s="244"/>
      <c r="AJ64" s="244"/>
      <c r="AK64" s="457"/>
      <c r="AL64" s="457"/>
      <c r="AM64" s="1520"/>
      <c r="AN64" s="1520"/>
    </row>
    <row r="65" spans="1:40" ht="15" customHeight="1">
      <c r="A65" s="1431" t="s">
        <v>162</v>
      </c>
      <c r="B65" s="1518" t="s">
        <v>35</v>
      </c>
      <c r="C65" s="1518"/>
      <c r="D65" s="1518"/>
      <c r="E65" s="1518"/>
      <c r="F65" s="1518"/>
      <c r="G65" s="1518"/>
      <c r="H65" s="1513">
        <v>274.39</v>
      </c>
      <c r="I65" s="1475">
        <v>1.18</v>
      </c>
      <c r="J65" s="1475">
        <f>H65/I65</f>
        <v>232.53389830508473</v>
      </c>
      <c r="K65" s="1425">
        <f>SUM(L65:AI65)</f>
        <v>0</v>
      </c>
      <c r="L65" s="457"/>
      <c r="M65" s="460"/>
      <c r="N65" s="460"/>
      <c r="O65" s="460"/>
      <c r="P65" s="460"/>
      <c r="Q65" s="460"/>
      <c r="R65" s="460"/>
      <c r="S65" s="460"/>
      <c r="T65" s="460"/>
      <c r="U65" s="460"/>
      <c r="V65" s="460"/>
      <c r="W65" s="460"/>
      <c r="X65" s="482"/>
      <c r="Y65" s="482"/>
      <c r="Z65" s="482"/>
      <c r="AA65" s="482"/>
      <c r="AB65" s="482"/>
      <c r="AC65" s="482"/>
      <c r="AD65" s="244"/>
      <c r="AE65" s="244"/>
      <c r="AF65" s="244"/>
      <c r="AG65" s="244"/>
      <c r="AH65" s="244"/>
      <c r="AI65" s="244"/>
      <c r="AJ65" s="244"/>
      <c r="AK65" s="457"/>
      <c r="AL65" s="457"/>
      <c r="AM65" s="1519" t="s">
        <v>1327</v>
      </c>
      <c r="AN65" s="1519" t="s">
        <v>1328</v>
      </c>
    </row>
    <row r="66" spans="1:40" ht="15" customHeight="1">
      <c r="A66" s="1432"/>
      <c r="B66" s="480" t="s">
        <v>438</v>
      </c>
      <c r="C66" s="448" t="s">
        <v>446</v>
      </c>
      <c r="D66" s="448" t="s">
        <v>439</v>
      </c>
      <c r="E66" s="448" t="s">
        <v>445</v>
      </c>
      <c r="F66" s="448" t="s">
        <v>440</v>
      </c>
      <c r="G66" s="481"/>
      <c r="H66" s="1513"/>
      <c r="I66" s="1523"/>
      <c r="J66" s="1476"/>
      <c r="K66" s="1514"/>
      <c r="L66" s="457"/>
      <c r="M66" s="460"/>
      <c r="N66" s="460"/>
      <c r="O66" s="460"/>
      <c r="P66" s="460"/>
      <c r="Q66" s="460"/>
      <c r="R66" s="460"/>
      <c r="S66" s="460"/>
      <c r="T66" s="460"/>
      <c r="U66" s="460"/>
      <c r="V66" s="460"/>
      <c r="W66" s="460"/>
      <c r="X66" s="482"/>
      <c r="Y66" s="482"/>
      <c r="Z66" s="482"/>
      <c r="AA66" s="482"/>
      <c r="AB66" s="482"/>
      <c r="AC66" s="482"/>
      <c r="AD66" s="244"/>
      <c r="AE66" s="244"/>
      <c r="AF66" s="244"/>
      <c r="AG66" s="244"/>
      <c r="AH66" s="244"/>
      <c r="AI66" s="244"/>
      <c r="AJ66" s="244"/>
      <c r="AK66" s="457"/>
      <c r="AL66" s="457"/>
      <c r="AM66" s="1520"/>
      <c r="AN66" s="1520"/>
    </row>
    <row r="67" spans="1:40" ht="15" customHeight="1">
      <c r="A67" s="1431" t="s">
        <v>163</v>
      </c>
      <c r="B67" s="1518" t="s">
        <v>36</v>
      </c>
      <c r="C67" s="1518"/>
      <c r="D67" s="1518"/>
      <c r="E67" s="1518"/>
      <c r="F67" s="1518"/>
      <c r="G67" s="1518"/>
      <c r="H67" s="1513">
        <v>211.52</v>
      </c>
      <c r="I67" s="1475">
        <v>1.18</v>
      </c>
      <c r="J67" s="1475">
        <f>H67/I67</f>
        <v>179.25423728813561</v>
      </c>
      <c r="K67" s="1425">
        <f>SUM(L67:AI67)</f>
        <v>0</v>
      </c>
      <c r="L67" s="457"/>
      <c r="M67" s="460"/>
      <c r="N67" s="460"/>
      <c r="O67" s="460"/>
      <c r="P67" s="460"/>
      <c r="Q67" s="460"/>
      <c r="R67" s="460"/>
      <c r="S67" s="460"/>
      <c r="T67" s="460"/>
      <c r="U67" s="460"/>
      <c r="V67" s="460"/>
      <c r="W67" s="460"/>
      <c r="X67" s="482"/>
      <c r="Y67" s="482"/>
      <c r="Z67" s="482"/>
      <c r="AA67" s="482"/>
      <c r="AB67" s="482"/>
      <c r="AC67" s="482"/>
      <c r="AD67" s="244"/>
      <c r="AE67" s="244"/>
      <c r="AF67" s="244"/>
      <c r="AG67" s="244"/>
      <c r="AH67" s="244"/>
      <c r="AI67" s="244"/>
      <c r="AJ67" s="244"/>
      <c r="AK67" s="457"/>
      <c r="AL67" s="457"/>
      <c r="AM67" s="1519" t="s">
        <v>1327</v>
      </c>
      <c r="AN67" s="1519" t="s">
        <v>1328</v>
      </c>
    </row>
    <row r="68" spans="1:40" ht="15" customHeight="1">
      <c r="A68" s="1432"/>
      <c r="B68" s="480" t="s">
        <v>438</v>
      </c>
      <c r="C68" s="448" t="s">
        <v>446</v>
      </c>
      <c r="D68" s="448" t="s">
        <v>439</v>
      </c>
      <c r="E68" s="448" t="s">
        <v>460</v>
      </c>
      <c r="F68" s="448" t="s">
        <v>440</v>
      </c>
      <c r="G68" s="481"/>
      <c r="H68" s="1513"/>
      <c r="I68" s="1523"/>
      <c r="J68" s="1476"/>
      <c r="K68" s="1514"/>
      <c r="L68" s="457"/>
      <c r="M68" s="460"/>
      <c r="N68" s="460"/>
      <c r="O68" s="460"/>
      <c r="P68" s="460"/>
      <c r="Q68" s="460"/>
      <c r="R68" s="460"/>
      <c r="S68" s="460"/>
      <c r="T68" s="460"/>
      <c r="U68" s="460"/>
      <c r="V68" s="460"/>
      <c r="W68" s="460"/>
      <c r="X68" s="482"/>
      <c r="Y68" s="482"/>
      <c r="Z68" s="482"/>
      <c r="AA68" s="482"/>
      <c r="AB68" s="482"/>
      <c r="AC68" s="482"/>
      <c r="AD68" s="244"/>
      <c r="AE68" s="244"/>
      <c r="AF68" s="244"/>
      <c r="AG68" s="244"/>
      <c r="AH68" s="244"/>
      <c r="AI68" s="244"/>
      <c r="AJ68" s="244"/>
      <c r="AK68" s="457"/>
      <c r="AL68" s="457"/>
      <c r="AM68" s="1520"/>
      <c r="AN68" s="1520"/>
    </row>
    <row r="69" spans="1:40" ht="15" customHeight="1">
      <c r="A69" s="1431" t="s">
        <v>164</v>
      </c>
      <c r="B69" s="1518" t="s">
        <v>37</v>
      </c>
      <c r="C69" s="1518"/>
      <c r="D69" s="1518"/>
      <c r="E69" s="1518"/>
      <c r="F69" s="1518"/>
      <c r="G69" s="1518"/>
      <c r="H69" s="1513">
        <v>130.18</v>
      </c>
      <c r="I69" s="1475">
        <v>1.18</v>
      </c>
      <c r="J69" s="1475">
        <f>H69/I69</f>
        <v>110.32203389830509</v>
      </c>
      <c r="K69" s="1425">
        <f>SUM(L69:AI69)</f>
        <v>0</v>
      </c>
      <c r="L69" s="457"/>
      <c r="M69" s="460"/>
      <c r="N69" s="460"/>
      <c r="O69" s="460"/>
      <c r="P69" s="460"/>
      <c r="Q69" s="460"/>
      <c r="R69" s="460"/>
      <c r="S69" s="460"/>
      <c r="T69" s="460"/>
      <c r="U69" s="460"/>
      <c r="V69" s="460"/>
      <c r="W69" s="460"/>
      <c r="X69" s="482"/>
      <c r="Y69" s="482"/>
      <c r="Z69" s="482"/>
      <c r="AA69" s="482"/>
      <c r="AB69" s="482"/>
      <c r="AC69" s="482"/>
      <c r="AD69" s="244"/>
      <c r="AE69" s="244"/>
      <c r="AF69" s="244"/>
      <c r="AG69" s="244"/>
      <c r="AH69" s="244"/>
      <c r="AI69" s="244"/>
      <c r="AJ69" s="244"/>
      <c r="AK69" s="457"/>
      <c r="AL69" s="457"/>
      <c r="AM69" s="1519" t="s">
        <v>1327</v>
      </c>
      <c r="AN69" s="1519" t="s">
        <v>1328</v>
      </c>
    </row>
    <row r="70" spans="1:40" ht="15" customHeight="1">
      <c r="A70" s="1432"/>
      <c r="B70" s="480" t="s">
        <v>438</v>
      </c>
      <c r="C70" s="448" t="s">
        <v>446</v>
      </c>
      <c r="D70" s="448" t="s">
        <v>439</v>
      </c>
      <c r="E70" s="448" t="s">
        <v>448</v>
      </c>
      <c r="F70" s="448" t="s">
        <v>440</v>
      </c>
      <c r="G70" s="481"/>
      <c r="H70" s="1513"/>
      <c r="I70" s="1523"/>
      <c r="J70" s="1476"/>
      <c r="K70" s="1514"/>
      <c r="L70" s="457"/>
      <c r="M70" s="460"/>
      <c r="N70" s="460"/>
      <c r="O70" s="460"/>
      <c r="P70" s="460"/>
      <c r="Q70" s="460"/>
      <c r="R70" s="460"/>
      <c r="S70" s="460"/>
      <c r="T70" s="460"/>
      <c r="U70" s="460"/>
      <c r="V70" s="460"/>
      <c r="W70" s="460"/>
      <c r="X70" s="482"/>
      <c r="Y70" s="482"/>
      <c r="Z70" s="482"/>
      <c r="AA70" s="482"/>
      <c r="AB70" s="482"/>
      <c r="AC70" s="482"/>
      <c r="AD70" s="244"/>
      <c r="AE70" s="244"/>
      <c r="AF70" s="244"/>
      <c r="AG70" s="244"/>
      <c r="AH70" s="244"/>
      <c r="AI70" s="244"/>
      <c r="AJ70" s="244"/>
      <c r="AK70" s="457"/>
      <c r="AL70" s="457"/>
      <c r="AM70" s="1520"/>
      <c r="AN70" s="1520"/>
    </row>
    <row r="71" spans="1:40" ht="15" customHeight="1">
      <c r="A71" s="1431" t="s">
        <v>165</v>
      </c>
      <c r="B71" s="1518" t="s">
        <v>38</v>
      </c>
      <c r="C71" s="1518"/>
      <c r="D71" s="1518"/>
      <c r="E71" s="1518"/>
      <c r="F71" s="1518"/>
      <c r="G71" s="1518"/>
      <c r="H71" s="1513">
        <v>123.1</v>
      </c>
      <c r="I71" s="1475">
        <v>1.18</v>
      </c>
      <c r="J71" s="1475">
        <f>H71/I71</f>
        <v>104.32203389830508</v>
      </c>
      <c r="K71" s="1425">
        <f>SUM(L71:AI71)</f>
        <v>0</v>
      </c>
      <c r="L71" s="457"/>
      <c r="M71" s="460"/>
      <c r="N71" s="460"/>
      <c r="O71" s="460"/>
      <c r="P71" s="460"/>
      <c r="Q71" s="460"/>
      <c r="R71" s="460"/>
      <c r="S71" s="460"/>
      <c r="T71" s="460"/>
      <c r="U71" s="460"/>
      <c r="V71" s="460"/>
      <c r="W71" s="460"/>
      <c r="X71" s="482"/>
      <c r="Y71" s="482"/>
      <c r="Z71" s="482"/>
      <c r="AA71" s="482"/>
      <c r="AB71" s="482"/>
      <c r="AC71" s="482"/>
      <c r="AD71" s="244"/>
      <c r="AE71" s="244"/>
      <c r="AF71" s="244"/>
      <c r="AG71" s="244"/>
      <c r="AH71" s="244"/>
      <c r="AI71" s="244"/>
      <c r="AJ71" s="244"/>
      <c r="AK71" s="457"/>
      <c r="AL71" s="457"/>
      <c r="AM71" s="1519" t="s">
        <v>1327</v>
      </c>
      <c r="AN71" s="1519" t="s">
        <v>1328</v>
      </c>
    </row>
    <row r="72" spans="1:40" ht="15" customHeight="1">
      <c r="A72" s="1432"/>
      <c r="B72" s="480" t="s">
        <v>438</v>
      </c>
      <c r="C72" s="448" t="s">
        <v>446</v>
      </c>
      <c r="D72" s="448" t="s">
        <v>439</v>
      </c>
      <c r="E72" s="448" t="s">
        <v>445</v>
      </c>
      <c r="F72" s="448" t="s">
        <v>440</v>
      </c>
      <c r="G72" s="481"/>
      <c r="H72" s="1513"/>
      <c r="I72" s="1523"/>
      <c r="J72" s="1476"/>
      <c r="K72" s="1514"/>
      <c r="L72" s="457"/>
      <c r="M72" s="460"/>
      <c r="N72" s="460"/>
      <c r="O72" s="460"/>
      <c r="P72" s="460"/>
      <c r="Q72" s="460"/>
      <c r="R72" s="460"/>
      <c r="S72" s="460"/>
      <c r="T72" s="460"/>
      <c r="U72" s="460"/>
      <c r="V72" s="460"/>
      <c r="W72" s="460"/>
      <c r="X72" s="482"/>
      <c r="Y72" s="482"/>
      <c r="Z72" s="482"/>
      <c r="AA72" s="482"/>
      <c r="AB72" s="482"/>
      <c r="AC72" s="482"/>
      <c r="AD72" s="244"/>
      <c r="AE72" s="244"/>
      <c r="AF72" s="244"/>
      <c r="AG72" s="244"/>
      <c r="AH72" s="244"/>
      <c r="AI72" s="244"/>
      <c r="AJ72" s="244"/>
      <c r="AK72" s="457"/>
      <c r="AL72" s="457"/>
      <c r="AM72" s="1520"/>
      <c r="AN72" s="1520"/>
    </row>
    <row r="73" spans="1:40" ht="15" customHeight="1">
      <c r="A73" s="1431" t="s">
        <v>166</v>
      </c>
      <c r="B73" s="1518" t="s">
        <v>39</v>
      </c>
      <c r="C73" s="1518"/>
      <c r="D73" s="1518"/>
      <c r="E73" s="1518"/>
      <c r="F73" s="1518"/>
      <c r="G73" s="1518"/>
      <c r="H73" s="1513">
        <v>165.49</v>
      </c>
      <c r="I73" s="1475">
        <v>1.18</v>
      </c>
      <c r="J73" s="1475">
        <f>H73/I73</f>
        <v>140.24576271186442</v>
      </c>
      <c r="K73" s="1425">
        <f>SUM(L73:AI73)</f>
        <v>0</v>
      </c>
      <c r="L73" s="457"/>
      <c r="M73" s="460"/>
      <c r="N73" s="460"/>
      <c r="O73" s="460"/>
      <c r="P73" s="460"/>
      <c r="Q73" s="460"/>
      <c r="R73" s="460"/>
      <c r="S73" s="460"/>
      <c r="T73" s="460"/>
      <c r="U73" s="460"/>
      <c r="V73" s="460"/>
      <c r="W73" s="460"/>
      <c r="X73" s="482"/>
      <c r="Y73" s="482"/>
      <c r="Z73" s="482"/>
      <c r="AA73" s="482"/>
      <c r="AB73" s="482"/>
      <c r="AC73" s="482"/>
      <c r="AD73" s="244"/>
      <c r="AE73" s="244"/>
      <c r="AF73" s="244"/>
      <c r="AG73" s="244"/>
      <c r="AH73" s="244"/>
      <c r="AI73" s="244"/>
      <c r="AJ73" s="244"/>
      <c r="AK73" s="457"/>
      <c r="AL73" s="457"/>
      <c r="AM73" s="1519" t="s">
        <v>1327</v>
      </c>
      <c r="AN73" s="1519" t="s">
        <v>1328</v>
      </c>
    </row>
    <row r="74" spans="1:40" ht="15" customHeight="1">
      <c r="A74" s="1432"/>
      <c r="B74" s="480" t="s">
        <v>438</v>
      </c>
      <c r="C74" s="448" t="s">
        <v>446</v>
      </c>
      <c r="D74" s="448" t="s">
        <v>439</v>
      </c>
      <c r="E74" s="448" t="s">
        <v>460</v>
      </c>
      <c r="F74" s="448" t="s">
        <v>440</v>
      </c>
      <c r="G74" s="481"/>
      <c r="H74" s="1513"/>
      <c r="I74" s="1523"/>
      <c r="J74" s="1476"/>
      <c r="K74" s="1514"/>
      <c r="L74" s="457"/>
      <c r="M74" s="460"/>
      <c r="N74" s="460"/>
      <c r="O74" s="460"/>
      <c r="P74" s="460"/>
      <c r="Q74" s="460"/>
      <c r="R74" s="460"/>
      <c r="S74" s="460"/>
      <c r="T74" s="460"/>
      <c r="U74" s="460"/>
      <c r="V74" s="460"/>
      <c r="W74" s="460"/>
      <c r="X74" s="482"/>
      <c r="Y74" s="482"/>
      <c r="Z74" s="482"/>
      <c r="AA74" s="482"/>
      <c r="AB74" s="482"/>
      <c r="AC74" s="482"/>
      <c r="AD74" s="244"/>
      <c r="AE74" s="244"/>
      <c r="AF74" s="244"/>
      <c r="AG74" s="244"/>
      <c r="AH74" s="244"/>
      <c r="AI74" s="244"/>
      <c r="AJ74" s="244"/>
      <c r="AK74" s="457"/>
      <c r="AL74" s="457"/>
      <c r="AM74" s="1520"/>
      <c r="AN74" s="1520"/>
    </row>
    <row r="75" spans="1:40" ht="15" customHeight="1">
      <c r="A75" s="1431" t="s">
        <v>167</v>
      </c>
      <c r="B75" s="1518" t="s">
        <v>40</v>
      </c>
      <c r="C75" s="1518"/>
      <c r="D75" s="1518"/>
      <c r="E75" s="1518"/>
      <c r="F75" s="1518"/>
      <c r="G75" s="1518"/>
      <c r="H75" s="1513">
        <v>156.87</v>
      </c>
      <c r="I75" s="1475">
        <v>1.18</v>
      </c>
      <c r="J75" s="1475">
        <f>H75/I75</f>
        <v>132.9406779661017</v>
      </c>
      <c r="K75" s="1425">
        <f>SUM(L75:AI75)</f>
        <v>0</v>
      </c>
      <c r="L75" s="457"/>
      <c r="M75" s="460"/>
      <c r="N75" s="460"/>
      <c r="O75" s="460"/>
      <c r="P75" s="460"/>
      <c r="Q75" s="460"/>
      <c r="R75" s="460"/>
      <c r="S75" s="460"/>
      <c r="T75" s="460"/>
      <c r="U75" s="460"/>
      <c r="V75" s="460"/>
      <c r="W75" s="460"/>
      <c r="X75" s="482"/>
      <c r="Y75" s="482"/>
      <c r="Z75" s="482"/>
      <c r="AA75" s="482"/>
      <c r="AB75" s="482"/>
      <c r="AC75" s="482"/>
      <c r="AD75" s="244"/>
      <c r="AE75" s="244"/>
      <c r="AF75" s="244"/>
      <c r="AG75" s="244"/>
      <c r="AH75" s="244"/>
      <c r="AI75" s="244"/>
      <c r="AJ75" s="244"/>
      <c r="AK75" s="457"/>
      <c r="AL75" s="457"/>
      <c r="AM75" s="1519" t="s">
        <v>1327</v>
      </c>
      <c r="AN75" s="1519" t="s">
        <v>1328</v>
      </c>
    </row>
    <row r="76" spans="1:40" ht="15" customHeight="1">
      <c r="A76" s="1432"/>
      <c r="B76" s="480" t="s">
        <v>438</v>
      </c>
      <c r="C76" s="448" t="s">
        <v>446</v>
      </c>
      <c r="D76" s="448" t="s">
        <v>439</v>
      </c>
      <c r="E76" s="448" t="s">
        <v>455</v>
      </c>
      <c r="F76" s="448" t="s">
        <v>440</v>
      </c>
      <c r="G76" s="481"/>
      <c r="H76" s="1513"/>
      <c r="I76" s="1523"/>
      <c r="J76" s="1476"/>
      <c r="K76" s="1514"/>
      <c r="L76" s="457"/>
      <c r="M76" s="460"/>
      <c r="N76" s="460"/>
      <c r="O76" s="460"/>
      <c r="P76" s="460"/>
      <c r="Q76" s="460"/>
      <c r="R76" s="460"/>
      <c r="S76" s="460"/>
      <c r="T76" s="460"/>
      <c r="U76" s="460"/>
      <c r="V76" s="460"/>
      <c r="W76" s="460"/>
      <c r="X76" s="482"/>
      <c r="Y76" s="482"/>
      <c r="Z76" s="482"/>
      <c r="AA76" s="482"/>
      <c r="AB76" s="482"/>
      <c r="AC76" s="482"/>
      <c r="AD76" s="244"/>
      <c r="AE76" s="244"/>
      <c r="AF76" s="244"/>
      <c r="AG76" s="244"/>
      <c r="AH76" s="244"/>
      <c r="AI76" s="244"/>
      <c r="AJ76" s="244"/>
      <c r="AK76" s="457"/>
      <c r="AL76" s="457"/>
      <c r="AM76" s="1520"/>
      <c r="AN76" s="1520"/>
    </row>
    <row r="77" spans="1:40" ht="15" customHeight="1">
      <c r="A77" s="1431" t="s">
        <v>168</v>
      </c>
      <c r="B77" s="1540" t="s">
        <v>41</v>
      </c>
      <c r="C77" s="1540"/>
      <c r="D77" s="1540"/>
      <c r="E77" s="1540"/>
      <c r="F77" s="1540"/>
      <c r="G77" s="1540"/>
      <c r="H77" s="1541">
        <v>411.59</v>
      </c>
      <c r="I77" s="1475">
        <v>1.18</v>
      </c>
      <c r="J77" s="1475">
        <f>H77/I77</f>
        <v>348.80508474576271</v>
      </c>
      <c r="K77" s="1425">
        <f>SUM(L77:AI77)</f>
        <v>38.562000000000005</v>
      </c>
      <c r="L77" s="457"/>
      <c r="M77" s="460"/>
      <c r="N77" s="460"/>
      <c r="O77" s="460"/>
      <c r="P77" s="460"/>
      <c r="Q77" s="460"/>
      <c r="R77" s="460"/>
      <c r="S77" s="460"/>
      <c r="T77" s="460"/>
      <c r="U77" s="460"/>
      <c r="V77" s="460"/>
      <c r="W77" s="460"/>
      <c r="X77" s="482"/>
      <c r="Y77" s="482"/>
      <c r="Z77" s="482"/>
      <c r="AA77" s="482"/>
      <c r="AB77" s="482"/>
      <c r="AC77" s="482"/>
      <c r="AD77" s="244"/>
      <c r="AE77" s="244"/>
      <c r="AF77" s="244"/>
      <c r="AG77" s="244"/>
      <c r="AH77" s="354"/>
      <c r="AI77" s="354">
        <f>45.50316/1.18</f>
        <v>38.562000000000005</v>
      </c>
      <c r="AJ77" s="244"/>
      <c r="AK77" s="457"/>
      <c r="AL77" s="457"/>
      <c r="AM77" s="1519" t="s">
        <v>1327</v>
      </c>
      <c r="AN77" s="1519" t="s">
        <v>1328</v>
      </c>
    </row>
    <row r="78" spans="1:40" ht="15" customHeight="1">
      <c r="A78" s="1432"/>
      <c r="B78" s="480" t="s">
        <v>438</v>
      </c>
      <c r="C78" s="448" t="s">
        <v>444</v>
      </c>
      <c r="D78" s="448" t="s">
        <v>439</v>
      </c>
      <c r="E78" s="448" t="s">
        <v>446</v>
      </c>
      <c r="F78" s="448" t="s">
        <v>440</v>
      </c>
      <c r="G78" s="449" t="s">
        <v>1767</v>
      </c>
      <c r="H78" s="1541"/>
      <c r="I78" s="1523"/>
      <c r="J78" s="1476"/>
      <c r="K78" s="1514"/>
      <c r="L78" s="457"/>
      <c r="M78" s="460"/>
      <c r="N78" s="460"/>
      <c r="O78" s="460"/>
      <c r="P78" s="460"/>
      <c r="Q78" s="460"/>
      <c r="R78" s="460"/>
      <c r="S78" s="460"/>
      <c r="T78" s="460"/>
      <c r="U78" s="460"/>
      <c r="V78" s="460"/>
      <c r="W78" s="460"/>
      <c r="X78" s="482"/>
      <c r="Y78" s="482"/>
      <c r="Z78" s="482"/>
      <c r="AA78" s="482"/>
      <c r="AB78" s="482"/>
      <c r="AC78" s="482"/>
      <c r="AD78" s="244"/>
      <c r="AE78" s="244"/>
      <c r="AF78" s="244"/>
      <c r="AG78" s="244"/>
      <c r="AH78" s="244"/>
      <c r="AI78" s="244"/>
      <c r="AJ78" s="244"/>
      <c r="AK78" s="457"/>
      <c r="AL78" s="457"/>
      <c r="AM78" s="1520"/>
      <c r="AN78" s="1520"/>
    </row>
    <row r="79" spans="1:40" ht="15" customHeight="1">
      <c r="A79" s="1524" t="s">
        <v>169</v>
      </c>
      <c r="B79" s="1544" t="s">
        <v>42</v>
      </c>
      <c r="C79" s="1544"/>
      <c r="D79" s="1544"/>
      <c r="E79" s="1544"/>
      <c r="F79" s="1544"/>
      <c r="G79" s="1544"/>
      <c r="H79" s="1513">
        <v>163.21</v>
      </c>
      <c r="I79" s="1475">
        <v>1.18</v>
      </c>
      <c r="J79" s="1475">
        <f>H79/I79</f>
        <v>138.31355932203391</v>
      </c>
      <c r="K79" s="1425">
        <f>SUM(L79:AI79)</f>
        <v>172.67400000000001</v>
      </c>
      <c r="L79" s="457"/>
      <c r="M79" s="460"/>
      <c r="N79" s="460"/>
      <c r="O79" s="460"/>
      <c r="P79" s="460"/>
      <c r="Q79" s="460"/>
      <c r="R79" s="460"/>
      <c r="S79" s="460"/>
      <c r="T79" s="460"/>
      <c r="U79" s="460"/>
      <c r="V79" s="460"/>
      <c r="W79" s="460"/>
      <c r="X79" s="482"/>
      <c r="Y79" s="482"/>
      <c r="Z79" s="482"/>
      <c r="AA79" s="482"/>
      <c r="AB79" s="482"/>
      <c r="AC79" s="482"/>
      <c r="AD79" s="244"/>
      <c r="AE79" s="244"/>
      <c r="AF79" s="244"/>
      <c r="AG79" s="244"/>
      <c r="AH79" s="354"/>
      <c r="AI79" s="354">
        <f>203.75532/1.18</f>
        <v>172.67400000000001</v>
      </c>
      <c r="AJ79" s="244"/>
      <c r="AK79" s="457"/>
      <c r="AL79" s="457"/>
      <c r="AM79" s="1519" t="s">
        <v>1327</v>
      </c>
      <c r="AN79" s="1519" t="s">
        <v>1328</v>
      </c>
    </row>
    <row r="80" spans="1:40" ht="15" customHeight="1">
      <c r="A80" s="1525"/>
      <c r="B80" s="480" t="s">
        <v>438</v>
      </c>
      <c r="C80" s="448" t="s">
        <v>446</v>
      </c>
      <c r="D80" s="448" t="s">
        <v>439</v>
      </c>
      <c r="E80" s="448" t="s">
        <v>1768</v>
      </c>
      <c r="F80" s="448" t="s">
        <v>440</v>
      </c>
      <c r="G80" s="483"/>
      <c r="H80" s="1513"/>
      <c r="I80" s="1523"/>
      <c r="J80" s="1476"/>
      <c r="K80" s="1514"/>
      <c r="L80" s="457"/>
      <c r="M80" s="460"/>
      <c r="N80" s="460"/>
      <c r="O80" s="460"/>
      <c r="P80" s="460"/>
      <c r="Q80" s="460"/>
      <c r="R80" s="460"/>
      <c r="S80" s="460"/>
      <c r="T80" s="460"/>
      <c r="U80" s="460"/>
      <c r="V80" s="460"/>
      <c r="W80" s="460"/>
      <c r="X80" s="482"/>
      <c r="Y80" s="482"/>
      <c r="Z80" s="482"/>
      <c r="AA80" s="482"/>
      <c r="AB80" s="482"/>
      <c r="AC80" s="482"/>
      <c r="AD80" s="244"/>
      <c r="AE80" s="244"/>
      <c r="AF80" s="244"/>
      <c r="AG80" s="244"/>
      <c r="AH80" s="244"/>
      <c r="AI80" s="244"/>
      <c r="AJ80" s="244"/>
      <c r="AK80" s="457"/>
      <c r="AL80" s="457"/>
      <c r="AM80" s="1520"/>
      <c r="AN80" s="1520"/>
    </row>
    <row r="81" spans="1:40" ht="15" customHeight="1">
      <c r="A81" s="1431" t="s">
        <v>170</v>
      </c>
      <c r="B81" s="1540" t="s">
        <v>43</v>
      </c>
      <c r="C81" s="1540"/>
      <c r="D81" s="1540"/>
      <c r="E81" s="1540"/>
      <c r="F81" s="1540"/>
      <c r="G81" s="1540"/>
      <c r="H81" s="1541">
        <v>57.81</v>
      </c>
      <c r="I81" s="1475">
        <v>1.18</v>
      </c>
      <c r="J81" s="1475">
        <f>H81/I81</f>
        <v>48.991525423728817</v>
      </c>
      <c r="K81" s="1425">
        <f>SUM(L81:AI81)</f>
        <v>402.18155084745763</v>
      </c>
      <c r="L81" s="457"/>
      <c r="M81" s="460"/>
      <c r="N81" s="460"/>
      <c r="O81" s="460"/>
      <c r="P81" s="460"/>
      <c r="Q81" s="460"/>
      <c r="R81" s="460"/>
      <c r="S81" s="460"/>
      <c r="T81" s="460"/>
      <c r="U81" s="460"/>
      <c r="V81" s="460"/>
      <c r="W81" s="460"/>
      <c r="X81" s="482"/>
      <c r="Y81" s="482"/>
      <c r="Z81" s="482"/>
      <c r="AA81" s="482"/>
      <c r="AB81" s="482"/>
      <c r="AC81" s="482"/>
      <c r="AD81" s="244"/>
      <c r="AE81" s="244"/>
      <c r="AF81" s="244"/>
      <c r="AG81" s="244"/>
      <c r="AH81" s="354"/>
      <c r="AI81" s="354">
        <f>474.57423/1.18</f>
        <v>402.18155084745763</v>
      </c>
      <c r="AJ81" s="244"/>
      <c r="AK81" s="457"/>
      <c r="AL81" s="457"/>
      <c r="AM81" s="1519" t="s">
        <v>1327</v>
      </c>
      <c r="AN81" s="1519" t="s">
        <v>1328</v>
      </c>
    </row>
    <row r="82" spans="1:40" ht="15" customHeight="1">
      <c r="A82" s="1432"/>
      <c r="B82" s="495" t="s">
        <v>438</v>
      </c>
      <c r="C82" s="496" t="s">
        <v>442</v>
      </c>
      <c r="D82" s="496" t="s">
        <v>439</v>
      </c>
      <c r="E82" s="496" t="s">
        <v>1769</v>
      </c>
      <c r="F82" s="496" t="s">
        <v>440</v>
      </c>
      <c r="G82" s="497"/>
      <c r="H82" s="1541"/>
      <c r="I82" s="1523"/>
      <c r="J82" s="1476"/>
      <c r="K82" s="1514"/>
      <c r="L82" s="457"/>
      <c r="M82" s="460"/>
      <c r="N82" s="460"/>
      <c r="O82" s="460"/>
      <c r="P82" s="460"/>
      <c r="Q82" s="460"/>
      <c r="R82" s="460"/>
      <c r="S82" s="460"/>
      <c r="T82" s="460"/>
      <c r="U82" s="460"/>
      <c r="V82" s="460"/>
      <c r="W82" s="460"/>
      <c r="X82" s="482"/>
      <c r="Y82" s="482"/>
      <c r="Z82" s="482"/>
      <c r="AA82" s="482"/>
      <c r="AB82" s="482"/>
      <c r="AC82" s="482"/>
      <c r="AD82" s="244"/>
      <c r="AE82" s="244"/>
      <c r="AF82" s="244"/>
      <c r="AG82" s="244"/>
      <c r="AH82" s="244"/>
      <c r="AI82" s="244"/>
      <c r="AJ82" s="244"/>
      <c r="AK82" s="457"/>
      <c r="AL82" s="457"/>
      <c r="AM82" s="1520"/>
      <c r="AN82" s="1520"/>
    </row>
    <row r="83" spans="1:40" ht="15" customHeight="1">
      <c r="A83" s="1524" t="s">
        <v>171</v>
      </c>
      <c r="B83" s="1527" t="s">
        <v>1240</v>
      </c>
      <c r="C83" s="1542"/>
      <c r="D83" s="1542"/>
      <c r="E83" s="1542"/>
      <c r="F83" s="1542"/>
      <c r="G83" s="1543"/>
      <c r="H83" s="1521">
        <v>840</v>
      </c>
      <c r="I83" s="1475">
        <v>1.18</v>
      </c>
      <c r="J83" s="1475">
        <f>H83/I83</f>
        <v>711.86440677966107</v>
      </c>
      <c r="K83" s="1425">
        <f>SUM(L83:AI83)</f>
        <v>840</v>
      </c>
      <c r="L83" s="498"/>
      <c r="M83" s="498"/>
      <c r="N83" s="498"/>
      <c r="O83" s="498"/>
      <c r="P83" s="498"/>
      <c r="Q83" s="499">
        <v>840</v>
      </c>
      <c r="R83" s="498"/>
      <c r="S83" s="498"/>
      <c r="T83" s="498"/>
      <c r="U83" s="498"/>
      <c r="V83" s="498"/>
      <c r="W83" s="498"/>
      <c r="X83" s="498"/>
      <c r="Y83" s="498"/>
      <c r="Z83" s="498"/>
      <c r="AA83" s="498"/>
      <c r="AB83" s="498"/>
      <c r="AC83" s="498"/>
      <c r="AD83" s="498"/>
      <c r="AE83" s="498"/>
      <c r="AF83" s="498"/>
      <c r="AG83" s="498"/>
      <c r="AH83" s="498"/>
      <c r="AI83" s="498"/>
      <c r="AJ83" s="244"/>
      <c r="AK83" s="457"/>
      <c r="AL83" s="457"/>
      <c r="AM83" s="1519" t="s">
        <v>1327</v>
      </c>
      <c r="AN83" s="1519" t="s">
        <v>1328</v>
      </c>
    </row>
    <row r="84" spans="1:40" ht="15" customHeight="1">
      <c r="A84" s="1476"/>
      <c r="B84" s="480"/>
      <c r="C84" s="448"/>
      <c r="D84" s="448"/>
      <c r="E84" s="448"/>
      <c r="F84" s="448"/>
      <c r="G84" s="449"/>
      <c r="H84" s="1522"/>
      <c r="I84" s="1523"/>
      <c r="J84" s="1476"/>
      <c r="K84" s="1514"/>
      <c r="L84" s="500"/>
      <c r="M84" s="460"/>
      <c r="N84" s="460"/>
      <c r="O84" s="460"/>
      <c r="P84" s="460"/>
      <c r="Q84" s="460"/>
      <c r="R84" s="460"/>
      <c r="S84" s="460"/>
      <c r="T84" s="460"/>
      <c r="U84" s="460"/>
      <c r="V84" s="460"/>
      <c r="W84" s="460"/>
      <c r="X84" s="482"/>
      <c r="Y84" s="482"/>
      <c r="Z84" s="482"/>
      <c r="AA84" s="482"/>
      <c r="AB84" s="482"/>
      <c r="AC84" s="482"/>
      <c r="AD84" s="244"/>
      <c r="AE84" s="244"/>
      <c r="AF84" s="244"/>
      <c r="AG84" s="244"/>
      <c r="AH84" s="244"/>
      <c r="AI84" s="244"/>
      <c r="AJ84" s="244"/>
      <c r="AK84" s="457"/>
      <c r="AL84" s="457"/>
      <c r="AM84" s="1520"/>
      <c r="AN84" s="1520"/>
    </row>
    <row r="85" spans="1:40" ht="15" customHeight="1">
      <c r="A85" s="1524" t="s">
        <v>172</v>
      </c>
      <c r="B85" s="1584" t="s">
        <v>1770</v>
      </c>
      <c r="C85" s="1585"/>
      <c r="D85" s="1585"/>
      <c r="E85" s="1585"/>
      <c r="F85" s="1585"/>
      <c r="G85" s="1586"/>
      <c r="H85" s="1521">
        <v>240.78</v>
      </c>
      <c r="I85" s="1475">
        <v>1.18</v>
      </c>
      <c r="J85" s="1475">
        <f>H85/I85</f>
        <v>204.05084745762713</v>
      </c>
      <c r="K85" s="1425">
        <f>SUM(L85:AI85)</f>
        <v>0</v>
      </c>
      <c r="L85" s="500"/>
      <c r="M85" s="460"/>
      <c r="N85" s="460"/>
      <c r="O85" s="460"/>
      <c r="P85" s="460"/>
      <c r="Q85" s="460"/>
      <c r="R85" s="460"/>
      <c r="S85" s="460"/>
      <c r="T85" s="460"/>
      <c r="U85" s="460"/>
      <c r="V85" s="460"/>
      <c r="W85" s="460"/>
      <c r="X85" s="482"/>
      <c r="Y85" s="482"/>
      <c r="Z85" s="482"/>
      <c r="AA85" s="482"/>
      <c r="AB85" s="482"/>
      <c r="AC85" s="482"/>
      <c r="AD85" s="244"/>
      <c r="AE85" s="244"/>
      <c r="AF85" s="244"/>
      <c r="AG85" s="244"/>
      <c r="AH85" s="244"/>
      <c r="AI85" s="244"/>
      <c r="AJ85" s="244"/>
      <c r="AK85" s="457"/>
      <c r="AL85" s="457"/>
      <c r="AM85" s="1519" t="s">
        <v>1327</v>
      </c>
      <c r="AN85" s="1519" t="s">
        <v>1328</v>
      </c>
    </row>
    <row r="86" spans="1:40" ht="15" customHeight="1">
      <c r="A86" s="1476"/>
      <c r="B86" s="1539" t="s">
        <v>1771</v>
      </c>
      <c r="C86" s="1252"/>
      <c r="D86" s="1252"/>
      <c r="E86" s="1252"/>
      <c r="F86" s="1252"/>
      <c r="G86" s="1253"/>
      <c r="H86" s="1522"/>
      <c r="I86" s="1523"/>
      <c r="J86" s="1476"/>
      <c r="K86" s="1514"/>
      <c r="L86" s="500"/>
      <c r="M86" s="460"/>
      <c r="N86" s="460"/>
      <c r="O86" s="460"/>
      <c r="P86" s="460"/>
      <c r="Q86" s="460"/>
      <c r="R86" s="460"/>
      <c r="S86" s="460"/>
      <c r="T86" s="460"/>
      <c r="U86" s="460"/>
      <c r="V86" s="460"/>
      <c r="W86" s="460"/>
      <c r="X86" s="482"/>
      <c r="Y86" s="482"/>
      <c r="Z86" s="482"/>
      <c r="AA86" s="482"/>
      <c r="AB86" s="482"/>
      <c r="AC86" s="482"/>
      <c r="AD86" s="244"/>
      <c r="AE86" s="244"/>
      <c r="AF86" s="244"/>
      <c r="AG86" s="244"/>
      <c r="AH86" s="244"/>
      <c r="AI86" s="244"/>
      <c r="AJ86" s="244"/>
      <c r="AK86" s="457"/>
      <c r="AL86" s="457"/>
      <c r="AM86" s="1520"/>
      <c r="AN86" s="1520"/>
    </row>
    <row r="87" spans="1:40" ht="15" customHeight="1">
      <c r="A87" s="1431" t="s">
        <v>173</v>
      </c>
      <c r="B87" s="1584" t="s">
        <v>1772</v>
      </c>
      <c r="C87" s="1585"/>
      <c r="D87" s="1585"/>
      <c r="E87" s="1585"/>
      <c r="F87" s="1585"/>
      <c r="G87" s="1586"/>
      <c r="H87" s="1521">
        <v>383.6</v>
      </c>
      <c r="I87" s="1475">
        <v>1.18</v>
      </c>
      <c r="J87" s="1475">
        <f>H87/I87</f>
        <v>325.08474576271192</v>
      </c>
      <c r="K87" s="1425">
        <f>SUM(L87:AI87)</f>
        <v>0</v>
      </c>
      <c r="L87" s="500"/>
      <c r="M87" s="460"/>
      <c r="N87" s="460"/>
      <c r="O87" s="460"/>
      <c r="P87" s="460"/>
      <c r="Q87" s="460"/>
      <c r="R87" s="460"/>
      <c r="S87" s="460"/>
      <c r="T87" s="460"/>
      <c r="U87" s="460"/>
      <c r="V87" s="460"/>
      <c r="W87" s="460"/>
      <c r="X87" s="482"/>
      <c r="Y87" s="482"/>
      <c r="Z87" s="482"/>
      <c r="AA87" s="482"/>
      <c r="AB87" s="482"/>
      <c r="AC87" s="482"/>
      <c r="AD87" s="244"/>
      <c r="AE87" s="244"/>
      <c r="AF87" s="244"/>
      <c r="AG87" s="244"/>
      <c r="AH87" s="244"/>
      <c r="AI87" s="244"/>
      <c r="AJ87" s="244"/>
      <c r="AK87" s="457"/>
      <c r="AL87" s="457"/>
      <c r="AM87" s="1519" t="s">
        <v>1327</v>
      </c>
      <c r="AN87" s="1519" t="s">
        <v>1328</v>
      </c>
    </row>
    <row r="88" spans="1:40" ht="15" customHeight="1">
      <c r="A88" s="1432"/>
      <c r="B88" s="1539" t="s">
        <v>1773</v>
      </c>
      <c r="C88" s="1252"/>
      <c r="D88" s="1252"/>
      <c r="E88" s="1252"/>
      <c r="F88" s="1252"/>
      <c r="G88" s="1253"/>
      <c r="H88" s="1522"/>
      <c r="I88" s="1523"/>
      <c r="J88" s="1476"/>
      <c r="K88" s="1514"/>
      <c r="L88" s="500"/>
      <c r="M88" s="460"/>
      <c r="N88" s="460"/>
      <c r="O88" s="460"/>
      <c r="P88" s="460"/>
      <c r="Q88" s="460"/>
      <c r="R88" s="460"/>
      <c r="S88" s="460"/>
      <c r="T88" s="460"/>
      <c r="U88" s="460"/>
      <c r="V88" s="460"/>
      <c r="W88" s="460"/>
      <c r="X88" s="482"/>
      <c r="Y88" s="482"/>
      <c r="Z88" s="482"/>
      <c r="AA88" s="482"/>
      <c r="AB88" s="482"/>
      <c r="AC88" s="482"/>
      <c r="AD88" s="244"/>
      <c r="AE88" s="244"/>
      <c r="AF88" s="244"/>
      <c r="AG88" s="244"/>
      <c r="AH88" s="244"/>
      <c r="AI88" s="244"/>
      <c r="AJ88" s="244"/>
      <c r="AK88" s="457"/>
      <c r="AL88" s="457"/>
      <c r="AM88" s="1520"/>
      <c r="AN88" s="1520"/>
    </row>
    <row r="89" spans="1:40" ht="15" customHeight="1">
      <c r="A89" s="1431" t="s">
        <v>174</v>
      </c>
      <c r="B89" s="1534" t="s">
        <v>1774</v>
      </c>
      <c r="C89" s="1535"/>
      <c r="D89" s="1535"/>
      <c r="E89" s="1535"/>
      <c r="F89" s="1535"/>
      <c r="G89" s="1536"/>
      <c r="H89" s="1521">
        <v>100</v>
      </c>
      <c r="I89" s="1475">
        <v>1.18</v>
      </c>
      <c r="J89" s="1475">
        <f>H89/I89</f>
        <v>84.745762711864415</v>
      </c>
      <c r="K89" s="1425">
        <f>SUM(L89:AI89)</f>
        <v>0</v>
      </c>
      <c r="L89" s="500"/>
      <c r="M89" s="460"/>
      <c r="N89" s="460"/>
      <c r="O89" s="460"/>
      <c r="P89" s="460"/>
      <c r="Q89" s="460"/>
      <c r="R89" s="460"/>
      <c r="S89" s="460"/>
      <c r="T89" s="460"/>
      <c r="U89" s="460"/>
      <c r="V89" s="460"/>
      <c r="W89" s="460"/>
      <c r="X89" s="482"/>
      <c r="Y89" s="482"/>
      <c r="Z89" s="482"/>
      <c r="AA89" s="482"/>
      <c r="AB89" s="482"/>
      <c r="AC89" s="482"/>
      <c r="AD89" s="244"/>
      <c r="AE89" s="244"/>
      <c r="AF89" s="244"/>
      <c r="AG89" s="244"/>
      <c r="AH89" s="244"/>
      <c r="AI89" s="244"/>
      <c r="AJ89" s="244"/>
      <c r="AK89" s="457"/>
      <c r="AL89" s="457"/>
      <c r="AM89" s="1519" t="s">
        <v>1327</v>
      </c>
      <c r="AN89" s="1519" t="s">
        <v>1328</v>
      </c>
    </row>
    <row r="90" spans="1:40" ht="15" customHeight="1">
      <c r="A90" s="1587"/>
      <c r="B90" s="495" t="s">
        <v>438</v>
      </c>
      <c r="C90" s="496"/>
      <c r="D90" s="496" t="s">
        <v>439</v>
      </c>
      <c r="E90" s="496"/>
      <c r="F90" s="496" t="s">
        <v>440</v>
      </c>
      <c r="G90" s="501"/>
      <c r="H90" s="1537"/>
      <c r="I90" s="1523"/>
      <c r="J90" s="1538"/>
      <c r="K90" s="1476"/>
      <c r="L90" s="500"/>
      <c r="M90" s="460"/>
      <c r="N90" s="460"/>
      <c r="O90" s="460"/>
      <c r="P90" s="460"/>
      <c r="Q90" s="460"/>
      <c r="R90" s="460"/>
      <c r="S90" s="460"/>
      <c r="T90" s="460"/>
      <c r="U90" s="460"/>
      <c r="V90" s="460"/>
      <c r="W90" s="460"/>
      <c r="X90" s="482"/>
      <c r="Y90" s="482"/>
      <c r="Z90" s="482"/>
      <c r="AA90" s="482"/>
      <c r="AB90" s="482"/>
      <c r="AC90" s="482"/>
      <c r="AD90" s="244"/>
      <c r="AE90" s="244"/>
      <c r="AF90" s="244"/>
      <c r="AG90" s="244"/>
      <c r="AH90" s="244"/>
      <c r="AI90" s="244"/>
      <c r="AJ90" s="244"/>
      <c r="AK90" s="457"/>
      <c r="AL90" s="457"/>
      <c r="AM90" s="1520"/>
      <c r="AN90" s="1520"/>
    </row>
    <row r="91" spans="1:40" ht="15" customHeight="1">
      <c r="A91" s="1431" t="s">
        <v>175</v>
      </c>
      <c r="B91" s="1534" t="s">
        <v>1775</v>
      </c>
      <c r="C91" s="1535"/>
      <c r="D91" s="1535"/>
      <c r="E91" s="1535"/>
      <c r="F91" s="1535"/>
      <c r="G91" s="1536"/>
      <c r="H91" s="1521">
        <v>221.08</v>
      </c>
      <c r="I91" s="1475">
        <v>1.18</v>
      </c>
      <c r="J91" s="1475">
        <f>H91/I91</f>
        <v>187.35593220338984</v>
      </c>
      <c r="K91" s="1425">
        <f>SUM(L91:AI91)</f>
        <v>0</v>
      </c>
      <c r="L91" s="500"/>
      <c r="M91" s="460"/>
      <c r="N91" s="460"/>
      <c r="O91" s="460"/>
      <c r="P91" s="460"/>
      <c r="Q91" s="460"/>
      <c r="R91" s="460"/>
      <c r="S91" s="460"/>
      <c r="T91" s="460"/>
      <c r="U91" s="460"/>
      <c r="V91" s="460"/>
      <c r="W91" s="460"/>
      <c r="X91" s="482"/>
      <c r="Y91" s="482"/>
      <c r="Z91" s="482"/>
      <c r="AA91" s="482"/>
      <c r="AB91" s="482"/>
      <c r="AC91" s="482"/>
      <c r="AD91" s="244"/>
      <c r="AE91" s="244"/>
      <c r="AF91" s="244"/>
      <c r="AG91" s="244"/>
      <c r="AH91" s="244"/>
      <c r="AI91" s="244"/>
      <c r="AJ91" s="244"/>
      <c r="AK91" s="457"/>
      <c r="AL91" s="457"/>
      <c r="AM91" s="1519" t="s">
        <v>1327</v>
      </c>
      <c r="AN91" s="1519" t="s">
        <v>1328</v>
      </c>
    </row>
    <row r="92" spans="1:40" ht="15" customHeight="1">
      <c r="A92" s="1432"/>
      <c r="B92" s="1539" t="s">
        <v>1776</v>
      </c>
      <c r="C92" s="1252"/>
      <c r="D92" s="1252"/>
      <c r="E92" s="1252"/>
      <c r="F92" s="1252"/>
      <c r="G92" s="1253"/>
      <c r="H92" s="1522"/>
      <c r="I92" s="1523"/>
      <c r="J92" s="1476"/>
      <c r="K92" s="1476"/>
      <c r="L92" s="500"/>
      <c r="M92" s="460"/>
      <c r="N92" s="460"/>
      <c r="O92" s="460"/>
      <c r="P92" s="460"/>
      <c r="Q92" s="460"/>
      <c r="R92" s="460"/>
      <c r="S92" s="460"/>
      <c r="T92" s="460"/>
      <c r="U92" s="460"/>
      <c r="V92" s="460"/>
      <c r="W92" s="460"/>
      <c r="X92" s="482"/>
      <c r="Y92" s="482"/>
      <c r="Z92" s="482"/>
      <c r="AA92" s="482"/>
      <c r="AB92" s="482"/>
      <c r="AC92" s="482"/>
      <c r="AD92" s="244"/>
      <c r="AE92" s="244"/>
      <c r="AF92" s="244"/>
      <c r="AG92" s="244"/>
      <c r="AH92" s="244"/>
      <c r="AI92" s="244"/>
      <c r="AJ92" s="244"/>
      <c r="AK92" s="457"/>
      <c r="AL92" s="457"/>
      <c r="AM92" s="1520"/>
      <c r="AN92" s="1520"/>
    </row>
    <row r="93" spans="1:40" ht="15" customHeight="1">
      <c r="A93" s="1431" t="s">
        <v>997</v>
      </c>
      <c r="B93" s="1527" t="s">
        <v>1777</v>
      </c>
      <c r="C93" s="1528"/>
      <c r="D93" s="1528"/>
      <c r="E93" s="1528"/>
      <c r="F93" s="1528"/>
      <c r="G93" s="1529"/>
      <c r="H93" s="1521">
        <v>359.42</v>
      </c>
      <c r="I93" s="1475">
        <v>1.18</v>
      </c>
      <c r="J93" s="1475">
        <f>H93/I93</f>
        <v>304.59322033898309</v>
      </c>
      <c r="K93" s="1425">
        <f>SUM(L93:AI93)</f>
        <v>0</v>
      </c>
      <c r="L93" s="500"/>
      <c r="M93" s="460"/>
      <c r="N93" s="460"/>
      <c r="O93" s="460"/>
      <c r="P93" s="502"/>
      <c r="Q93" s="460"/>
      <c r="R93" s="460"/>
      <c r="S93" s="460"/>
      <c r="T93" s="460"/>
      <c r="U93" s="460"/>
      <c r="V93" s="460"/>
      <c r="W93" s="460"/>
      <c r="X93" s="482"/>
      <c r="Y93" s="482"/>
      <c r="Z93" s="482"/>
      <c r="AA93" s="482"/>
      <c r="AB93" s="482"/>
      <c r="AC93" s="482"/>
      <c r="AD93" s="244"/>
      <c r="AE93" s="244"/>
      <c r="AF93" s="244"/>
      <c r="AG93" s="244"/>
      <c r="AH93" s="244"/>
      <c r="AI93" s="244"/>
      <c r="AJ93" s="244"/>
      <c r="AK93" s="457"/>
      <c r="AL93" s="457"/>
      <c r="AM93" s="1519" t="s">
        <v>1327</v>
      </c>
      <c r="AN93" s="1519" t="s">
        <v>1328</v>
      </c>
    </row>
    <row r="94" spans="1:40" ht="15" customHeight="1">
      <c r="A94" s="1533"/>
      <c r="B94" s="480" t="s">
        <v>438</v>
      </c>
      <c r="C94" s="448"/>
      <c r="D94" s="448" t="s">
        <v>439</v>
      </c>
      <c r="E94" s="448"/>
      <c r="F94" s="448" t="s">
        <v>440</v>
      </c>
      <c r="G94" s="501"/>
      <c r="H94" s="1533"/>
      <c r="I94" s="1523"/>
      <c r="J94" s="1476"/>
      <c r="K94" s="1476"/>
      <c r="L94" s="500"/>
      <c r="M94" s="460"/>
      <c r="N94" s="460"/>
      <c r="O94" s="460"/>
      <c r="P94" s="460"/>
      <c r="Q94" s="460"/>
      <c r="R94" s="460"/>
      <c r="S94" s="460"/>
      <c r="T94" s="460"/>
      <c r="U94" s="460"/>
      <c r="V94" s="460"/>
      <c r="W94" s="460"/>
      <c r="X94" s="482"/>
      <c r="Y94" s="482"/>
      <c r="Z94" s="482"/>
      <c r="AA94" s="482"/>
      <c r="AB94" s="482"/>
      <c r="AC94" s="482"/>
      <c r="AD94" s="244"/>
      <c r="AE94" s="244"/>
      <c r="AF94" s="244"/>
      <c r="AG94" s="244"/>
      <c r="AH94" s="244"/>
      <c r="AI94" s="244"/>
      <c r="AJ94" s="244"/>
      <c r="AK94" s="457"/>
      <c r="AL94" s="457"/>
      <c r="AM94" s="1520"/>
      <c r="AN94" s="1520"/>
    </row>
    <row r="95" spans="1:40" ht="15" customHeight="1">
      <c r="A95" s="1431" t="s">
        <v>999</v>
      </c>
      <c r="B95" s="1534" t="s">
        <v>1778</v>
      </c>
      <c r="C95" s="1535"/>
      <c r="D95" s="1535"/>
      <c r="E95" s="1535"/>
      <c r="F95" s="1535"/>
      <c r="G95" s="1536"/>
      <c r="H95" s="1537">
        <v>173.6</v>
      </c>
      <c r="I95" s="1475">
        <v>1.18</v>
      </c>
      <c r="J95" s="1475">
        <f>H95/I95</f>
        <v>147.11864406779662</v>
      </c>
      <c r="K95" s="1425">
        <f>SUM(L95:AI95)</f>
        <v>0</v>
      </c>
      <c r="L95" s="500"/>
      <c r="M95" s="460"/>
      <c r="N95" s="460"/>
      <c r="O95" s="460"/>
      <c r="P95" s="460"/>
      <c r="Q95" s="460"/>
      <c r="R95" s="460"/>
      <c r="S95" s="460"/>
      <c r="T95" s="460"/>
      <c r="U95" s="460"/>
      <c r="V95" s="460"/>
      <c r="W95" s="460"/>
      <c r="X95" s="482"/>
      <c r="Y95" s="482"/>
      <c r="Z95" s="482"/>
      <c r="AA95" s="482"/>
      <c r="AB95" s="482"/>
      <c r="AC95" s="482"/>
      <c r="AD95" s="244"/>
      <c r="AE95" s="244"/>
      <c r="AF95" s="244"/>
      <c r="AG95" s="244"/>
      <c r="AH95" s="244"/>
      <c r="AI95" s="244"/>
      <c r="AJ95" s="244"/>
      <c r="AK95" s="457"/>
      <c r="AL95" s="457"/>
      <c r="AM95" s="1519" t="s">
        <v>1327</v>
      </c>
      <c r="AN95" s="1519" t="s">
        <v>1328</v>
      </c>
    </row>
    <row r="96" spans="1:40" ht="15" customHeight="1">
      <c r="A96" s="1533"/>
      <c r="B96" s="480" t="s">
        <v>438</v>
      </c>
      <c r="C96" s="448"/>
      <c r="D96" s="448" t="s">
        <v>439</v>
      </c>
      <c r="E96" s="448"/>
      <c r="F96" s="448" t="s">
        <v>440</v>
      </c>
      <c r="G96" s="501"/>
      <c r="H96" s="1533"/>
      <c r="I96" s="1523"/>
      <c r="J96" s="1476"/>
      <c r="K96" s="1476"/>
      <c r="L96" s="500"/>
      <c r="M96" s="460"/>
      <c r="N96" s="460"/>
      <c r="O96" s="460"/>
      <c r="P96" s="460"/>
      <c r="Q96" s="460"/>
      <c r="R96" s="460"/>
      <c r="S96" s="460"/>
      <c r="T96" s="460"/>
      <c r="U96" s="460"/>
      <c r="V96" s="460"/>
      <c r="W96" s="460"/>
      <c r="X96" s="482"/>
      <c r="Y96" s="482"/>
      <c r="Z96" s="482"/>
      <c r="AA96" s="482"/>
      <c r="AB96" s="482"/>
      <c r="AC96" s="482"/>
      <c r="AD96" s="244"/>
      <c r="AE96" s="244"/>
      <c r="AF96" s="244"/>
      <c r="AG96" s="244"/>
      <c r="AH96" s="244"/>
      <c r="AI96" s="244"/>
      <c r="AJ96" s="244"/>
      <c r="AK96" s="457"/>
      <c r="AL96" s="457"/>
      <c r="AM96" s="1520"/>
      <c r="AN96" s="1520"/>
    </row>
    <row r="97" spans="1:40" ht="15" customHeight="1">
      <c r="A97" s="1588" t="s">
        <v>1001</v>
      </c>
      <c r="B97" s="1527" t="s">
        <v>1779</v>
      </c>
      <c r="C97" s="1542"/>
      <c r="D97" s="1542"/>
      <c r="E97" s="1542"/>
      <c r="F97" s="1542"/>
      <c r="G97" s="1543"/>
      <c r="H97" s="1521">
        <v>5200</v>
      </c>
      <c r="I97" s="1475">
        <v>1.18</v>
      </c>
      <c r="J97" s="1475">
        <f>H97/I97</f>
        <v>4406.7796610169498</v>
      </c>
      <c r="K97" s="1425">
        <f>SUM(L97:AI97)</f>
        <v>8227.7525593220344</v>
      </c>
      <c r="L97" s="500"/>
      <c r="M97" s="460"/>
      <c r="N97" s="460"/>
      <c r="O97" s="460"/>
      <c r="P97" s="460"/>
      <c r="Q97" s="460"/>
      <c r="R97" s="460"/>
      <c r="S97" s="460"/>
      <c r="T97" s="460"/>
      <c r="U97" s="460"/>
      <c r="V97" s="460"/>
      <c r="W97" s="460"/>
      <c r="X97" s="482"/>
      <c r="Y97" s="482"/>
      <c r="Z97" s="482"/>
      <c r="AA97" s="482"/>
      <c r="AB97" s="482"/>
      <c r="AC97" s="354">
        <f>434.20998/1.18</f>
        <v>367.97455932203388</v>
      </c>
      <c r="AD97" s="354"/>
      <c r="AE97" s="354">
        <f>4315.9444/1.18</f>
        <v>3657.5800000000004</v>
      </c>
      <c r="AF97" s="244"/>
      <c r="AG97" s="354">
        <f>4076.58376/1.18</f>
        <v>3454.732</v>
      </c>
      <c r="AH97" s="354"/>
      <c r="AI97" s="354">
        <f>882.00988/1.18</f>
        <v>747.46600000000001</v>
      </c>
      <c r="AJ97" s="244"/>
      <c r="AK97" s="457"/>
      <c r="AL97" s="457"/>
      <c r="AM97" s="1519" t="s">
        <v>1327</v>
      </c>
      <c r="AN97" s="1519" t="s">
        <v>1328</v>
      </c>
    </row>
    <row r="98" spans="1:40" ht="15" customHeight="1">
      <c r="A98" s="1588"/>
      <c r="B98" s="503" t="s">
        <v>1780</v>
      </c>
      <c r="C98" s="504"/>
      <c r="D98" s="504"/>
      <c r="E98" s="504" t="s">
        <v>1781</v>
      </c>
      <c r="F98" s="504"/>
      <c r="G98" s="505"/>
      <c r="H98" s="1522"/>
      <c r="I98" s="1523"/>
      <c r="J98" s="1476"/>
      <c r="K98" s="1514"/>
      <c r="L98" s="500"/>
      <c r="M98" s="460"/>
      <c r="N98" s="460"/>
      <c r="O98" s="460"/>
      <c r="P98" s="460"/>
      <c r="Q98" s="460"/>
      <c r="R98" s="460"/>
      <c r="S98" s="460"/>
      <c r="T98" s="460"/>
      <c r="U98" s="460"/>
      <c r="V98" s="460"/>
      <c r="W98" s="460"/>
      <c r="X98" s="482"/>
      <c r="Y98" s="482"/>
      <c r="Z98" s="482"/>
      <c r="AA98" s="482"/>
      <c r="AB98" s="482"/>
      <c r="AC98" s="482"/>
      <c r="AD98" s="244"/>
      <c r="AE98" s="244"/>
      <c r="AF98" s="244"/>
      <c r="AG98" s="244"/>
      <c r="AH98" s="244"/>
      <c r="AI98" s="244"/>
      <c r="AJ98" s="244"/>
      <c r="AK98" s="457"/>
      <c r="AL98" s="457"/>
      <c r="AM98" s="1520"/>
      <c r="AN98" s="1520"/>
    </row>
    <row r="99" spans="1:40" ht="15" customHeight="1">
      <c r="A99" s="1524" t="s">
        <v>1003</v>
      </c>
      <c r="B99" s="1530" t="s">
        <v>1782</v>
      </c>
      <c r="C99" s="1531"/>
      <c r="D99" s="1531"/>
      <c r="E99" s="1531"/>
      <c r="F99" s="1531"/>
      <c r="G99" s="1532"/>
      <c r="H99" s="1521">
        <v>4783.47</v>
      </c>
      <c r="I99" s="1475">
        <v>1.18</v>
      </c>
      <c r="J99" s="1475">
        <f>H99/I99</f>
        <v>4053.7881355932209</v>
      </c>
      <c r="K99" s="1425">
        <f>4201.25+3965.74+991.61</f>
        <v>9158.6</v>
      </c>
      <c r="L99" s="500"/>
      <c r="M99" s="460"/>
      <c r="N99" s="460"/>
      <c r="O99" s="460"/>
      <c r="P99" s="460"/>
      <c r="Q99" s="460"/>
      <c r="R99" s="460"/>
      <c r="S99" s="460"/>
      <c r="T99" s="460"/>
      <c r="U99" s="460"/>
      <c r="V99" s="460"/>
      <c r="W99" s="460"/>
      <c r="X99" s="482"/>
      <c r="Y99" s="482"/>
      <c r="Z99" s="482"/>
      <c r="AA99" s="482"/>
      <c r="AB99" s="482"/>
      <c r="AC99" s="482"/>
      <c r="AD99" s="244"/>
      <c r="AE99" s="244"/>
      <c r="AF99" s="244"/>
      <c r="AG99" s="244"/>
      <c r="AH99" s="354"/>
      <c r="AI99" s="354">
        <f>4201.25497+3965.74258</f>
        <v>8166.99755</v>
      </c>
      <c r="AJ99" s="244"/>
      <c r="AK99" s="457"/>
      <c r="AL99" s="457"/>
      <c r="AM99" s="1519" t="s">
        <v>1327</v>
      </c>
      <c r="AN99" s="1519" t="s">
        <v>1328</v>
      </c>
    </row>
    <row r="100" spans="1:40" ht="15" customHeight="1">
      <c r="A100" s="1525"/>
      <c r="B100" s="1530" t="s">
        <v>1783</v>
      </c>
      <c r="C100" s="1531"/>
      <c r="D100" s="1531"/>
      <c r="E100" s="1531"/>
      <c r="F100" s="1531"/>
      <c r="G100" s="1532"/>
      <c r="H100" s="1522"/>
      <c r="I100" s="1523"/>
      <c r="J100" s="1476"/>
      <c r="K100" s="1426"/>
      <c r="L100" s="500"/>
      <c r="M100" s="460"/>
      <c r="N100" s="460"/>
      <c r="O100" s="460"/>
      <c r="P100" s="460"/>
      <c r="Q100" s="460"/>
      <c r="R100" s="460"/>
      <c r="S100" s="460"/>
      <c r="T100" s="460"/>
      <c r="U100" s="460"/>
      <c r="V100" s="460"/>
      <c r="W100" s="460"/>
      <c r="X100" s="482"/>
      <c r="Y100" s="482"/>
      <c r="Z100" s="482"/>
      <c r="AA100" s="482"/>
      <c r="AB100" s="482"/>
      <c r="AC100" s="482"/>
      <c r="AD100" s="244"/>
      <c r="AE100" s="244"/>
      <c r="AF100" s="244"/>
      <c r="AG100" s="244"/>
      <c r="AH100" s="354"/>
      <c r="AI100" s="354"/>
      <c r="AJ100" s="244"/>
      <c r="AK100" s="457"/>
      <c r="AL100" s="457"/>
      <c r="AM100" s="1520"/>
      <c r="AN100" s="1520"/>
    </row>
    <row r="101" spans="1:40" ht="15" customHeight="1">
      <c r="A101" s="1524" t="s">
        <v>1005</v>
      </c>
      <c r="B101" s="1527" t="s">
        <v>1784</v>
      </c>
      <c r="C101" s="1528"/>
      <c r="D101" s="1528"/>
      <c r="E101" s="1528"/>
      <c r="F101" s="1528"/>
      <c r="G101" s="1529"/>
      <c r="H101" s="1521">
        <v>2224.61</v>
      </c>
      <c r="I101" s="1475">
        <v>1.18</v>
      </c>
      <c r="J101" s="1475">
        <f>H101/I101</f>
        <v>1885.262711864407</v>
      </c>
      <c r="K101" s="1425">
        <f>1818.53+149.99</f>
        <v>1968.52</v>
      </c>
      <c r="L101" s="500"/>
      <c r="M101" s="460"/>
      <c r="N101" s="460"/>
      <c r="O101" s="460"/>
      <c r="P101" s="460"/>
      <c r="Q101" s="460"/>
      <c r="R101" s="460"/>
      <c r="S101" s="460"/>
      <c r="T101" s="460"/>
      <c r="U101" s="460"/>
      <c r="V101" s="460"/>
      <c r="W101" s="460"/>
      <c r="X101" s="482"/>
      <c r="Y101" s="482"/>
      <c r="Z101" s="482"/>
      <c r="AA101" s="482"/>
      <c r="AB101" s="482"/>
      <c r="AC101" s="482"/>
      <c r="AD101" s="244"/>
      <c r="AE101" s="244"/>
      <c r="AF101" s="244"/>
      <c r="AG101" s="244"/>
      <c r="AH101" s="354"/>
      <c r="AI101" s="354">
        <f>(1635.19072+336.27048+174.40164)/1.18+187.16472</f>
        <v>2005.6925505084748</v>
      </c>
      <c r="AJ101" s="244"/>
      <c r="AK101" s="457"/>
      <c r="AL101" s="457"/>
      <c r="AM101" s="1519" t="s">
        <v>1327</v>
      </c>
      <c r="AN101" s="1519" t="s">
        <v>1328</v>
      </c>
    </row>
    <row r="102" spans="1:40" ht="15" customHeight="1">
      <c r="A102" s="1525"/>
      <c r="B102" s="1526" t="s">
        <v>1785</v>
      </c>
      <c r="C102" s="1216"/>
      <c r="D102" s="1216"/>
      <c r="E102" s="1216"/>
      <c r="F102" s="1216"/>
      <c r="G102" s="1217"/>
      <c r="H102" s="1522"/>
      <c r="I102" s="1523"/>
      <c r="J102" s="1476"/>
      <c r="K102" s="1476"/>
      <c r="L102" s="500"/>
      <c r="M102" s="460"/>
      <c r="N102" s="460"/>
      <c r="O102" s="460"/>
      <c r="P102" s="460" t="s">
        <v>1786</v>
      </c>
      <c r="Q102" s="460"/>
      <c r="R102" s="460"/>
      <c r="S102" s="460"/>
      <c r="T102" s="460"/>
      <c r="U102" s="460"/>
      <c r="V102" s="460"/>
      <c r="W102" s="460"/>
      <c r="X102" s="482"/>
      <c r="Y102" s="482"/>
      <c r="Z102" s="482"/>
      <c r="AA102" s="482"/>
      <c r="AB102" s="482"/>
      <c r="AC102" s="482"/>
      <c r="AD102" s="244"/>
      <c r="AE102" s="244"/>
      <c r="AF102" s="244"/>
      <c r="AG102" s="244"/>
      <c r="AH102" s="354"/>
      <c r="AI102" s="354"/>
      <c r="AJ102" s="244"/>
      <c r="AK102" s="457"/>
      <c r="AL102" s="457"/>
      <c r="AM102" s="1520"/>
      <c r="AN102" s="1520"/>
    </row>
    <row r="103" spans="1:40" ht="15" customHeight="1">
      <c r="A103" s="1524" t="s">
        <v>1007</v>
      </c>
      <c r="B103" s="1527" t="s">
        <v>1787</v>
      </c>
      <c r="C103" s="1528"/>
      <c r="D103" s="1528"/>
      <c r="E103" s="1528"/>
      <c r="F103" s="1528"/>
      <c r="G103" s="1529"/>
      <c r="H103" s="1521">
        <v>3590.2</v>
      </c>
      <c r="I103" s="1475">
        <v>1.18</v>
      </c>
      <c r="J103" s="1475">
        <f>H103/I103</f>
        <v>3042.5423728813557</v>
      </c>
      <c r="K103" s="1425">
        <f>SUM(L103:AI103)</f>
        <v>2502.0845762711861</v>
      </c>
      <c r="L103" s="500"/>
      <c r="M103" s="460"/>
      <c r="N103" s="460"/>
      <c r="O103" s="460"/>
      <c r="P103" s="460"/>
      <c r="Q103" s="460"/>
      <c r="R103" s="460"/>
      <c r="S103" s="460"/>
      <c r="T103" s="460"/>
      <c r="U103" s="460"/>
      <c r="V103" s="460"/>
      <c r="W103" s="460"/>
      <c r="X103" s="482"/>
      <c r="Y103" s="482"/>
      <c r="Z103" s="482"/>
      <c r="AA103" s="482"/>
      <c r="AB103" s="482"/>
      <c r="AC103" s="482"/>
      <c r="AD103" s="244"/>
      <c r="AE103" s="244"/>
      <c r="AF103" s="244"/>
      <c r="AG103" s="244"/>
      <c r="AH103" s="354"/>
      <c r="AI103" s="354">
        <f>(479.03898+2473.42082)/1.18</f>
        <v>2502.0845762711861</v>
      </c>
      <c r="AJ103" s="244"/>
      <c r="AK103" s="457"/>
      <c r="AL103" s="457"/>
      <c r="AM103" s="1519" t="s">
        <v>1327</v>
      </c>
      <c r="AN103" s="1519" t="s">
        <v>1328</v>
      </c>
    </row>
    <row r="104" spans="1:40" ht="15" customHeight="1">
      <c r="A104" s="1525"/>
      <c r="B104" s="1526" t="s">
        <v>1788</v>
      </c>
      <c r="C104" s="1216"/>
      <c r="D104" s="1216"/>
      <c r="E104" s="1216"/>
      <c r="F104" s="1216"/>
      <c r="G104" s="1217"/>
      <c r="H104" s="1522"/>
      <c r="I104" s="1523"/>
      <c r="J104" s="1476"/>
      <c r="K104" s="1476"/>
      <c r="L104" s="500"/>
      <c r="M104" s="460"/>
      <c r="N104" s="460"/>
      <c r="O104" s="460"/>
      <c r="P104" s="460"/>
      <c r="Q104" s="460"/>
      <c r="R104" s="460"/>
      <c r="S104" s="460"/>
      <c r="T104" s="460"/>
      <c r="U104" s="460"/>
      <c r="V104" s="460"/>
      <c r="W104" s="460"/>
      <c r="X104" s="482"/>
      <c r="Y104" s="482"/>
      <c r="Z104" s="482"/>
      <c r="AA104" s="482"/>
      <c r="AB104" s="482"/>
      <c r="AC104" s="482"/>
      <c r="AD104" s="244"/>
      <c r="AE104" s="244"/>
      <c r="AF104" s="244"/>
      <c r="AG104" s="244"/>
      <c r="AH104" s="354"/>
      <c r="AI104" s="354"/>
      <c r="AJ104" s="244"/>
      <c r="AK104" s="457"/>
      <c r="AL104" s="457"/>
      <c r="AM104" s="1520"/>
      <c r="AN104" s="1520"/>
    </row>
    <row r="105" spans="1:40" ht="15" customHeight="1">
      <c r="A105" s="506" t="s">
        <v>1009</v>
      </c>
      <c r="B105" s="1526" t="s">
        <v>1789</v>
      </c>
      <c r="C105" s="1589"/>
      <c r="D105" s="1589"/>
      <c r="E105" s="1589"/>
      <c r="F105" s="1589"/>
      <c r="G105" s="1590"/>
      <c r="H105" s="507">
        <v>553.44000000000005</v>
      </c>
      <c r="I105" s="472">
        <v>1.18</v>
      </c>
      <c r="J105" s="257">
        <f>H105/I105</f>
        <v>469.01694915254245</v>
      </c>
      <c r="K105" s="244">
        <v>641.26</v>
      </c>
      <c r="L105" s="500"/>
      <c r="M105" s="460"/>
      <c r="N105" s="460"/>
      <c r="O105" s="460"/>
      <c r="P105" s="460"/>
      <c r="Q105" s="460"/>
      <c r="R105" s="460"/>
      <c r="S105" s="460"/>
      <c r="T105" s="460"/>
      <c r="U105" s="460"/>
      <c r="V105" s="460"/>
      <c r="W105" s="460"/>
      <c r="X105" s="482"/>
      <c r="Y105" s="482"/>
      <c r="Z105" s="482"/>
      <c r="AA105" s="482"/>
      <c r="AB105" s="482"/>
      <c r="AC105" s="482"/>
      <c r="AD105" s="244"/>
      <c r="AE105" s="244"/>
      <c r="AF105" s="244"/>
      <c r="AG105" s="244"/>
      <c r="AH105" s="354"/>
      <c r="AI105" s="354">
        <f>641.25851/1.18</f>
        <v>543.43941525423736</v>
      </c>
      <c r="AJ105" s="244"/>
      <c r="AK105" s="457"/>
      <c r="AL105" s="457"/>
      <c r="AM105" s="137" t="s">
        <v>1327</v>
      </c>
      <c r="AN105" s="137" t="s">
        <v>1328</v>
      </c>
    </row>
    <row r="106" spans="1:40" ht="15" customHeight="1">
      <c r="A106" s="1591" t="s">
        <v>1011</v>
      </c>
      <c r="B106" s="1527" t="s">
        <v>1790</v>
      </c>
      <c r="C106" s="1542"/>
      <c r="D106" s="1542"/>
      <c r="E106" s="1542"/>
      <c r="F106" s="1542"/>
      <c r="G106" s="1543"/>
      <c r="H106" s="1521">
        <v>122.7</v>
      </c>
      <c r="I106" s="1475">
        <v>1.18</v>
      </c>
      <c r="J106" s="1475">
        <f>H106/I106</f>
        <v>103.98305084745763</v>
      </c>
      <c r="K106" s="1425">
        <f>SUM(L106:AI106)</f>
        <v>103.97629999999999</v>
      </c>
      <c r="L106" s="500"/>
      <c r="M106" s="259">
        <v>103.97629999999999</v>
      </c>
      <c r="N106" s="460"/>
      <c r="O106" s="460"/>
      <c r="P106" s="460"/>
      <c r="Q106" s="460"/>
      <c r="R106" s="460"/>
      <c r="S106" s="460"/>
      <c r="T106" s="460"/>
      <c r="U106" s="460"/>
      <c r="V106" s="460"/>
      <c r="W106" s="460"/>
      <c r="X106" s="482"/>
      <c r="Y106" s="482"/>
      <c r="Z106" s="482"/>
      <c r="AA106" s="482"/>
      <c r="AB106" s="482"/>
      <c r="AC106" s="482"/>
      <c r="AD106" s="244"/>
      <c r="AE106" s="244"/>
      <c r="AF106" s="244"/>
      <c r="AG106" s="244"/>
      <c r="AH106" s="244"/>
      <c r="AI106" s="244"/>
      <c r="AJ106" s="244"/>
      <c r="AK106" s="457"/>
      <c r="AL106" s="457"/>
      <c r="AM106" s="1524" t="s">
        <v>1327</v>
      </c>
      <c r="AN106" s="1524" t="s">
        <v>1328</v>
      </c>
    </row>
    <row r="107" spans="1:40" ht="15" customHeight="1">
      <c r="A107" s="1591"/>
      <c r="B107" s="495"/>
      <c r="C107" s="496"/>
      <c r="D107" s="496"/>
      <c r="E107" s="496"/>
      <c r="F107" s="496"/>
      <c r="G107" s="497"/>
      <c r="H107" s="1522"/>
      <c r="I107" s="1523"/>
      <c r="J107" s="1476"/>
      <c r="K107" s="1514"/>
      <c r="L107" s="500"/>
      <c r="M107" s="460"/>
      <c r="N107" s="460"/>
      <c r="O107" s="460"/>
      <c r="P107" s="460"/>
      <c r="Q107" s="460"/>
      <c r="R107" s="460"/>
      <c r="S107" s="460"/>
      <c r="T107" s="460"/>
      <c r="U107" s="460"/>
      <c r="V107" s="460"/>
      <c r="W107" s="460"/>
      <c r="X107" s="482"/>
      <c r="Y107" s="482"/>
      <c r="Z107" s="482"/>
      <c r="AA107" s="482"/>
      <c r="AB107" s="482"/>
      <c r="AC107" s="482"/>
      <c r="AD107" s="244"/>
      <c r="AE107" s="244"/>
      <c r="AF107" s="244"/>
      <c r="AG107" s="244"/>
      <c r="AH107" s="244"/>
      <c r="AI107" s="244"/>
      <c r="AJ107" s="244"/>
      <c r="AK107" s="457"/>
      <c r="AL107" s="457"/>
      <c r="AM107" s="1525"/>
      <c r="AN107" s="1525"/>
    </row>
    <row r="108" spans="1:40" ht="15" customHeight="1">
      <c r="A108" s="506" t="s">
        <v>1013</v>
      </c>
      <c r="B108" s="1482" t="s">
        <v>1791</v>
      </c>
      <c r="C108" s="1227"/>
      <c r="D108" s="1227"/>
      <c r="E108" s="1227"/>
      <c r="F108" s="1227"/>
      <c r="G108" s="1228"/>
      <c r="H108" s="507">
        <v>426.82</v>
      </c>
      <c r="I108" s="508">
        <v>1.18</v>
      </c>
      <c r="J108" s="257">
        <f>H108/I108</f>
        <v>361.71186440677968</v>
      </c>
      <c r="K108" s="244">
        <f>SUM(L108:AI108)</f>
        <v>361.71284745762716</v>
      </c>
      <c r="L108" s="500"/>
      <c r="M108" s="460"/>
      <c r="N108" s="460"/>
      <c r="O108" s="460"/>
      <c r="P108" s="460"/>
      <c r="Q108" s="460"/>
      <c r="R108" s="460"/>
      <c r="S108" s="460"/>
      <c r="T108" s="460"/>
      <c r="U108" s="460"/>
      <c r="V108" s="460"/>
      <c r="W108" s="460"/>
      <c r="X108" s="482"/>
      <c r="Y108" s="482"/>
      <c r="Z108" s="482"/>
      <c r="AA108" s="482"/>
      <c r="AB108" s="482"/>
      <c r="AC108" s="482"/>
      <c r="AD108" s="244"/>
      <c r="AE108" s="244"/>
      <c r="AF108" s="244"/>
      <c r="AG108" s="244"/>
      <c r="AH108" s="354"/>
      <c r="AI108" s="354">
        <f>426.82116/1.18</f>
        <v>361.71284745762716</v>
      </c>
      <c r="AJ108" s="244"/>
      <c r="AK108" s="457"/>
      <c r="AL108" s="457"/>
      <c r="AM108" s="137" t="s">
        <v>1327</v>
      </c>
      <c r="AN108" s="509" t="s">
        <v>1328</v>
      </c>
    </row>
    <row r="109" spans="1:40" ht="15" customHeight="1">
      <c r="A109" s="1431" t="s">
        <v>1015</v>
      </c>
      <c r="B109" s="1518" t="s">
        <v>1792</v>
      </c>
      <c r="C109" s="1518"/>
      <c r="D109" s="1518"/>
      <c r="E109" s="1518"/>
      <c r="F109" s="1518"/>
      <c r="G109" s="1518"/>
      <c r="H109" s="1513"/>
      <c r="I109" s="1475"/>
      <c r="J109" s="1475"/>
      <c r="K109" s="1425">
        <v>29.725000000000001</v>
      </c>
      <c r="L109" s="457"/>
      <c r="M109" s="460"/>
      <c r="N109" s="460"/>
      <c r="O109" s="460"/>
      <c r="P109" s="460"/>
      <c r="Q109" s="460"/>
      <c r="R109" s="460"/>
      <c r="S109" s="460"/>
      <c r="T109" s="460"/>
      <c r="U109" s="460"/>
      <c r="V109" s="460"/>
      <c r="W109" s="460"/>
      <c r="X109" s="482"/>
      <c r="Y109" s="482"/>
      <c r="Z109" s="482"/>
      <c r="AA109" s="482"/>
      <c r="AB109" s="482"/>
      <c r="AC109" s="482"/>
      <c r="AD109" s="244"/>
      <c r="AE109" s="244"/>
      <c r="AF109" s="244"/>
      <c r="AG109" s="244"/>
      <c r="AH109" s="244"/>
      <c r="AI109" s="244"/>
      <c r="AJ109" s="244"/>
      <c r="AK109" s="457"/>
      <c r="AL109" s="457"/>
      <c r="AM109" s="1519" t="s">
        <v>1327</v>
      </c>
      <c r="AN109" s="1519" t="s">
        <v>1328</v>
      </c>
    </row>
    <row r="110" spans="1:40" ht="15" customHeight="1">
      <c r="A110" s="1432"/>
      <c r="B110" s="480" t="s">
        <v>438</v>
      </c>
      <c r="C110" s="448" t="s">
        <v>1243</v>
      </c>
      <c r="D110" s="448" t="s">
        <v>439</v>
      </c>
      <c r="E110" s="448" t="s">
        <v>453</v>
      </c>
      <c r="F110" s="448" t="s">
        <v>440</v>
      </c>
      <c r="G110" s="481"/>
      <c r="H110" s="1513"/>
      <c r="I110" s="1476"/>
      <c r="J110" s="1476"/>
      <c r="K110" s="1514"/>
      <c r="L110" s="457"/>
      <c r="M110" s="460"/>
      <c r="N110" s="460"/>
      <c r="O110" s="460"/>
      <c r="P110" s="460"/>
      <c r="Q110" s="460"/>
      <c r="R110" s="460"/>
      <c r="S110" s="460"/>
      <c r="T110" s="460"/>
      <c r="U110" s="460"/>
      <c r="V110" s="460"/>
      <c r="W110" s="460"/>
      <c r="X110" s="482"/>
      <c r="Y110" s="482"/>
      <c r="Z110" s="482"/>
      <c r="AA110" s="482"/>
      <c r="AB110" s="482"/>
      <c r="AC110" s="482"/>
      <c r="AD110" s="244"/>
      <c r="AE110" s="244"/>
      <c r="AF110" s="244"/>
      <c r="AG110" s="244"/>
      <c r="AH110" s="244"/>
      <c r="AI110" s="244"/>
      <c r="AJ110" s="244"/>
      <c r="AK110" s="457"/>
      <c r="AL110" s="457"/>
      <c r="AM110" s="1520"/>
      <c r="AN110" s="1520"/>
    </row>
    <row r="111" spans="1:40" ht="15" customHeight="1">
      <c r="A111" s="1431" t="s">
        <v>1017</v>
      </c>
      <c r="B111" s="1518" t="s">
        <v>1793</v>
      </c>
      <c r="C111" s="1518"/>
      <c r="D111" s="1518"/>
      <c r="E111" s="1518"/>
      <c r="F111" s="1518"/>
      <c r="G111" s="1518"/>
      <c r="H111" s="1513"/>
      <c r="I111" s="1475"/>
      <c r="J111" s="1475"/>
      <c r="K111" s="1425">
        <v>69.849000000000004</v>
      </c>
      <c r="L111" s="457"/>
      <c r="M111" s="460"/>
      <c r="N111" s="460"/>
      <c r="O111" s="460"/>
      <c r="P111" s="460"/>
      <c r="Q111" s="460"/>
      <c r="R111" s="460"/>
      <c r="S111" s="460"/>
      <c r="T111" s="460"/>
      <c r="U111" s="460"/>
      <c r="V111" s="460"/>
      <c r="W111" s="460"/>
      <c r="X111" s="482"/>
      <c r="Y111" s="482"/>
      <c r="Z111" s="482"/>
      <c r="AA111" s="482"/>
      <c r="AB111" s="482"/>
      <c r="AC111" s="482"/>
      <c r="AD111" s="244"/>
      <c r="AE111" s="244"/>
      <c r="AF111" s="244"/>
      <c r="AG111" s="244"/>
      <c r="AH111" s="244"/>
      <c r="AI111" s="244"/>
      <c r="AJ111" s="244"/>
      <c r="AK111" s="457"/>
      <c r="AL111" s="457"/>
      <c r="AM111" s="1519" t="s">
        <v>1327</v>
      </c>
      <c r="AN111" s="1519" t="s">
        <v>1328</v>
      </c>
    </row>
    <row r="112" spans="1:40" ht="15" customHeight="1">
      <c r="A112" s="1432"/>
      <c r="B112" s="480" t="s">
        <v>438</v>
      </c>
      <c r="C112" s="448" t="s">
        <v>446</v>
      </c>
      <c r="D112" s="448" t="s">
        <v>439</v>
      </c>
      <c r="E112" s="448" t="s">
        <v>450</v>
      </c>
      <c r="F112" s="448" t="s">
        <v>440</v>
      </c>
      <c r="G112" s="481"/>
      <c r="H112" s="1513"/>
      <c r="I112" s="1476"/>
      <c r="J112" s="1476"/>
      <c r="K112" s="1514"/>
      <c r="L112" s="457"/>
      <c r="M112" s="460"/>
      <c r="N112" s="460"/>
      <c r="O112" s="460"/>
      <c r="P112" s="460"/>
      <c r="Q112" s="460"/>
      <c r="R112" s="460"/>
      <c r="S112" s="460"/>
      <c r="T112" s="460"/>
      <c r="U112" s="460"/>
      <c r="V112" s="460"/>
      <c r="W112" s="460"/>
      <c r="X112" s="482"/>
      <c r="Y112" s="482"/>
      <c r="Z112" s="482"/>
      <c r="AA112" s="482"/>
      <c r="AB112" s="482"/>
      <c r="AC112" s="482"/>
      <c r="AD112" s="244"/>
      <c r="AE112" s="244"/>
      <c r="AF112" s="244"/>
      <c r="AG112" s="244"/>
      <c r="AH112" s="244"/>
      <c r="AI112" s="244"/>
      <c r="AJ112" s="244"/>
      <c r="AK112" s="457"/>
      <c r="AL112" s="457"/>
      <c r="AM112" s="1520"/>
      <c r="AN112" s="1520"/>
    </row>
    <row r="113" spans="1:40" ht="15" customHeight="1">
      <c r="A113" s="1431" t="s">
        <v>1019</v>
      </c>
      <c r="B113" s="1518" t="s">
        <v>1794</v>
      </c>
      <c r="C113" s="1518"/>
      <c r="D113" s="1518"/>
      <c r="E113" s="1518"/>
      <c r="F113" s="1518"/>
      <c r="G113" s="1518"/>
      <c r="H113" s="1513"/>
      <c r="I113" s="1475"/>
      <c r="J113" s="1475"/>
      <c r="K113" s="1425">
        <v>343.74</v>
      </c>
      <c r="L113" s="457"/>
      <c r="M113" s="460"/>
      <c r="N113" s="460"/>
      <c r="O113" s="460"/>
      <c r="P113" s="460"/>
      <c r="Q113" s="460"/>
      <c r="R113" s="460"/>
      <c r="S113" s="460"/>
      <c r="T113" s="460"/>
      <c r="U113" s="460"/>
      <c r="V113" s="460"/>
      <c r="W113" s="460"/>
      <c r="X113" s="482"/>
      <c r="Y113" s="482"/>
      <c r="Z113" s="482"/>
      <c r="AA113" s="482"/>
      <c r="AB113" s="482"/>
      <c r="AC113" s="482"/>
      <c r="AD113" s="244"/>
      <c r="AE113" s="244"/>
      <c r="AF113" s="244"/>
      <c r="AG113" s="244"/>
      <c r="AH113" s="244"/>
      <c r="AI113" s="244"/>
      <c r="AJ113" s="244"/>
      <c r="AK113" s="457"/>
      <c r="AL113" s="457"/>
      <c r="AM113" s="1519" t="s">
        <v>1327</v>
      </c>
      <c r="AN113" s="1519" t="s">
        <v>1328</v>
      </c>
    </row>
    <row r="114" spans="1:40" ht="15" customHeight="1">
      <c r="A114" s="1432"/>
      <c r="B114" s="480" t="s">
        <v>438</v>
      </c>
      <c r="C114" s="448" t="s">
        <v>442</v>
      </c>
      <c r="D114" s="448" t="s">
        <v>439</v>
      </c>
      <c r="E114" s="448" t="s">
        <v>454</v>
      </c>
      <c r="F114" s="448" t="s">
        <v>440</v>
      </c>
      <c r="G114" s="481"/>
      <c r="H114" s="1513"/>
      <c r="I114" s="1476"/>
      <c r="J114" s="1476"/>
      <c r="K114" s="1514"/>
      <c r="L114" s="457"/>
      <c r="M114" s="460"/>
      <c r="N114" s="460"/>
      <c r="O114" s="460"/>
      <c r="P114" s="460"/>
      <c r="Q114" s="460"/>
      <c r="R114" s="460"/>
      <c r="S114" s="460"/>
      <c r="T114" s="460"/>
      <c r="U114" s="460"/>
      <c r="V114" s="460"/>
      <c r="W114" s="460"/>
      <c r="X114" s="482"/>
      <c r="Y114" s="482"/>
      <c r="Z114" s="482"/>
      <c r="AA114" s="482"/>
      <c r="AB114" s="482"/>
      <c r="AC114" s="482"/>
      <c r="AD114" s="244"/>
      <c r="AE114" s="244"/>
      <c r="AF114" s="244"/>
      <c r="AG114" s="244"/>
      <c r="AH114" s="244"/>
      <c r="AI114" s="244"/>
      <c r="AJ114" s="244"/>
      <c r="AK114" s="457"/>
      <c r="AL114" s="457"/>
      <c r="AM114" s="1520"/>
      <c r="AN114" s="1520"/>
    </row>
    <row r="115" spans="1:40" ht="15" customHeight="1">
      <c r="A115" s="1431" t="s">
        <v>1021</v>
      </c>
      <c r="B115" s="1518" t="s">
        <v>1795</v>
      </c>
      <c r="C115" s="1518"/>
      <c r="D115" s="1518"/>
      <c r="E115" s="1518"/>
      <c r="F115" s="1518"/>
      <c r="G115" s="1518"/>
      <c r="H115" s="1513"/>
      <c r="I115" s="1475"/>
      <c r="J115" s="1475"/>
      <c r="K115" s="1425">
        <v>69.819999999999993</v>
      </c>
      <c r="L115" s="457"/>
      <c r="M115" s="460"/>
      <c r="N115" s="460"/>
      <c r="O115" s="460"/>
      <c r="P115" s="460"/>
      <c r="Q115" s="460"/>
      <c r="R115" s="460"/>
      <c r="S115" s="460"/>
      <c r="T115" s="460"/>
      <c r="U115" s="460"/>
      <c r="V115" s="460"/>
      <c r="W115" s="460"/>
      <c r="X115" s="482"/>
      <c r="Y115" s="482"/>
      <c r="Z115" s="482"/>
      <c r="AA115" s="482"/>
      <c r="AB115" s="482"/>
      <c r="AC115" s="482"/>
      <c r="AD115" s="244"/>
      <c r="AE115" s="244"/>
      <c r="AF115" s="244"/>
      <c r="AG115" s="244"/>
      <c r="AH115" s="244"/>
      <c r="AI115" s="244"/>
      <c r="AJ115" s="244"/>
      <c r="AK115" s="457"/>
      <c r="AL115" s="457"/>
      <c r="AM115" s="1519" t="s">
        <v>1327</v>
      </c>
      <c r="AN115" s="1519" t="s">
        <v>1328</v>
      </c>
    </row>
    <row r="116" spans="1:40" ht="15" customHeight="1">
      <c r="A116" s="1432"/>
      <c r="B116" s="480" t="s">
        <v>438</v>
      </c>
      <c r="C116" s="448" t="s">
        <v>446</v>
      </c>
      <c r="D116" s="448" t="s">
        <v>439</v>
      </c>
      <c r="E116" s="448" t="s">
        <v>453</v>
      </c>
      <c r="F116" s="448" t="s">
        <v>440</v>
      </c>
      <c r="G116" s="481"/>
      <c r="H116" s="1513"/>
      <c r="I116" s="1476"/>
      <c r="J116" s="1476"/>
      <c r="K116" s="1514"/>
      <c r="L116" s="457"/>
      <c r="M116" s="460"/>
      <c r="N116" s="460"/>
      <c r="O116" s="460"/>
      <c r="P116" s="460"/>
      <c r="Q116" s="460"/>
      <c r="R116" s="460"/>
      <c r="S116" s="460"/>
      <c r="T116" s="460"/>
      <c r="U116" s="460"/>
      <c r="V116" s="460"/>
      <c r="W116" s="460"/>
      <c r="X116" s="482"/>
      <c r="Y116" s="482"/>
      <c r="Z116" s="482"/>
      <c r="AA116" s="482"/>
      <c r="AB116" s="482"/>
      <c r="AC116" s="482"/>
      <c r="AD116" s="244"/>
      <c r="AE116" s="244"/>
      <c r="AF116" s="244"/>
      <c r="AG116" s="244"/>
      <c r="AH116" s="244"/>
      <c r="AI116" s="244"/>
      <c r="AJ116" s="244"/>
      <c r="AK116" s="457"/>
      <c r="AL116" s="457"/>
      <c r="AM116" s="1520"/>
      <c r="AN116" s="1520"/>
    </row>
    <row r="117" spans="1:40" ht="15" customHeight="1">
      <c r="A117" s="1431" t="s">
        <v>1023</v>
      </c>
      <c r="B117" s="1518" t="s">
        <v>1796</v>
      </c>
      <c r="C117" s="1518"/>
      <c r="D117" s="1518"/>
      <c r="E117" s="1518"/>
      <c r="F117" s="1518"/>
      <c r="G117" s="1518"/>
      <c r="H117" s="1513"/>
      <c r="I117" s="1475"/>
      <c r="J117" s="1475"/>
      <c r="K117" s="1425"/>
      <c r="L117" s="457"/>
      <c r="M117" s="460"/>
      <c r="N117" s="460"/>
      <c r="O117" s="460"/>
      <c r="P117" s="460"/>
      <c r="Q117" s="460"/>
      <c r="R117" s="460"/>
      <c r="S117" s="460"/>
      <c r="T117" s="460"/>
      <c r="U117" s="460"/>
      <c r="V117" s="460"/>
      <c r="W117" s="460"/>
      <c r="X117" s="482"/>
      <c r="Y117" s="482"/>
      <c r="Z117" s="482"/>
      <c r="AA117" s="482"/>
      <c r="AB117" s="482"/>
      <c r="AC117" s="482"/>
      <c r="AD117" s="244"/>
      <c r="AE117" s="244"/>
      <c r="AF117" s="244"/>
      <c r="AG117" s="244"/>
      <c r="AH117" s="244"/>
      <c r="AI117" s="244"/>
      <c r="AJ117" s="244"/>
      <c r="AK117" s="457"/>
      <c r="AL117" s="457"/>
      <c r="AM117" s="1519" t="s">
        <v>1327</v>
      </c>
      <c r="AN117" s="1519" t="s">
        <v>1328</v>
      </c>
    </row>
    <row r="118" spans="1:40" ht="15" customHeight="1">
      <c r="A118" s="1432"/>
      <c r="B118" s="480" t="s">
        <v>438</v>
      </c>
      <c r="C118" s="448" t="s">
        <v>442</v>
      </c>
      <c r="D118" s="448" t="s">
        <v>439</v>
      </c>
      <c r="E118" s="448" t="s">
        <v>674</v>
      </c>
      <c r="F118" s="448" t="s">
        <v>440</v>
      </c>
      <c r="G118" s="481"/>
      <c r="H118" s="1513"/>
      <c r="I118" s="1476"/>
      <c r="J118" s="1476"/>
      <c r="K118" s="1514"/>
      <c r="L118" s="457"/>
      <c r="M118" s="460"/>
      <c r="N118" s="460"/>
      <c r="O118" s="460"/>
      <c r="P118" s="460"/>
      <c r="Q118" s="460"/>
      <c r="R118" s="460"/>
      <c r="S118" s="460"/>
      <c r="T118" s="460"/>
      <c r="U118" s="460"/>
      <c r="V118" s="460"/>
      <c r="W118" s="460"/>
      <c r="X118" s="482"/>
      <c r="Y118" s="482"/>
      <c r="Z118" s="482"/>
      <c r="AA118" s="482"/>
      <c r="AB118" s="482"/>
      <c r="AC118" s="482"/>
      <c r="AD118" s="244"/>
      <c r="AE118" s="244"/>
      <c r="AF118" s="244"/>
      <c r="AG118" s="244"/>
      <c r="AH118" s="244"/>
      <c r="AI118" s="244"/>
      <c r="AJ118" s="244"/>
      <c r="AK118" s="457"/>
      <c r="AL118" s="457"/>
      <c r="AM118" s="1520"/>
      <c r="AN118" s="1520"/>
    </row>
    <row r="119" spans="1:40" ht="15" customHeight="1">
      <c r="A119" s="1431" t="s">
        <v>1025</v>
      </c>
      <c r="B119" s="1518" t="s">
        <v>1797</v>
      </c>
      <c r="C119" s="1518"/>
      <c r="D119" s="1518"/>
      <c r="E119" s="1518"/>
      <c r="F119" s="1518"/>
      <c r="G119" s="1518"/>
      <c r="H119" s="1513"/>
      <c r="I119" s="1475"/>
      <c r="J119" s="1475"/>
      <c r="K119" s="1425"/>
      <c r="L119" s="457"/>
      <c r="M119" s="460"/>
      <c r="N119" s="460"/>
      <c r="O119" s="460"/>
      <c r="P119" s="460"/>
      <c r="Q119" s="460"/>
      <c r="R119" s="460"/>
      <c r="S119" s="460"/>
      <c r="T119" s="460"/>
      <c r="U119" s="460"/>
      <c r="V119" s="460"/>
      <c r="W119" s="460"/>
      <c r="X119" s="482"/>
      <c r="Y119" s="482"/>
      <c r="Z119" s="482"/>
      <c r="AA119" s="482"/>
      <c r="AB119" s="482"/>
      <c r="AC119" s="482"/>
      <c r="AD119" s="244"/>
      <c r="AE119" s="244"/>
      <c r="AF119" s="244"/>
      <c r="AG119" s="244"/>
      <c r="AH119" s="244"/>
      <c r="AI119" s="244"/>
      <c r="AJ119" s="244"/>
      <c r="AK119" s="457"/>
      <c r="AL119" s="457"/>
      <c r="AM119" s="1519" t="s">
        <v>1327</v>
      </c>
      <c r="AN119" s="1519" t="s">
        <v>1328</v>
      </c>
    </row>
    <row r="120" spans="1:40" ht="15" customHeight="1">
      <c r="A120" s="1432"/>
      <c r="B120" s="480" t="s">
        <v>438</v>
      </c>
      <c r="C120" s="448" t="s">
        <v>442</v>
      </c>
      <c r="D120" s="448" t="s">
        <v>439</v>
      </c>
      <c r="E120" s="448" t="s">
        <v>670</v>
      </c>
      <c r="F120" s="448" t="s">
        <v>440</v>
      </c>
      <c r="G120" s="481"/>
      <c r="H120" s="1513"/>
      <c r="I120" s="1476"/>
      <c r="J120" s="1476"/>
      <c r="K120" s="1514"/>
      <c r="L120" s="457"/>
      <c r="M120" s="460"/>
      <c r="N120" s="460"/>
      <c r="O120" s="460"/>
      <c r="P120" s="460"/>
      <c r="Q120" s="460"/>
      <c r="R120" s="460"/>
      <c r="S120" s="460"/>
      <c r="T120" s="460"/>
      <c r="U120" s="460"/>
      <c r="V120" s="460"/>
      <c r="W120" s="460"/>
      <c r="X120" s="482"/>
      <c r="Y120" s="482"/>
      <c r="Z120" s="482"/>
      <c r="AA120" s="482"/>
      <c r="AB120" s="482"/>
      <c r="AC120" s="482"/>
      <c r="AD120" s="244"/>
      <c r="AE120" s="244"/>
      <c r="AF120" s="244"/>
      <c r="AG120" s="244"/>
      <c r="AH120" s="244"/>
      <c r="AI120" s="244"/>
      <c r="AJ120" s="244"/>
      <c r="AK120" s="457"/>
      <c r="AL120" s="457"/>
      <c r="AM120" s="1520"/>
      <c r="AN120" s="1520"/>
    </row>
    <row r="121" spans="1:40" ht="15" customHeight="1">
      <c r="A121" s="1431" t="s">
        <v>1027</v>
      </c>
      <c r="B121" s="1518" t="s">
        <v>1798</v>
      </c>
      <c r="C121" s="1518"/>
      <c r="D121" s="1518"/>
      <c r="E121" s="1518"/>
      <c r="F121" s="1518"/>
      <c r="G121" s="1518"/>
      <c r="H121" s="1513"/>
      <c r="I121" s="1475"/>
      <c r="J121" s="1475"/>
      <c r="K121" s="1425"/>
      <c r="L121" s="457"/>
      <c r="M121" s="460"/>
      <c r="N121" s="460"/>
      <c r="O121" s="460"/>
      <c r="P121" s="460"/>
      <c r="Q121" s="460"/>
      <c r="R121" s="460"/>
      <c r="S121" s="460"/>
      <c r="T121" s="460"/>
      <c r="U121" s="460"/>
      <c r="V121" s="460"/>
      <c r="W121" s="460"/>
      <c r="X121" s="482"/>
      <c r="Y121" s="482"/>
      <c r="Z121" s="482"/>
      <c r="AA121" s="482"/>
      <c r="AB121" s="482"/>
      <c r="AC121" s="482"/>
      <c r="AD121" s="244"/>
      <c r="AE121" s="244"/>
      <c r="AF121" s="244"/>
      <c r="AG121" s="244"/>
      <c r="AH121" s="244"/>
      <c r="AI121" s="244"/>
      <c r="AJ121" s="244"/>
      <c r="AK121" s="457"/>
      <c r="AL121" s="457"/>
      <c r="AM121" s="1519" t="s">
        <v>1327</v>
      </c>
      <c r="AN121" s="1519" t="s">
        <v>1328</v>
      </c>
    </row>
    <row r="122" spans="1:40" ht="15" customHeight="1">
      <c r="A122" s="1432"/>
      <c r="B122" s="480" t="s">
        <v>438</v>
      </c>
      <c r="C122" s="448" t="s">
        <v>446</v>
      </c>
      <c r="D122" s="448" t="s">
        <v>439</v>
      </c>
      <c r="E122" s="448" t="s">
        <v>685</v>
      </c>
      <c r="F122" s="448" t="s">
        <v>440</v>
      </c>
      <c r="G122" s="481"/>
      <c r="H122" s="1513"/>
      <c r="I122" s="1476"/>
      <c r="J122" s="1476"/>
      <c r="K122" s="1514"/>
      <c r="L122" s="457"/>
      <c r="M122" s="460"/>
      <c r="N122" s="460"/>
      <c r="O122" s="460"/>
      <c r="P122" s="460"/>
      <c r="Q122" s="460"/>
      <c r="R122" s="460"/>
      <c r="S122" s="460"/>
      <c r="T122" s="460"/>
      <c r="U122" s="460"/>
      <c r="V122" s="460"/>
      <c r="W122" s="460"/>
      <c r="X122" s="482"/>
      <c r="Y122" s="482"/>
      <c r="Z122" s="482"/>
      <c r="AA122" s="482"/>
      <c r="AB122" s="482"/>
      <c r="AC122" s="482"/>
      <c r="AD122" s="244"/>
      <c r="AE122" s="244"/>
      <c r="AF122" s="244"/>
      <c r="AG122" s="244"/>
      <c r="AH122" s="244"/>
      <c r="AI122" s="244"/>
      <c r="AJ122" s="244"/>
      <c r="AK122" s="457"/>
      <c r="AL122" s="457"/>
      <c r="AM122" s="1520"/>
      <c r="AN122" s="1520"/>
    </row>
    <row r="123" spans="1:40" ht="15" customHeight="1">
      <c r="A123" s="1431" t="s">
        <v>1029</v>
      </c>
      <c r="B123" s="1518" t="s">
        <v>1799</v>
      </c>
      <c r="C123" s="1518"/>
      <c r="D123" s="1518"/>
      <c r="E123" s="1518"/>
      <c r="F123" s="1518"/>
      <c r="G123" s="1518"/>
      <c r="H123" s="1513"/>
      <c r="I123" s="1475"/>
      <c r="J123" s="1475"/>
      <c r="K123" s="1425"/>
      <c r="L123" s="457"/>
      <c r="M123" s="460"/>
      <c r="N123" s="460"/>
      <c r="O123" s="460"/>
      <c r="P123" s="460"/>
      <c r="Q123" s="460"/>
      <c r="R123" s="460"/>
      <c r="S123" s="460"/>
      <c r="T123" s="460"/>
      <c r="U123" s="460"/>
      <c r="V123" s="460"/>
      <c r="W123" s="460"/>
      <c r="X123" s="482"/>
      <c r="Y123" s="482"/>
      <c r="Z123" s="482"/>
      <c r="AA123" s="482"/>
      <c r="AB123" s="482"/>
      <c r="AC123" s="482"/>
      <c r="AD123" s="244"/>
      <c r="AE123" s="244"/>
      <c r="AF123" s="244"/>
      <c r="AG123" s="244"/>
      <c r="AH123" s="244"/>
      <c r="AI123" s="244"/>
      <c r="AJ123" s="244"/>
      <c r="AK123" s="457"/>
      <c r="AL123" s="457"/>
      <c r="AM123" s="1519" t="s">
        <v>1327</v>
      </c>
      <c r="AN123" s="1519" t="s">
        <v>1328</v>
      </c>
    </row>
    <row r="124" spans="1:40" ht="15" customHeight="1">
      <c r="A124" s="1432"/>
      <c r="B124" s="480" t="s">
        <v>438</v>
      </c>
      <c r="C124" s="448" t="s">
        <v>446</v>
      </c>
      <c r="D124" s="448" t="s">
        <v>439</v>
      </c>
      <c r="E124" s="448" t="s">
        <v>697</v>
      </c>
      <c r="F124" s="448" t="s">
        <v>440</v>
      </c>
      <c r="G124" s="481"/>
      <c r="H124" s="1513"/>
      <c r="I124" s="1476"/>
      <c r="J124" s="1476"/>
      <c r="K124" s="1514"/>
      <c r="L124" s="457"/>
      <c r="M124" s="460"/>
      <c r="N124" s="460"/>
      <c r="O124" s="460"/>
      <c r="P124" s="460"/>
      <c r="Q124" s="460"/>
      <c r="R124" s="460"/>
      <c r="S124" s="460"/>
      <c r="T124" s="460"/>
      <c r="U124" s="460"/>
      <c r="V124" s="460"/>
      <c r="W124" s="460"/>
      <c r="X124" s="482"/>
      <c r="Y124" s="482"/>
      <c r="Z124" s="482"/>
      <c r="AA124" s="482"/>
      <c r="AB124" s="482"/>
      <c r="AC124" s="482"/>
      <c r="AD124" s="244"/>
      <c r="AE124" s="244"/>
      <c r="AF124" s="244"/>
      <c r="AG124" s="244"/>
      <c r="AH124" s="244"/>
      <c r="AI124" s="244"/>
      <c r="AJ124" s="244"/>
      <c r="AK124" s="457"/>
      <c r="AL124" s="457"/>
      <c r="AM124" s="1520"/>
      <c r="AN124" s="1520"/>
    </row>
    <row r="125" spans="1:40" ht="15" customHeight="1">
      <c r="A125" s="1431" t="s">
        <v>1031</v>
      </c>
      <c r="B125" s="1518" t="s">
        <v>1800</v>
      </c>
      <c r="C125" s="1518"/>
      <c r="D125" s="1518"/>
      <c r="E125" s="1518"/>
      <c r="F125" s="1518"/>
      <c r="G125" s="1518"/>
      <c r="H125" s="1513"/>
      <c r="I125" s="1475"/>
      <c r="J125" s="1475"/>
      <c r="K125" s="1425"/>
      <c r="L125" s="457"/>
      <c r="M125" s="460"/>
      <c r="N125" s="460"/>
      <c r="O125" s="460"/>
      <c r="P125" s="460"/>
      <c r="Q125" s="460"/>
      <c r="R125" s="460"/>
      <c r="S125" s="460"/>
      <c r="T125" s="460"/>
      <c r="U125" s="460"/>
      <c r="V125" s="460"/>
      <c r="W125" s="460"/>
      <c r="X125" s="482"/>
      <c r="Y125" s="482"/>
      <c r="Z125" s="482"/>
      <c r="AA125" s="482"/>
      <c r="AB125" s="482"/>
      <c r="AC125" s="482"/>
      <c r="AD125" s="244"/>
      <c r="AE125" s="244"/>
      <c r="AF125" s="244"/>
      <c r="AG125" s="244"/>
      <c r="AH125" s="244"/>
      <c r="AI125" s="244"/>
      <c r="AJ125" s="244"/>
      <c r="AK125" s="457"/>
      <c r="AL125" s="457"/>
      <c r="AM125" s="1519" t="s">
        <v>1327</v>
      </c>
      <c r="AN125" s="1519" t="s">
        <v>1328</v>
      </c>
    </row>
    <row r="126" spans="1:40" ht="15" customHeight="1">
      <c r="A126" s="1432"/>
      <c r="B126" s="480" t="s">
        <v>438</v>
      </c>
      <c r="C126" s="448" t="s">
        <v>446</v>
      </c>
      <c r="D126" s="448" t="s">
        <v>439</v>
      </c>
      <c r="E126" s="448" t="s">
        <v>1801</v>
      </c>
      <c r="F126" s="448" t="s">
        <v>440</v>
      </c>
      <c r="G126" s="481"/>
      <c r="H126" s="1513"/>
      <c r="I126" s="1476"/>
      <c r="J126" s="1476"/>
      <c r="K126" s="1514"/>
      <c r="L126" s="457"/>
      <c r="M126" s="460"/>
      <c r="N126" s="460"/>
      <c r="O126" s="460"/>
      <c r="P126" s="460"/>
      <c r="Q126" s="460"/>
      <c r="R126" s="460"/>
      <c r="S126" s="460"/>
      <c r="T126" s="460"/>
      <c r="U126" s="460"/>
      <c r="V126" s="460"/>
      <c r="W126" s="460"/>
      <c r="X126" s="482"/>
      <c r="Y126" s="482"/>
      <c r="Z126" s="482"/>
      <c r="AA126" s="482"/>
      <c r="AB126" s="482"/>
      <c r="AC126" s="482"/>
      <c r="AD126" s="244"/>
      <c r="AE126" s="244"/>
      <c r="AF126" s="244"/>
      <c r="AG126" s="244"/>
      <c r="AH126" s="244"/>
      <c r="AI126" s="244"/>
      <c r="AJ126" s="244"/>
      <c r="AK126" s="457"/>
      <c r="AL126" s="457"/>
      <c r="AM126" s="1520"/>
      <c r="AN126" s="1520"/>
    </row>
    <row r="127" spans="1:40" ht="15" customHeight="1">
      <c r="A127" s="1431" t="s">
        <v>1033</v>
      </c>
      <c r="B127" s="1518" t="s">
        <v>1802</v>
      </c>
      <c r="C127" s="1518"/>
      <c r="D127" s="1518"/>
      <c r="E127" s="1518"/>
      <c r="F127" s="1518"/>
      <c r="G127" s="1518"/>
      <c r="H127" s="1513"/>
      <c r="I127" s="1475"/>
      <c r="J127" s="1475"/>
      <c r="K127" s="1425"/>
      <c r="L127" s="457"/>
      <c r="M127" s="460"/>
      <c r="N127" s="460"/>
      <c r="O127" s="460"/>
      <c r="P127" s="460"/>
      <c r="Q127" s="460"/>
      <c r="R127" s="460"/>
      <c r="S127" s="460"/>
      <c r="T127" s="460"/>
      <c r="U127" s="460"/>
      <c r="V127" s="460"/>
      <c r="W127" s="460"/>
      <c r="X127" s="482"/>
      <c r="Y127" s="482"/>
      <c r="Z127" s="482"/>
      <c r="AA127" s="482"/>
      <c r="AB127" s="482"/>
      <c r="AC127" s="482"/>
      <c r="AD127" s="244"/>
      <c r="AE127" s="244"/>
      <c r="AF127" s="244"/>
      <c r="AG127" s="244"/>
      <c r="AH127" s="244"/>
      <c r="AI127" s="244"/>
      <c r="AJ127" s="244"/>
      <c r="AK127" s="457"/>
      <c r="AL127" s="457"/>
      <c r="AM127" s="1519" t="s">
        <v>1327</v>
      </c>
      <c r="AN127" s="1519" t="s">
        <v>1328</v>
      </c>
    </row>
    <row r="128" spans="1:40" ht="15" customHeight="1">
      <c r="A128" s="1432"/>
      <c r="B128" s="480" t="s">
        <v>438</v>
      </c>
      <c r="C128" s="448" t="s">
        <v>446</v>
      </c>
      <c r="D128" s="448" t="s">
        <v>439</v>
      </c>
      <c r="E128" s="448" t="s">
        <v>450</v>
      </c>
      <c r="F128" s="448" t="s">
        <v>440</v>
      </c>
      <c r="G128" s="481"/>
      <c r="H128" s="1513"/>
      <c r="I128" s="1476"/>
      <c r="J128" s="1476"/>
      <c r="K128" s="1514"/>
      <c r="L128" s="457"/>
      <c r="M128" s="460"/>
      <c r="N128" s="460"/>
      <c r="O128" s="460"/>
      <c r="P128" s="460"/>
      <c r="Q128" s="460"/>
      <c r="R128" s="460"/>
      <c r="S128" s="460"/>
      <c r="T128" s="460"/>
      <c r="U128" s="460"/>
      <c r="V128" s="460"/>
      <c r="W128" s="460"/>
      <c r="X128" s="482"/>
      <c r="Y128" s="482"/>
      <c r="Z128" s="482"/>
      <c r="AA128" s="482"/>
      <c r="AB128" s="482"/>
      <c r="AC128" s="482"/>
      <c r="AD128" s="244"/>
      <c r="AE128" s="244"/>
      <c r="AF128" s="244"/>
      <c r="AG128" s="244"/>
      <c r="AH128" s="244"/>
      <c r="AI128" s="244"/>
      <c r="AJ128" s="244"/>
      <c r="AK128" s="457"/>
      <c r="AL128" s="457"/>
      <c r="AM128" s="1520"/>
      <c r="AN128" s="1520"/>
    </row>
    <row r="129" spans="1:40" ht="15" customHeight="1">
      <c r="A129" s="1431" t="s">
        <v>1023</v>
      </c>
      <c r="B129" s="1518" t="s">
        <v>1803</v>
      </c>
      <c r="C129" s="1518"/>
      <c r="D129" s="1518"/>
      <c r="E129" s="1518"/>
      <c r="F129" s="1518"/>
      <c r="G129" s="1518"/>
      <c r="H129" s="1513"/>
      <c r="I129" s="1475"/>
      <c r="J129" s="1475"/>
      <c r="K129" s="1425">
        <v>136.285</v>
      </c>
      <c r="L129" s="457"/>
      <c r="M129" s="460"/>
      <c r="N129" s="460"/>
      <c r="O129" s="460"/>
      <c r="P129" s="460"/>
      <c r="Q129" s="460"/>
      <c r="R129" s="460"/>
      <c r="S129" s="460"/>
      <c r="T129" s="460"/>
      <c r="U129" s="460"/>
      <c r="V129" s="460"/>
      <c r="W129" s="460"/>
      <c r="X129" s="482"/>
      <c r="Y129" s="482"/>
      <c r="Z129" s="482"/>
      <c r="AA129" s="482"/>
      <c r="AB129" s="482"/>
      <c r="AC129" s="482"/>
      <c r="AD129" s="244"/>
      <c r="AE129" s="244"/>
      <c r="AF129" s="244"/>
      <c r="AG129" s="244"/>
      <c r="AH129" s="244"/>
      <c r="AI129" s="244"/>
      <c r="AJ129" s="244"/>
      <c r="AK129" s="457"/>
      <c r="AL129" s="457"/>
      <c r="AM129" s="1519" t="s">
        <v>1327</v>
      </c>
      <c r="AN129" s="1519" t="s">
        <v>1328</v>
      </c>
    </row>
    <row r="130" spans="1:40" ht="15" customHeight="1">
      <c r="A130" s="1432"/>
      <c r="B130" s="480" t="s">
        <v>438</v>
      </c>
      <c r="C130" s="448" t="s">
        <v>446</v>
      </c>
      <c r="D130" s="448" t="s">
        <v>439</v>
      </c>
      <c r="E130" s="448" t="s">
        <v>448</v>
      </c>
      <c r="F130" s="448" t="s">
        <v>440</v>
      </c>
      <c r="G130" s="481"/>
      <c r="H130" s="1513"/>
      <c r="I130" s="1476"/>
      <c r="J130" s="1476"/>
      <c r="K130" s="1514"/>
      <c r="L130" s="457"/>
      <c r="M130" s="460"/>
      <c r="N130" s="460"/>
      <c r="O130" s="460"/>
      <c r="P130" s="460"/>
      <c r="Q130" s="460"/>
      <c r="R130" s="460"/>
      <c r="S130" s="460"/>
      <c r="T130" s="460"/>
      <c r="U130" s="460"/>
      <c r="V130" s="460"/>
      <c r="W130" s="460"/>
      <c r="X130" s="482"/>
      <c r="Y130" s="482"/>
      <c r="Z130" s="482"/>
      <c r="AA130" s="482"/>
      <c r="AB130" s="482"/>
      <c r="AC130" s="482"/>
      <c r="AD130" s="244"/>
      <c r="AE130" s="244"/>
      <c r="AF130" s="244"/>
      <c r="AG130" s="244"/>
      <c r="AH130" s="244"/>
      <c r="AI130" s="244"/>
      <c r="AJ130" s="244"/>
      <c r="AK130" s="457"/>
      <c r="AL130" s="457"/>
      <c r="AM130" s="1520"/>
      <c r="AN130" s="1520"/>
    </row>
    <row r="131" spans="1:40" ht="15" customHeight="1">
      <c r="A131" s="1431" t="s">
        <v>1025</v>
      </c>
      <c r="B131" s="1518" t="s">
        <v>1804</v>
      </c>
      <c r="C131" s="1518"/>
      <c r="D131" s="1518"/>
      <c r="E131" s="1518"/>
      <c r="F131" s="1518"/>
      <c r="G131" s="1518"/>
      <c r="H131" s="1513"/>
      <c r="I131" s="1475"/>
      <c r="J131" s="1475"/>
      <c r="K131" s="1425">
        <v>93.596000000000004</v>
      </c>
      <c r="L131" s="457"/>
      <c r="M131" s="460"/>
      <c r="N131" s="460"/>
      <c r="O131" s="460"/>
      <c r="P131" s="460"/>
      <c r="Q131" s="460"/>
      <c r="R131" s="460"/>
      <c r="S131" s="460"/>
      <c r="T131" s="460"/>
      <c r="U131" s="460"/>
      <c r="V131" s="460"/>
      <c r="W131" s="460"/>
      <c r="X131" s="482"/>
      <c r="Y131" s="482"/>
      <c r="Z131" s="482"/>
      <c r="AA131" s="482"/>
      <c r="AB131" s="482"/>
      <c r="AC131" s="482"/>
      <c r="AD131" s="244"/>
      <c r="AE131" s="244"/>
      <c r="AF131" s="244"/>
      <c r="AG131" s="244"/>
      <c r="AH131" s="244"/>
      <c r="AI131" s="244"/>
      <c r="AJ131" s="244"/>
      <c r="AK131" s="457"/>
      <c r="AL131" s="457"/>
      <c r="AM131" s="1519" t="s">
        <v>1327</v>
      </c>
      <c r="AN131" s="1519" t="s">
        <v>1328</v>
      </c>
    </row>
    <row r="132" spans="1:40" ht="15" customHeight="1">
      <c r="A132" s="1432"/>
      <c r="B132" s="480" t="s">
        <v>438</v>
      </c>
      <c r="C132" s="448" t="s">
        <v>450</v>
      </c>
      <c r="D132" s="448" t="s">
        <v>439</v>
      </c>
      <c r="E132" s="448" t="s">
        <v>453</v>
      </c>
      <c r="F132" s="448" t="s">
        <v>440</v>
      </c>
      <c r="G132" s="481"/>
      <c r="H132" s="1513"/>
      <c r="I132" s="1476"/>
      <c r="J132" s="1476"/>
      <c r="K132" s="1514"/>
      <c r="L132" s="457"/>
      <c r="M132" s="460"/>
      <c r="N132" s="460"/>
      <c r="O132" s="460"/>
      <c r="P132" s="460"/>
      <c r="Q132" s="460"/>
      <c r="R132" s="460"/>
      <c r="S132" s="460"/>
      <c r="T132" s="460"/>
      <c r="U132" s="460"/>
      <c r="V132" s="460"/>
      <c r="W132" s="460"/>
      <c r="X132" s="482"/>
      <c r="Y132" s="482"/>
      <c r="Z132" s="482"/>
      <c r="AA132" s="482"/>
      <c r="AB132" s="482"/>
      <c r="AC132" s="482"/>
      <c r="AD132" s="244"/>
      <c r="AE132" s="244"/>
      <c r="AF132" s="244"/>
      <c r="AG132" s="244"/>
      <c r="AH132" s="244"/>
      <c r="AI132" s="244"/>
      <c r="AJ132" s="244"/>
      <c r="AK132" s="457"/>
      <c r="AL132" s="457"/>
      <c r="AM132" s="1520"/>
      <c r="AN132" s="1520"/>
    </row>
    <row r="133" spans="1:40" ht="15" customHeight="1">
      <c r="A133" s="1431" t="s">
        <v>1027</v>
      </c>
      <c r="B133" s="1518" t="s">
        <v>1805</v>
      </c>
      <c r="C133" s="1518"/>
      <c r="D133" s="1518"/>
      <c r="E133" s="1518"/>
      <c r="F133" s="1518"/>
      <c r="G133" s="1518"/>
      <c r="H133" s="1513"/>
      <c r="I133" s="1475"/>
      <c r="J133" s="1475"/>
      <c r="K133" s="1425">
        <v>155.381</v>
      </c>
      <c r="L133" s="457"/>
      <c r="M133" s="460"/>
      <c r="N133" s="460"/>
      <c r="O133" s="460"/>
      <c r="P133" s="460"/>
      <c r="Q133" s="460"/>
      <c r="R133" s="460"/>
      <c r="S133" s="460"/>
      <c r="T133" s="460"/>
      <c r="U133" s="460"/>
      <c r="V133" s="460"/>
      <c r="W133" s="460"/>
      <c r="X133" s="482"/>
      <c r="Y133" s="482"/>
      <c r="Z133" s="482"/>
      <c r="AA133" s="482"/>
      <c r="AB133" s="482"/>
      <c r="AC133" s="482"/>
      <c r="AD133" s="244"/>
      <c r="AE133" s="244"/>
      <c r="AF133" s="244"/>
      <c r="AG133" s="244"/>
      <c r="AH133" s="244"/>
      <c r="AI133" s="244"/>
      <c r="AJ133" s="244"/>
      <c r="AK133" s="457"/>
      <c r="AL133" s="457"/>
      <c r="AM133" s="1519" t="s">
        <v>1327</v>
      </c>
      <c r="AN133" s="1519" t="s">
        <v>1328</v>
      </c>
    </row>
    <row r="134" spans="1:40" ht="15" customHeight="1">
      <c r="A134" s="1432"/>
      <c r="B134" s="480" t="s">
        <v>438</v>
      </c>
      <c r="C134" s="448" t="s">
        <v>446</v>
      </c>
      <c r="D134" s="448" t="s">
        <v>439</v>
      </c>
      <c r="E134" s="448" t="s">
        <v>447</v>
      </c>
      <c r="F134" s="448" t="s">
        <v>440</v>
      </c>
      <c r="G134" s="481"/>
      <c r="H134" s="1513"/>
      <c r="I134" s="1476"/>
      <c r="J134" s="1476"/>
      <c r="K134" s="1514"/>
      <c r="L134" s="457"/>
      <c r="M134" s="460"/>
      <c r="N134" s="460"/>
      <c r="O134" s="460"/>
      <c r="P134" s="460"/>
      <c r="Q134" s="460"/>
      <c r="R134" s="460"/>
      <c r="S134" s="460"/>
      <c r="T134" s="460"/>
      <c r="U134" s="460"/>
      <c r="V134" s="460"/>
      <c r="W134" s="460"/>
      <c r="X134" s="482"/>
      <c r="Y134" s="482"/>
      <c r="Z134" s="482"/>
      <c r="AA134" s="482"/>
      <c r="AB134" s="482"/>
      <c r="AC134" s="482"/>
      <c r="AD134" s="244"/>
      <c r="AE134" s="244"/>
      <c r="AF134" s="244"/>
      <c r="AG134" s="244"/>
      <c r="AH134" s="244"/>
      <c r="AI134" s="244"/>
      <c r="AJ134" s="244"/>
      <c r="AK134" s="457"/>
      <c r="AL134" s="457"/>
      <c r="AM134" s="1520"/>
      <c r="AN134" s="1520"/>
    </row>
    <row r="135" spans="1:40" ht="15" customHeight="1">
      <c r="A135" s="1431" t="s">
        <v>1029</v>
      </c>
      <c r="B135" s="1518" t="s">
        <v>1806</v>
      </c>
      <c r="C135" s="1518"/>
      <c r="D135" s="1518"/>
      <c r="E135" s="1518"/>
      <c r="F135" s="1518"/>
      <c r="G135" s="1518"/>
      <c r="H135" s="1513"/>
      <c r="I135" s="1475"/>
      <c r="J135" s="1475"/>
      <c r="K135" s="1425">
        <v>58.853999999999999</v>
      </c>
      <c r="L135" s="457"/>
      <c r="M135" s="460"/>
      <c r="N135" s="460"/>
      <c r="O135" s="460"/>
      <c r="P135" s="460"/>
      <c r="Q135" s="460"/>
      <c r="R135" s="460"/>
      <c r="S135" s="460"/>
      <c r="T135" s="460"/>
      <c r="U135" s="460"/>
      <c r="V135" s="460"/>
      <c r="W135" s="460"/>
      <c r="X135" s="482"/>
      <c r="Y135" s="482"/>
      <c r="Z135" s="482"/>
      <c r="AA135" s="482"/>
      <c r="AB135" s="482"/>
      <c r="AC135" s="482"/>
      <c r="AD135" s="244"/>
      <c r="AE135" s="244"/>
      <c r="AF135" s="244"/>
      <c r="AG135" s="244"/>
      <c r="AH135" s="244"/>
      <c r="AI135" s="244"/>
      <c r="AJ135" s="244"/>
      <c r="AK135" s="457"/>
      <c r="AL135" s="457"/>
      <c r="AM135" s="1519" t="s">
        <v>1327</v>
      </c>
      <c r="AN135" s="1519" t="s">
        <v>1328</v>
      </c>
    </row>
    <row r="136" spans="1:40" ht="15" customHeight="1">
      <c r="A136" s="1432"/>
      <c r="B136" s="480" t="s">
        <v>438</v>
      </c>
      <c r="C136" s="448" t="s">
        <v>446</v>
      </c>
      <c r="D136" s="448" t="s">
        <v>439</v>
      </c>
      <c r="E136" s="448" t="s">
        <v>695</v>
      </c>
      <c r="F136" s="448" t="s">
        <v>440</v>
      </c>
      <c r="G136" s="481"/>
      <c r="H136" s="1513"/>
      <c r="I136" s="1476"/>
      <c r="J136" s="1476"/>
      <c r="K136" s="1514"/>
      <c r="L136" s="457"/>
      <c r="M136" s="460"/>
      <c r="N136" s="460"/>
      <c r="O136" s="460"/>
      <c r="P136" s="460"/>
      <c r="Q136" s="460"/>
      <c r="R136" s="460"/>
      <c r="S136" s="460"/>
      <c r="T136" s="460"/>
      <c r="U136" s="460"/>
      <c r="V136" s="460"/>
      <c r="W136" s="460"/>
      <c r="X136" s="482"/>
      <c r="Y136" s="482"/>
      <c r="Z136" s="482"/>
      <c r="AA136" s="482"/>
      <c r="AB136" s="482"/>
      <c r="AC136" s="482"/>
      <c r="AD136" s="244"/>
      <c r="AE136" s="244"/>
      <c r="AF136" s="244"/>
      <c r="AG136" s="244"/>
      <c r="AH136" s="244"/>
      <c r="AI136" s="244"/>
      <c r="AJ136" s="244"/>
      <c r="AK136" s="457"/>
      <c r="AL136" s="457"/>
      <c r="AM136" s="1520"/>
      <c r="AN136" s="1520"/>
    </row>
    <row r="137" spans="1:40" ht="15" customHeight="1">
      <c r="A137" s="1431" t="s">
        <v>1031</v>
      </c>
      <c r="B137" s="1518" t="s">
        <v>1807</v>
      </c>
      <c r="C137" s="1518"/>
      <c r="D137" s="1518"/>
      <c r="E137" s="1518"/>
      <c r="F137" s="1518"/>
      <c r="G137" s="1518"/>
      <c r="H137" s="1513"/>
      <c r="I137" s="1475"/>
      <c r="J137" s="1475"/>
      <c r="K137" s="1425">
        <v>88.727000000000004</v>
      </c>
      <c r="L137" s="457"/>
      <c r="M137" s="460"/>
      <c r="N137" s="460"/>
      <c r="O137" s="460"/>
      <c r="P137" s="460"/>
      <c r="Q137" s="460"/>
      <c r="R137" s="460"/>
      <c r="S137" s="460"/>
      <c r="T137" s="460"/>
      <c r="U137" s="460"/>
      <c r="V137" s="460"/>
      <c r="W137" s="460"/>
      <c r="X137" s="482"/>
      <c r="Y137" s="482"/>
      <c r="Z137" s="482"/>
      <c r="AA137" s="482"/>
      <c r="AB137" s="482"/>
      <c r="AC137" s="482"/>
      <c r="AD137" s="244"/>
      <c r="AE137" s="244"/>
      <c r="AF137" s="244"/>
      <c r="AG137" s="244"/>
      <c r="AH137" s="244"/>
      <c r="AI137" s="244"/>
      <c r="AJ137" s="244"/>
      <c r="AK137" s="457"/>
      <c r="AL137" s="457"/>
      <c r="AM137" s="1519" t="s">
        <v>1327</v>
      </c>
      <c r="AN137" s="1519" t="s">
        <v>1328</v>
      </c>
    </row>
    <row r="138" spans="1:40" ht="15" customHeight="1">
      <c r="A138" s="1432"/>
      <c r="B138" s="480" t="s">
        <v>438</v>
      </c>
      <c r="C138" s="448" t="s">
        <v>446</v>
      </c>
      <c r="D138" s="448" t="s">
        <v>439</v>
      </c>
      <c r="E138" s="448" t="s">
        <v>450</v>
      </c>
      <c r="F138" s="448" t="s">
        <v>440</v>
      </c>
      <c r="G138" s="481"/>
      <c r="H138" s="1513"/>
      <c r="I138" s="1476"/>
      <c r="J138" s="1476"/>
      <c r="K138" s="1514"/>
      <c r="L138" s="457"/>
      <c r="M138" s="460"/>
      <c r="N138" s="460"/>
      <c r="O138" s="460"/>
      <c r="P138" s="460"/>
      <c r="Q138" s="460"/>
      <c r="R138" s="460"/>
      <c r="S138" s="460"/>
      <c r="T138" s="460"/>
      <c r="U138" s="460"/>
      <c r="V138" s="460"/>
      <c r="W138" s="460"/>
      <c r="X138" s="482"/>
      <c r="Y138" s="482"/>
      <c r="Z138" s="482"/>
      <c r="AA138" s="482"/>
      <c r="AB138" s="482"/>
      <c r="AC138" s="482"/>
      <c r="AD138" s="244"/>
      <c r="AE138" s="244"/>
      <c r="AF138" s="244"/>
      <c r="AG138" s="244"/>
      <c r="AH138" s="244"/>
      <c r="AI138" s="244"/>
      <c r="AJ138" s="244"/>
      <c r="AK138" s="457"/>
      <c r="AL138" s="457"/>
      <c r="AM138" s="1520"/>
      <c r="AN138" s="1520"/>
    </row>
    <row r="139" spans="1:40" ht="15" customHeight="1">
      <c r="A139" s="1431" t="s">
        <v>1033</v>
      </c>
      <c r="B139" s="1518" t="s">
        <v>1808</v>
      </c>
      <c r="C139" s="1518"/>
      <c r="D139" s="1518"/>
      <c r="E139" s="1518"/>
      <c r="F139" s="1518"/>
      <c r="G139" s="1518"/>
      <c r="H139" s="1513"/>
      <c r="I139" s="1475"/>
      <c r="J139" s="1475"/>
      <c r="K139" s="1425">
        <v>69.290000000000006</v>
      </c>
      <c r="L139" s="457"/>
      <c r="M139" s="460"/>
      <c r="N139" s="460"/>
      <c r="O139" s="460"/>
      <c r="P139" s="460"/>
      <c r="Q139" s="460"/>
      <c r="R139" s="460"/>
      <c r="S139" s="460"/>
      <c r="T139" s="460"/>
      <c r="U139" s="460"/>
      <c r="V139" s="460"/>
      <c r="W139" s="460"/>
      <c r="X139" s="482"/>
      <c r="Y139" s="482"/>
      <c r="Z139" s="482"/>
      <c r="AA139" s="482"/>
      <c r="AB139" s="482"/>
      <c r="AC139" s="482"/>
      <c r="AD139" s="244"/>
      <c r="AE139" s="244"/>
      <c r="AF139" s="244"/>
      <c r="AG139" s="244"/>
      <c r="AH139" s="244"/>
      <c r="AI139" s="244"/>
      <c r="AJ139" s="244"/>
      <c r="AK139" s="457"/>
      <c r="AL139" s="457"/>
      <c r="AM139" s="1519" t="s">
        <v>1327</v>
      </c>
      <c r="AN139" s="1519" t="s">
        <v>1328</v>
      </c>
    </row>
    <row r="140" spans="1:40" ht="15" customHeight="1">
      <c r="A140" s="1432"/>
      <c r="B140" s="480" t="s">
        <v>438</v>
      </c>
      <c r="C140" s="448" t="s">
        <v>442</v>
      </c>
      <c r="D140" s="448" t="s">
        <v>439</v>
      </c>
      <c r="E140" s="448" t="s">
        <v>681</v>
      </c>
      <c r="F140" s="448" t="s">
        <v>440</v>
      </c>
      <c r="G140" s="481"/>
      <c r="H140" s="1513"/>
      <c r="I140" s="1476"/>
      <c r="J140" s="1476"/>
      <c r="K140" s="1514"/>
      <c r="L140" s="457"/>
      <c r="M140" s="460"/>
      <c r="N140" s="460"/>
      <c r="O140" s="460"/>
      <c r="P140" s="460"/>
      <c r="Q140" s="460"/>
      <c r="R140" s="460"/>
      <c r="S140" s="460"/>
      <c r="T140" s="460"/>
      <c r="U140" s="460"/>
      <c r="V140" s="460"/>
      <c r="W140" s="460"/>
      <c r="X140" s="482"/>
      <c r="Y140" s="482"/>
      <c r="Z140" s="482"/>
      <c r="AA140" s="482"/>
      <c r="AB140" s="482"/>
      <c r="AC140" s="482"/>
      <c r="AD140" s="244"/>
      <c r="AE140" s="244"/>
      <c r="AF140" s="244"/>
      <c r="AG140" s="244"/>
      <c r="AH140" s="244"/>
      <c r="AI140" s="244"/>
      <c r="AJ140" s="244"/>
      <c r="AK140" s="457"/>
      <c r="AL140" s="457"/>
      <c r="AM140" s="1520"/>
      <c r="AN140" s="1520"/>
    </row>
    <row r="141" spans="1:40" ht="15" customHeight="1">
      <c r="A141" s="1431" t="s">
        <v>1035</v>
      </c>
      <c r="B141" s="1518" t="s">
        <v>1809</v>
      </c>
      <c r="C141" s="1518"/>
      <c r="D141" s="1518"/>
      <c r="E141" s="1518"/>
      <c r="F141" s="1518"/>
      <c r="G141" s="1518"/>
      <c r="H141" s="1513"/>
      <c r="I141" s="1475"/>
      <c r="J141" s="1475"/>
      <c r="K141" s="1425">
        <v>108.05500000000001</v>
      </c>
      <c r="L141" s="457"/>
      <c r="M141" s="460"/>
      <c r="N141" s="460"/>
      <c r="O141" s="460"/>
      <c r="P141" s="460"/>
      <c r="Q141" s="460"/>
      <c r="R141" s="460"/>
      <c r="S141" s="460"/>
      <c r="T141" s="460"/>
      <c r="U141" s="460"/>
      <c r="V141" s="460"/>
      <c r="W141" s="460"/>
      <c r="X141" s="482"/>
      <c r="Y141" s="482"/>
      <c r="Z141" s="482"/>
      <c r="AA141" s="482"/>
      <c r="AB141" s="482"/>
      <c r="AC141" s="482"/>
      <c r="AD141" s="244"/>
      <c r="AE141" s="244"/>
      <c r="AF141" s="244"/>
      <c r="AG141" s="244"/>
      <c r="AH141" s="244"/>
      <c r="AI141" s="244"/>
      <c r="AJ141" s="244"/>
      <c r="AK141" s="457"/>
      <c r="AL141" s="457"/>
      <c r="AM141" s="1519" t="s">
        <v>1327</v>
      </c>
      <c r="AN141" s="1519" t="s">
        <v>1328</v>
      </c>
    </row>
    <row r="142" spans="1:40" ht="15" customHeight="1">
      <c r="A142" s="1432"/>
      <c r="B142" s="480" t="s">
        <v>438</v>
      </c>
      <c r="C142" s="448" t="s">
        <v>442</v>
      </c>
      <c r="D142" s="448" t="s">
        <v>439</v>
      </c>
      <c r="E142" s="448" t="s">
        <v>457</v>
      </c>
      <c r="F142" s="448" t="s">
        <v>440</v>
      </c>
      <c r="G142" s="481"/>
      <c r="H142" s="1513"/>
      <c r="I142" s="1476"/>
      <c r="J142" s="1476"/>
      <c r="K142" s="1514"/>
      <c r="L142" s="457"/>
      <c r="M142" s="460"/>
      <c r="N142" s="460"/>
      <c r="O142" s="460"/>
      <c r="P142" s="460"/>
      <c r="Q142" s="460"/>
      <c r="R142" s="460"/>
      <c r="S142" s="460"/>
      <c r="T142" s="460"/>
      <c r="U142" s="460"/>
      <c r="V142" s="460"/>
      <c r="W142" s="460"/>
      <c r="X142" s="482"/>
      <c r="Y142" s="482"/>
      <c r="Z142" s="482"/>
      <c r="AA142" s="482"/>
      <c r="AB142" s="482"/>
      <c r="AC142" s="482"/>
      <c r="AD142" s="244"/>
      <c r="AE142" s="244"/>
      <c r="AF142" s="244"/>
      <c r="AG142" s="244"/>
      <c r="AH142" s="244"/>
      <c r="AI142" s="244"/>
      <c r="AJ142" s="244"/>
      <c r="AK142" s="457"/>
      <c r="AL142" s="457"/>
      <c r="AM142" s="1520"/>
      <c r="AN142" s="1520"/>
    </row>
    <row r="143" spans="1:40" ht="15" customHeight="1">
      <c r="A143" s="1431" t="s">
        <v>1037</v>
      </c>
      <c r="B143" s="1518" t="s">
        <v>1810</v>
      </c>
      <c r="C143" s="1518"/>
      <c r="D143" s="1518"/>
      <c r="E143" s="1518"/>
      <c r="F143" s="1518"/>
      <c r="G143" s="1518"/>
      <c r="H143" s="1513"/>
      <c r="I143" s="1475"/>
      <c r="J143" s="1475"/>
      <c r="K143" s="1425">
        <v>59.197000000000003</v>
      </c>
      <c r="L143" s="457"/>
      <c r="M143" s="460"/>
      <c r="N143" s="460"/>
      <c r="O143" s="460"/>
      <c r="P143" s="460"/>
      <c r="Q143" s="460"/>
      <c r="R143" s="460"/>
      <c r="S143" s="460"/>
      <c r="T143" s="460"/>
      <c r="U143" s="460"/>
      <c r="V143" s="460"/>
      <c r="W143" s="460"/>
      <c r="X143" s="482"/>
      <c r="Y143" s="482"/>
      <c r="Z143" s="482"/>
      <c r="AA143" s="482"/>
      <c r="AB143" s="482"/>
      <c r="AC143" s="482"/>
      <c r="AD143" s="244"/>
      <c r="AE143" s="244"/>
      <c r="AF143" s="244"/>
      <c r="AG143" s="244"/>
      <c r="AH143" s="244"/>
      <c r="AI143" s="244"/>
      <c r="AJ143" s="244"/>
      <c r="AK143" s="457"/>
      <c r="AL143" s="457"/>
      <c r="AM143" s="1519" t="s">
        <v>1327</v>
      </c>
      <c r="AN143" s="1519" t="s">
        <v>1328</v>
      </c>
    </row>
    <row r="144" spans="1:40" ht="15" customHeight="1">
      <c r="A144" s="1432"/>
      <c r="B144" s="480" t="s">
        <v>438</v>
      </c>
      <c r="C144" s="448" t="s">
        <v>450</v>
      </c>
      <c r="D144" s="448" t="s">
        <v>439</v>
      </c>
      <c r="E144" s="448" t="s">
        <v>450</v>
      </c>
      <c r="F144" s="448" t="s">
        <v>440</v>
      </c>
      <c r="G144" s="481"/>
      <c r="H144" s="1513"/>
      <c r="I144" s="1476"/>
      <c r="J144" s="1476"/>
      <c r="K144" s="1514"/>
      <c r="L144" s="457"/>
      <c r="M144" s="460"/>
      <c r="N144" s="460"/>
      <c r="O144" s="460"/>
      <c r="P144" s="460"/>
      <c r="Q144" s="460"/>
      <c r="R144" s="460"/>
      <c r="S144" s="460"/>
      <c r="T144" s="460"/>
      <c r="U144" s="460"/>
      <c r="V144" s="460"/>
      <c r="W144" s="460"/>
      <c r="X144" s="482"/>
      <c r="Y144" s="482"/>
      <c r="Z144" s="482"/>
      <c r="AA144" s="482"/>
      <c r="AB144" s="482"/>
      <c r="AC144" s="482"/>
      <c r="AD144" s="244"/>
      <c r="AE144" s="244"/>
      <c r="AF144" s="244"/>
      <c r="AG144" s="244"/>
      <c r="AH144" s="244"/>
      <c r="AI144" s="244"/>
      <c r="AJ144" s="244"/>
      <c r="AK144" s="457"/>
      <c r="AL144" s="457"/>
      <c r="AM144" s="1520"/>
      <c r="AN144" s="1520"/>
    </row>
    <row r="145" spans="1:40" ht="15" customHeight="1">
      <c r="A145" s="1431" t="s">
        <v>1051</v>
      </c>
      <c r="B145" s="1518" t="s">
        <v>1811</v>
      </c>
      <c r="C145" s="1518"/>
      <c r="D145" s="1518"/>
      <c r="E145" s="1518"/>
      <c r="F145" s="1518"/>
      <c r="G145" s="1518"/>
      <c r="H145" s="1513"/>
      <c r="I145" s="1475"/>
      <c r="J145" s="1475"/>
      <c r="K145" s="1425"/>
      <c r="L145" s="457"/>
      <c r="M145" s="460"/>
      <c r="N145" s="460"/>
      <c r="O145" s="460"/>
      <c r="P145" s="460"/>
      <c r="Q145" s="460"/>
      <c r="R145" s="460"/>
      <c r="S145" s="460"/>
      <c r="T145" s="460"/>
      <c r="U145" s="460"/>
      <c r="V145" s="460"/>
      <c r="W145" s="460"/>
      <c r="X145" s="482"/>
      <c r="Y145" s="482"/>
      <c r="Z145" s="482"/>
      <c r="AA145" s="482"/>
      <c r="AB145" s="482"/>
      <c r="AC145" s="482"/>
      <c r="AD145" s="244"/>
      <c r="AE145" s="244"/>
      <c r="AF145" s="244"/>
      <c r="AG145" s="244"/>
      <c r="AH145" s="244"/>
      <c r="AI145" s="244"/>
      <c r="AJ145" s="244"/>
      <c r="AK145" s="457"/>
      <c r="AL145" s="457"/>
      <c r="AM145" s="1519" t="s">
        <v>1327</v>
      </c>
      <c r="AN145" s="1519" t="s">
        <v>1328</v>
      </c>
    </row>
    <row r="146" spans="1:40" ht="15" customHeight="1">
      <c r="A146" s="1432"/>
      <c r="B146" s="480" t="s">
        <v>438</v>
      </c>
      <c r="C146" s="448" t="s">
        <v>442</v>
      </c>
      <c r="D146" s="448" t="s">
        <v>439</v>
      </c>
      <c r="E146" s="448" t="s">
        <v>460</v>
      </c>
      <c r="F146" s="448" t="s">
        <v>440</v>
      </c>
      <c r="G146" s="481"/>
      <c r="H146" s="1513"/>
      <c r="I146" s="1476"/>
      <c r="J146" s="1476"/>
      <c r="K146" s="1514"/>
      <c r="L146" s="457"/>
      <c r="M146" s="460"/>
      <c r="N146" s="460"/>
      <c r="O146" s="460"/>
      <c r="P146" s="460"/>
      <c r="Q146" s="460"/>
      <c r="R146" s="460"/>
      <c r="S146" s="460"/>
      <c r="T146" s="460"/>
      <c r="U146" s="460"/>
      <c r="V146" s="460"/>
      <c r="W146" s="460"/>
      <c r="X146" s="482"/>
      <c r="Y146" s="482"/>
      <c r="Z146" s="482"/>
      <c r="AA146" s="482"/>
      <c r="AB146" s="482"/>
      <c r="AC146" s="482"/>
      <c r="AD146" s="244"/>
      <c r="AE146" s="244"/>
      <c r="AF146" s="244"/>
      <c r="AG146" s="244"/>
      <c r="AH146" s="244"/>
      <c r="AI146" s="244"/>
      <c r="AJ146" s="244"/>
      <c r="AK146" s="457"/>
      <c r="AL146" s="457"/>
      <c r="AM146" s="1520"/>
      <c r="AN146" s="1520"/>
    </row>
    <row r="147" spans="1:40" ht="15" customHeight="1">
      <c r="A147" s="1431"/>
      <c r="B147" s="1518" t="s">
        <v>1812</v>
      </c>
      <c r="C147" s="1518"/>
      <c r="D147" s="1518"/>
      <c r="E147" s="1518"/>
      <c r="F147" s="1518"/>
      <c r="G147" s="1518"/>
      <c r="H147" s="1513"/>
      <c r="I147" s="1475"/>
      <c r="J147" s="1475"/>
      <c r="K147" s="1425"/>
      <c r="L147" s="457"/>
      <c r="M147" s="460"/>
      <c r="N147" s="460"/>
      <c r="O147" s="460"/>
      <c r="P147" s="460"/>
      <c r="Q147" s="460"/>
      <c r="R147" s="460"/>
      <c r="S147" s="460"/>
      <c r="T147" s="460"/>
      <c r="U147" s="460"/>
      <c r="V147" s="460"/>
      <c r="W147" s="460"/>
      <c r="X147" s="482"/>
      <c r="Y147" s="482"/>
      <c r="Z147" s="482"/>
      <c r="AA147" s="482"/>
      <c r="AB147" s="482"/>
      <c r="AC147" s="482"/>
      <c r="AD147" s="244"/>
      <c r="AE147" s="244"/>
      <c r="AF147" s="244"/>
      <c r="AG147" s="244"/>
      <c r="AH147" s="244"/>
      <c r="AI147" s="244"/>
      <c r="AJ147" s="244"/>
      <c r="AK147" s="457"/>
      <c r="AL147" s="457"/>
      <c r="AM147" s="1519" t="s">
        <v>1327</v>
      </c>
      <c r="AN147" s="1519" t="s">
        <v>1328</v>
      </c>
    </row>
    <row r="148" spans="1:40" ht="15" customHeight="1">
      <c r="A148" s="1432"/>
      <c r="B148" s="480" t="s">
        <v>438</v>
      </c>
      <c r="C148" s="448" t="s">
        <v>446</v>
      </c>
      <c r="D148" s="448" t="s">
        <v>439</v>
      </c>
      <c r="E148" s="448" t="s">
        <v>450</v>
      </c>
      <c r="F148" s="448" t="s">
        <v>440</v>
      </c>
      <c r="G148" s="481"/>
      <c r="H148" s="1513"/>
      <c r="I148" s="1476"/>
      <c r="J148" s="1476"/>
      <c r="K148" s="1514"/>
      <c r="L148" s="457"/>
      <c r="M148" s="460"/>
      <c r="N148" s="460"/>
      <c r="O148" s="460"/>
      <c r="P148" s="460"/>
      <c r="Q148" s="460"/>
      <c r="R148" s="460"/>
      <c r="S148" s="460"/>
      <c r="T148" s="460"/>
      <c r="U148" s="460"/>
      <c r="V148" s="460"/>
      <c r="W148" s="460"/>
      <c r="X148" s="482"/>
      <c r="Y148" s="482"/>
      <c r="Z148" s="482"/>
      <c r="AA148" s="482"/>
      <c r="AB148" s="482"/>
      <c r="AC148" s="482"/>
      <c r="AD148" s="244"/>
      <c r="AE148" s="244"/>
      <c r="AF148" s="244"/>
      <c r="AG148" s="244"/>
      <c r="AH148" s="244"/>
      <c r="AI148" s="244"/>
      <c r="AJ148" s="244"/>
      <c r="AK148" s="457"/>
      <c r="AL148" s="457"/>
      <c r="AM148" s="1520"/>
      <c r="AN148" s="1520"/>
    </row>
    <row r="149" spans="1:40" ht="15" customHeight="1">
      <c r="A149" s="1431" t="s">
        <v>1039</v>
      </c>
      <c r="B149" s="1518" t="s">
        <v>1813</v>
      </c>
      <c r="C149" s="1518"/>
      <c r="D149" s="1518"/>
      <c r="E149" s="1518"/>
      <c r="F149" s="1518"/>
      <c r="G149" s="1518"/>
      <c r="H149" s="1513"/>
      <c r="I149" s="1475"/>
      <c r="J149" s="1475"/>
      <c r="K149" s="1425">
        <v>106.235</v>
      </c>
      <c r="L149" s="457"/>
      <c r="M149" s="460"/>
      <c r="N149" s="460"/>
      <c r="O149" s="460"/>
      <c r="P149" s="460"/>
      <c r="Q149" s="460"/>
      <c r="R149" s="460"/>
      <c r="S149" s="460"/>
      <c r="T149" s="460"/>
      <c r="U149" s="460"/>
      <c r="V149" s="460"/>
      <c r="W149" s="460"/>
      <c r="X149" s="482"/>
      <c r="Y149" s="482"/>
      <c r="Z149" s="482"/>
      <c r="AA149" s="482"/>
      <c r="AB149" s="482"/>
      <c r="AC149" s="482"/>
      <c r="AD149" s="244"/>
      <c r="AE149" s="244"/>
      <c r="AF149" s="244"/>
      <c r="AG149" s="244"/>
      <c r="AH149" s="244"/>
      <c r="AI149" s="244"/>
      <c r="AJ149" s="244"/>
      <c r="AK149" s="457"/>
      <c r="AL149" s="457"/>
      <c r="AM149" s="1519" t="s">
        <v>1327</v>
      </c>
      <c r="AN149" s="1519" t="s">
        <v>1328</v>
      </c>
    </row>
    <row r="150" spans="1:40" ht="15" customHeight="1">
      <c r="A150" s="1432"/>
      <c r="B150" s="480" t="s">
        <v>438</v>
      </c>
      <c r="C150" s="448" t="s">
        <v>446</v>
      </c>
      <c r="D150" s="448" t="s">
        <v>439</v>
      </c>
      <c r="E150" s="448" t="s">
        <v>1236</v>
      </c>
      <c r="F150" s="448" t="s">
        <v>440</v>
      </c>
      <c r="G150" s="481"/>
      <c r="H150" s="1513"/>
      <c r="I150" s="1476"/>
      <c r="J150" s="1476"/>
      <c r="K150" s="1514"/>
      <c r="L150" s="457"/>
      <c r="M150" s="460"/>
      <c r="N150" s="460"/>
      <c r="O150" s="460"/>
      <c r="P150" s="460"/>
      <c r="Q150" s="460"/>
      <c r="R150" s="460"/>
      <c r="S150" s="460"/>
      <c r="T150" s="460"/>
      <c r="U150" s="460"/>
      <c r="V150" s="460"/>
      <c r="W150" s="460"/>
      <c r="X150" s="482"/>
      <c r="Y150" s="482"/>
      <c r="Z150" s="482"/>
      <c r="AA150" s="482"/>
      <c r="AB150" s="482"/>
      <c r="AC150" s="482"/>
      <c r="AD150" s="244"/>
      <c r="AE150" s="244"/>
      <c r="AF150" s="244"/>
      <c r="AG150" s="244"/>
      <c r="AH150" s="244"/>
      <c r="AI150" s="244"/>
      <c r="AJ150" s="244"/>
      <c r="AK150" s="457"/>
      <c r="AL150" s="457"/>
      <c r="AM150" s="1520"/>
      <c r="AN150" s="1520"/>
    </row>
    <row r="151" spans="1:40" ht="15" customHeight="1">
      <c r="A151" s="1431" t="s">
        <v>1053</v>
      </c>
      <c r="B151" s="1518" t="s">
        <v>1814</v>
      </c>
      <c r="C151" s="1518"/>
      <c r="D151" s="1518"/>
      <c r="E151" s="1518"/>
      <c r="F151" s="1518"/>
      <c r="G151" s="1518"/>
      <c r="H151" s="1513"/>
      <c r="I151" s="1475"/>
      <c r="J151" s="1475"/>
      <c r="K151" s="1425"/>
      <c r="L151" s="457"/>
      <c r="M151" s="460"/>
      <c r="N151" s="460"/>
      <c r="O151" s="460"/>
      <c r="P151" s="460"/>
      <c r="Q151" s="460"/>
      <c r="R151" s="460"/>
      <c r="S151" s="460"/>
      <c r="T151" s="460"/>
      <c r="U151" s="460"/>
      <c r="V151" s="460"/>
      <c r="W151" s="460"/>
      <c r="X151" s="482"/>
      <c r="Y151" s="482"/>
      <c r="Z151" s="482"/>
      <c r="AA151" s="482"/>
      <c r="AB151" s="482"/>
      <c r="AC151" s="482"/>
      <c r="AD151" s="244"/>
      <c r="AE151" s="244"/>
      <c r="AF151" s="244"/>
      <c r="AG151" s="244"/>
      <c r="AH151" s="244"/>
      <c r="AI151" s="244"/>
      <c r="AJ151" s="244"/>
      <c r="AK151" s="457"/>
      <c r="AL151" s="457"/>
      <c r="AM151" s="1519" t="s">
        <v>1327</v>
      </c>
      <c r="AN151" s="1519" t="s">
        <v>1328</v>
      </c>
    </row>
    <row r="152" spans="1:40" ht="15" customHeight="1">
      <c r="A152" s="1432"/>
      <c r="B152" s="480" t="s">
        <v>438</v>
      </c>
      <c r="C152" s="448" t="s">
        <v>442</v>
      </c>
      <c r="D152" s="448" t="s">
        <v>439</v>
      </c>
      <c r="E152" s="448" t="s">
        <v>676</v>
      </c>
      <c r="F152" s="448" t="s">
        <v>440</v>
      </c>
      <c r="G152" s="481"/>
      <c r="H152" s="1513"/>
      <c r="I152" s="1476"/>
      <c r="J152" s="1476"/>
      <c r="K152" s="1514"/>
      <c r="L152" s="457"/>
      <c r="M152" s="460"/>
      <c r="N152" s="460"/>
      <c r="O152" s="460"/>
      <c r="P152" s="460"/>
      <c r="Q152" s="460"/>
      <c r="R152" s="460"/>
      <c r="S152" s="460"/>
      <c r="T152" s="460"/>
      <c r="U152" s="460"/>
      <c r="V152" s="460"/>
      <c r="W152" s="460"/>
      <c r="X152" s="482"/>
      <c r="Y152" s="482"/>
      <c r="Z152" s="482"/>
      <c r="AA152" s="482"/>
      <c r="AB152" s="482"/>
      <c r="AC152" s="482"/>
      <c r="AD152" s="244"/>
      <c r="AE152" s="244"/>
      <c r="AF152" s="244"/>
      <c r="AG152" s="244"/>
      <c r="AH152" s="244"/>
      <c r="AI152" s="244"/>
      <c r="AJ152" s="244"/>
      <c r="AK152" s="457"/>
      <c r="AL152" s="457"/>
      <c r="AM152" s="1520"/>
      <c r="AN152" s="1520"/>
    </row>
    <row r="153" spans="1:40" ht="15" customHeight="1">
      <c r="A153" s="1431" t="s">
        <v>1041</v>
      </c>
      <c r="B153" s="1518" t="s">
        <v>1815</v>
      </c>
      <c r="C153" s="1518"/>
      <c r="D153" s="1518"/>
      <c r="E153" s="1518"/>
      <c r="F153" s="1518"/>
      <c r="G153" s="1518"/>
      <c r="H153" s="1513"/>
      <c r="I153" s="1475"/>
      <c r="J153" s="1475"/>
      <c r="K153" s="1425">
        <v>127.685</v>
      </c>
      <c r="L153" s="457"/>
      <c r="M153" s="460"/>
      <c r="N153" s="460"/>
      <c r="O153" s="460"/>
      <c r="P153" s="460"/>
      <c r="Q153" s="460"/>
      <c r="R153" s="460"/>
      <c r="S153" s="460"/>
      <c r="T153" s="460"/>
      <c r="U153" s="460"/>
      <c r="V153" s="460"/>
      <c r="W153" s="460"/>
      <c r="X153" s="482"/>
      <c r="Y153" s="482"/>
      <c r="Z153" s="482"/>
      <c r="AA153" s="482"/>
      <c r="AB153" s="482"/>
      <c r="AC153" s="482"/>
      <c r="AD153" s="244"/>
      <c r="AE153" s="244"/>
      <c r="AF153" s="244"/>
      <c r="AG153" s="244"/>
      <c r="AH153" s="244"/>
      <c r="AI153" s="244"/>
      <c r="AJ153" s="244"/>
      <c r="AK153" s="457"/>
      <c r="AL153" s="457"/>
      <c r="AM153" s="1519" t="s">
        <v>1327</v>
      </c>
      <c r="AN153" s="1519" t="s">
        <v>1328</v>
      </c>
    </row>
    <row r="154" spans="1:40" ht="15" customHeight="1">
      <c r="A154" s="1432"/>
      <c r="B154" s="480" t="s">
        <v>438</v>
      </c>
      <c r="C154" s="448" t="s">
        <v>442</v>
      </c>
      <c r="D154" s="448" t="s">
        <v>439</v>
      </c>
      <c r="E154" s="448" t="s">
        <v>446</v>
      </c>
      <c r="F154" s="448" t="s">
        <v>440</v>
      </c>
      <c r="G154" s="481"/>
      <c r="H154" s="1513"/>
      <c r="I154" s="1476"/>
      <c r="J154" s="1476"/>
      <c r="K154" s="1514"/>
      <c r="L154" s="457"/>
      <c r="M154" s="460"/>
      <c r="N154" s="460"/>
      <c r="O154" s="460"/>
      <c r="P154" s="460"/>
      <c r="Q154" s="460"/>
      <c r="R154" s="460"/>
      <c r="S154" s="460"/>
      <c r="T154" s="460"/>
      <c r="U154" s="460"/>
      <c r="V154" s="460"/>
      <c r="W154" s="460"/>
      <c r="X154" s="482"/>
      <c r="Y154" s="482"/>
      <c r="Z154" s="482"/>
      <c r="AA154" s="482"/>
      <c r="AB154" s="482"/>
      <c r="AC154" s="482"/>
      <c r="AD154" s="244"/>
      <c r="AE154" s="244"/>
      <c r="AF154" s="244"/>
      <c r="AG154" s="244"/>
      <c r="AH154" s="244"/>
      <c r="AI154" s="244"/>
      <c r="AJ154" s="244"/>
      <c r="AK154" s="457"/>
      <c r="AL154" s="457"/>
      <c r="AM154" s="1520"/>
      <c r="AN154" s="1520"/>
    </row>
    <row r="155" spans="1:40" ht="15" customHeight="1">
      <c r="A155" s="1431" t="s">
        <v>1043</v>
      </c>
      <c r="B155" s="1518" t="s">
        <v>1816</v>
      </c>
      <c r="C155" s="1518"/>
      <c r="D155" s="1518"/>
      <c r="E155" s="1518"/>
      <c r="F155" s="1518"/>
      <c r="G155" s="1518"/>
      <c r="H155" s="1513"/>
      <c r="I155" s="1475"/>
      <c r="J155" s="1475"/>
      <c r="K155" s="1425">
        <v>99.537999999999997</v>
      </c>
      <c r="L155" s="457"/>
      <c r="M155" s="460"/>
      <c r="N155" s="460"/>
      <c r="O155" s="460"/>
      <c r="P155" s="460"/>
      <c r="Q155" s="460"/>
      <c r="R155" s="460"/>
      <c r="S155" s="460"/>
      <c r="T155" s="460"/>
      <c r="U155" s="460"/>
      <c r="V155" s="460"/>
      <c r="W155" s="460"/>
      <c r="X155" s="482"/>
      <c r="Y155" s="482"/>
      <c r="Z155" s="482"/>
      <c r="AA155" s="482"/>
      <c r="AB155" s="482"/>
      <c r="AC155" s="482"/>
      <c r="AD155" s="244"/>
      <c r="AE155" s="244"/>
      <c r="AF155" s="244"/>
      <c r="AG155" s="244"/>
      <c r="AH155" s="244"/>
      <c r="AI155" s="244"/>
      <c r="AJ155" s="244"/>
      <c r="AK155" s="457"/>
      <c r="AL155" s="457"/>
      <c r="AM155" s="1519" t="s">
        <v>1327</v>
      </c>
      <c r="AN155" s="1519" t="s">
        <v>1328</v>
      </c>
    </row>
    <row r="156" spans="1:40" ht="15" customHeight="1">
      <c r="A156" s="1432"/>
      <c r="B156" s="480" t="s">
        <v>438</v>
      </c>
      <c r="C156" s="448" t="s">
        <v>442</v>
      </c>
      <c r="D156" s="448" t="s">
        <v>439</v>
      </c>
      <c r="E156" s="448" t="s">
        <v>1801</v>
      </c>
      <c r="F156" s="448" t="s">
        <v>440</v>
      </c>
      <c r="G156" s="481"/>
      <c r="H156" s="1513"/>
      <c r="I156" s="1476"/>
      <c r="J156" s="1476"/>
      <c r="K156" s="1514"/>
      <c r="L156" s="457"/>
      <c r="M156" s="460"/>
      <c r="N156" s="460"/>
      <c r="O156" s="460"/>
      <c r="P156" s="460"/>
      <c r="Q156" s="460"/>
      <c r="R156" s="460"/>
      <c r="S156" s="460"/>
      <c r="T156" s="460"/>
      <c r="U156" s="460"/>
      <c r="V156" s="460"/>
      <c r="W156" s="460"/>
      <c r="X156" s="482"/>
      <c r="Y156" s="482"/>
      <c r="Z156" s="482"/>
      <c r="AA156" s="482"/>
      <c r="AB156" s="482"/>
      <c r="AC156" s="482"/>
      <c r="AD156" s="244"/>
      <c r="AE156" s="244"/>
      <c r="AF156" s="244"/>
      <c r="AG156" s="244"/>
      <c r="AH156" s="244"/>
      <c r="AI156" s="244"/>
      <c r="AJ156" s="244"/>
      <c r="AK156" s="457"/>
      <c r="AL156" s="457"/>
      <c r="AM156" s="1520"/>
      <c r="AN156" s="1520"/>
    </row>
    <row r="157" spans="1:40" ht="15" customHeight="1">
      <c r="A157" s="1431" t="s">
        <v>1045</v>
      </c>
      <c r="B157" s="1518" t="s">
        <v>1817</v>
      </c>
      <c r="C157" s="1518"/>
      <c r="D157" s="1518"/>
      <c r="E157" s="1518"/>
      <c r="F157" s="1518"/>
      <c r="G157" s="1518"/>
      <c r="H157" s="1513"/>
      <c r="I157" s="1475"/>
      <c r="J157" s="1475"/>
      <c r="K157" s="1425">
        <v>62.697000000000003</v>
      </c>
      <c r="L157" s="457"/>
      <c r="M157" s="460"/>
      <c r="N157" s="460"/>
      <c r="O157" s="460"/>
      <c r="P157" s="460"/>
      <c r="Q157" s="460"/>
      <c r="R157" s="460"/>
      <c r="S157" s="460"/>
      <c r="T157" s="460"/>
      <c r="U157" s="460"/>
      <c r="V157" s="460"/>
      <c r="W157" s="460"/>
      <c r="X157" s="482"/>
      <c r="Y157" s="482"/>
      <c r="Z157" s="482"/>
      <c r="AA157" s="482"/>
      <c r="AB157" s="482"/>
      <c r="AC157" s="482"/>
      <c r="AD157" s="244"/>
      <c r="AE157" s="244"/>
      <c r="AF157" s="244"/>
      <c r="AG157" s="244"/>
      <c r="AH157" s="244"/>
      <c r="AI157" s="244"/>
      <c r="AJ157" s="244"/>
      <c r="AK157" s="457"/>
      <c r="AL157" s="457"/>
      <c r="AM157" s="1519" t="s">
        <v>1327</v>
      </c>
      <c r="AN157" s="1519" t="s">
        <v>1328</v>
      </c>
    </row>
    <row r="158" spans="1:40" ht="15" customHeight="1">
      <c r="A158" s="1432"/>
      <c r="B158" s="480" t="s">
        <v>438</v>
      </c>
      <c r="C158" s="448" t="s">
        <v>454</v>
      </c>
      <c r="D158" s="448" t="s">
        <v>439</v>
      </c>
      <c r="E158" s="448" t="s">
        <v>1766</v>
      </c>
      <c r="F158" s="448" t="s">
        <v>440</v>
      </c>
      <c r="G158" s="481"/>
      <c r="H158" s="1513"/>
      <c r="I158" s="1476"/>
      <c r="J158" s="1476"/>
      <c r="K158" s="1514"/>
      <c r="L158" s="457"/>
      <c r="M158" s="460"/>
      <c r="N158" s="460"/>
      <c r="O158" s="460"/>
      <c r="P158" s="460"/>
      <c r="Q158" s="460"/>
      <c r="R158" s="460"/>
      <c r="S158" s="460"/>
      <c r="T158" s="460"/>
      <c r="U158" s="460"/>
      <c r="V158" s="460"/>
      <c r="W158" s="460"/>
      <c r="X158" s="482"/>
      <c r="Y158" s="482"/>
      <c r="Z158" s="482"/>
      <c r="AA158" s="482"/>
      <c r="AB158" s="482"/>
      <c r="AC158" s="482"/>
      <c r="AD158" s="244"/>
      <c r="AE158" s="244"/>
      <c r="AF158" s="244"/>
      <c r="AG158" s="244"/>
      <c r="AH158" s="244"/>
      <c r="AI158" s="244"/>
      <c r="AJ158" s="244"/>
      <c r="AK158" s="457"/>
      <c r="AL158" s="457"/>
      <c r="AM158" s="1520"/>
      <c r="AN158" s="1520"/>
    </row>
    <row r="159" spans="1:40" ht="15" hidden="1" customHeight="1">
      <c r="A159" s="1431"/>
      <c r="B159" s="1518"/>
      <c r="C159" s="1518"/>
      <c r="D159" s="1518"/>
      <c r="E159" s="1518"/>
      <c r="F159" s="1518"/>
      <c r="G159" s="1518"/>
      <c r="H159" s="1513"/>
      <c r="I159" s="1475"/>
      <c r="J159" s="1475"/>
      <c r="K159" s="1425"/>
      <c r="L159" s="457"/>
      <c r="M159" s="460"/>
      <c r="N159" s="460"/>
      <c r="O159" s="460"/>
      <c r="P159" s="460"/>
      <c r="Q159" s="460"/>
      <c r="R159" s="460"/>
      <c r="S159" s="460"/>
      <c r="T159" s="460"/>
      <c r="U159" s="460"/>
      <c r="V159" s="460"/>
      <c r="W159" s="460"/>
      <c r="X159" s="482"/>
      <c r="Y159" s="482"/>
      <c r="Z159" s="482"/>
      <c r="AA159" s="482"/>
      <c r="AB159" s="482"/>
      <c r="AC159" s="482"/>
      <c r="AD159" s="244"/>
      <c r="AE159" s="244"/>
      <c r="AF159" s="244"/>
      <c r="AG159" s="244"/>
      <c r="AH159" s="244"/>
      <c r="AI159" s="244"/>
      <c r="AJ159" s="244"/>
      <c r="AK159" s="457"/>
      <c r="AL159" s="457"/>
      <c r="AM159" s="306"/>
      <c r="AN159" s="306"/>
    </row>
    <row r="160" spans="1:40" ht="15" hidden="1" customHeight="1">
      <c r="A160" s="1432"/>
      <c r="B160" s="480" t="s">
        <v>438</v>
      </c>
      <c r="C160" s="448"/>
      <c r="D160" s="448" t="s">
        <v>439</v>
      </c>
      <c r="E160" s="448"/>
      <c r="F160" s="448" t="s">
        <v>440</v>
      </c>
      <c r="G160" s="481"/>
      <c r="H160" s="1513"/>
      <c r="I160" s="1476"/>
      <c r="J160" s="1476"/>
      <c r="K160" s="1514"/>
      <c r="L160" s="457"/>
      <c r="M160" s="460"/>
      <c r="N160" s="460"/>
      <c r="O160" s="460"/>
      <c r="P160" s="460"/>
      <c r="Q160" s="460"/>
      <c r="R160" s="460"/>
      <c r="S160" s="460"/>
      <c r="T160" s="460"/>
      <c r="U160" s="460"/>
      <c r="V160" s="460"/>
      <c r="W160" s="460"/>
      <c r="X160" s="482"/>
      <c r="Y160" s="482"/>
      <c r="Z160" s="482"/>
      <c r="AA160" s="482"/>
      <c r="AB160" s="482"/>
      <c r="AC160" s="482"/>
      <c r="AD160" s="244"/>
      <c r="AE160" s="244"/>
      <c r="AF160" s="244"/>
      <c r="AG160" s="244"/>
      <c r="AH160" s="244"/>
      <c r="AI160" s="244"/>
      <c r="AJ160" s="244"/>
      <c r="AK160" s="457"/>
      <c r="AL160" s="457"/>
      <c r="AM160" s="306"/>
      <c r="AN160" s="306"/>
    </row>
    <row r="161" spans="1:40" ht="15" customHeight="1">
      <c r="A161" s="1515" t="s">
        <v>1818</v>
      </c>
      <c r="B161" s="1516"/>
      <c r="C161" s="1516"/>
      <c r="D161" s="1516"/>
      <c r="E161" s="1516"/>
      <c r="F161" s="1516"/>
      <c r="G161" s="1516"/>
      <c r="H161" s="442">
        <f>SUM(H162:H169)</f>
        <v>3867.6900000000005</v>
      </c>
      <c r="I161" s="442"/>
      <c r="J161" s="442">
        <f>SUM(J162:J169)</f>
        <v>3277.7033898305085</v>
      </c>
      <c r="K161" s="442">
        <f>SUM(K162:K170)</f>
        <v>2931.2166694915254</v>
      </c>
      <c r="L161" s="457"/>
      <c r="M161" s="460"/>
      <c r="N161" s="460"/>
      <c r="O161" s="460"/>
      <c r="P161" s="460"/>
      <c r="Q161" s="460"/>
      <c r="R161" s="460"/>
      <c r="S161" s="460"/>
      <c r="T161" s="460"/>
      <c r="U161" s="460"/>
      <c r="V161" s="460"/>
      <c r="W161" s="460"/>
      <c r="X161" s="482"/>
      <c r="Y161" s="482"/>
      <c r="Z161" s="482"/>
      <c r="AA161" s="482"/>
      <c r="AB161" s="482"/>
      <c r="AC161" s="482"/>
      <c r="AD161" s="244"/>
      <c r="AE161" s="244"/>
      <c r="AF161" s="244"/>
      <c r="AG161" s="244"/>
      <c r="AH161" s="244"/>
      <c r="AI161" s="244"/>
      <c r="AJ161" s="244"/>
      <c r="AK161" s="457"/>
      <c r="AL161" s="457"/>
      <c r="AM161" s="306"/>
      <c r="AN161" s="306"/>
    </row>
    <row r="162" spans="1:40" ht="15" customHeight="1">
      <c r="A162" s="307" t="s">
        <v>176</v>
      </c>
      <c r="B162" s="1491" t="s">
        <v>1819</v>
      </c>
      <c r="C162" s="1492"/>
      <c r="D162" s="1492"/>
      <c r="E162" s="1492"/>
      <c r="F162" s="1492"/>
      <c r="G162" s="1493"/>
      <c r="H162" s="257">
        <v>149.61000000000001</v>
      </c>
      <c r="I162" s="257">
        <v>1.18</v>
      </c>
      <c r="J162" s="257">
        <f>H162/I162</f>
        <v>126.78813559322036</v>
      </c>
      <c r="K162" s="244">
        <f>SUM(L162:AI162)</f>
        <v>0</v>
      </c>
      <c r="L162" s="457"/>
      <c r="M162" s="460"/>
      <c r="N162" s="460"/>
      <c r="O162" s="460"/>
      <c r="P162" s="460"/>
      <c r="Q162" s="460"/>
      <c r="R162" s="460"/>
      <c r="S162" s="460"/>
      <c r="T162" s="460"/>
      <c r="U162" s="460"/>
      <c r="V162" s="460"/>
      <c r="W162" s="460"/>
      <c r="X162" s="482"/>
      <c r="Y162" s="482"/>
      <c r="Z162" s="482"/>
      <c r="AA162" s="482"/>
      <c r="AB162" s="482"/>
      <c r="AC162" s="482"/>
      <c r="AD162" s="244"/>
      <c r="AE162" s="244"/>
      <c r="AF162" s="244"/>
      <c r="AG162" s="244"/>
      <c r="AH162" s="244"/>
      <c r="AI162" s="244"/>
      <c r="AJ162" s="244"/>
      <c r="AK162" s="457"/>
      <c r="AL162" s="457"/>
      <c r="AM162" s="306" t="s">
        <v>1327</v>
      </c>
      <c r="AN162" s="306" t="s">
        <v>1328</v>
      </c>
    </row>
    <row r="163" spans="1:40" ht="15" customHeight="1">
      <c r="A163" s="307" t="s">
        <v>177</v>
      </c>
      <c r="B163" s="1491" t="s">
        <v>1820</v>
      </c>
      <c r="C163" s="1492"/>
      <c r="D163" s="1492"/>
      <c r="E163" s="1492"/>
      <c r="F163" s="1492"/>
      <c r="G163" s="1493"/>
      <c r="H163" s="257">
        <v>125.99</v>
      </c>
      <c r="I163" s="257">
        <v>1.18</v>
      </c>
      <c r="J163" s="257">
        <f t="shared" ref="J163:J199" si="0">H163/I163</f>
        <v>106.77118644067797</v>
      </c>
      <c r="K163" s="244">
        <f>SUM(L163:AI163)</f>
        <v>50.947677966101701</v>
      </c>
      <c r="L163" s="457"/>
      <c r="M163" s="460"/>
      <c r="N163" s="460"/>
      <c r="O163" s="460"/>
      <c r="P163" s="460"/>
      <c r="Q163" s="460"/>
      <c r="R163" s="460"/>
      <c r="S163" s="460"/>
      <c r="T163" s="460"/>
      <c r="U163" s="460"/>
      <c r="V163" s="460"/>
      <c r="W163" s="460"/>
      <c r="X163" s="482"/>
      <c r="Y163" s="482"/>
      <c r="Z163" s="482"/>
      <c r="AA163" s="482"/>
      <c r="AB163" s="482"/>
      <c r="AC163" s="482"/>
      <c r="AD163" s="244"/>
      <c r="AE163" s="244"/>
      <c r="AF163" s="244"/>
      <c r="AG163" s="244"/>
      <c r="AH163" s="354"/>
      <c r="AI163" s="354">
        <v>50.947677966101701</v>
      </c>
      <c r="AJ163" s="244"/>
      <c r="AK163" s="457"/>
      <c r="AL163" s="457"/>
      <c r="AM163" s="306" t="s">
        <v>1327</v>
      </c>
      <c r="AN163" s="306" t="s">
        <v>1328</v>
      </c>
    </row>
    <row r="164" spans="1:40" ht="15" customHeight="1">
      <c r="A164" s="307" t="s">
        <v>178</v>
      </c>
      <c r="B164" s="1491" t="s">
        <v>1821</v>
      </c>
      <c r="C164" s="1492"/>
      <c r="D164" s="1492"/>
      <c r="E164" s="1492"/>
      <c r="F164" s="1492"/>
      <c r="G164" s="1493"/>
      <c r="H164" s="257">
        <v>74.84</v>
      </c>
      <c r="I164" s="257">
        <v>1.18</v>
      </c>
      <c r="J164" s="257">
        <f t="shared" si="0"/>
        <v>63.423728813559329</v>
      </c>
      <c r="K164" s="244">
        <f>SUM(L164:AI164)</f>
        <v>32.391042372881358</v>
      </c>
      <c r="L164" s="457"/>
      <c r="M164" s="460"/>
      <c r="N164" s="460"/>
      <c r="O164" s="460"/>
      <c r="P164" s="460"/>
      <c r="Q164" s="460"/>
      <c r="R164" s="460"/>
      <c r="S164" s="460"/>
      <c r="T164" s="460"/>
      <c r="U164" s="460"/>
      <c r="V164" s="460"/>
      <c r="W164" s="460"/>
      <c r="X164" s="482"/>
      <c r="Y164" s="482"/>
      <c r="Z164" s="482"/>
      <c r="AA164" s="482"/>
      <c r="AB164" s="482"/>
      <c r="AC164" s="482"/>
      <c r="AD164" s="244"/>
      <c r="AE164" s="244"/>
      <c r="AF164" s="244"/>
      <c r="AG164" s="244"/>
      <c r="AH164" s="354"/>
      <c r="AI164" s="354">
        <v>32.391042372881358</v>
      </c>
      <c r="AJ164" s="244"/>
      <c r="AK164" s="457"/>
      <c r="AL164" s="457"/>
      <c r="AM164" s="306" t="s">
        <v>1327</v>
      </c>
      <c r="AN164" s="306" t="s">
        <v>1328</v>
      </c>
    </row>
    <row r="165" spans="1:40" ht="15" customHeight="1">
      <c r="A165" s="307" t="s">
        <v>179</v>
      </c>
      <c r="B165" s="1491" t="s">
        <v>1822</v>
      </c>
      <c r="C165" s="1492"/>
      <c r="D165" s="1492"/>
      <c r="E165" s="1492"/>
      <c r="F165" s="1492"/>
      <c r="G165" s="1493"/>
      <c r="H165" s="257">
        <v>1121.23</v>
      </c>
      <c r="I165" s="257">
        <v>1.18</v>
      </c>
      <c r="J165" s="257">
        <f t="shared" si="0"/>
        <v>950.19491525423734</v>
      </c>
      <c r="K165" s="244">
        <f>SUM(L165:AI165)</f>
        <v>950.19531355932213</v>
      </c>
      <c r="L165" s="457"/>
      <c r="M165" s="460"/>
      <c r="N165" s="460"/>
      <c r="O165" s="460"/>
      <c r="P165" s="460"/>
      <c r="Q165" s="460"/>
      <c r="R165" s="460"/>
      <c r="S165" s="460"/>
      <c r="T165" s="460"/>
      <c r="U165" s="460"/>
      <c r="V165" s="460"/>
      <c r="W165" s="460"/>
      <c r="X165" s="482"/>
      <c r="Y165" s="354">
        <v>264.56553389830509</v>
      </c>
      <c r="Z165" s="482"/>
      <c r="AA165" s="482"/>
      <c r="AB165" s="482"/>
      <c r="AC165" s="354">
        <v>685.62977966101698</v>
      </c>
      <c r="AD165" s="244"/>
      <c r="AE165" s="244"/>
      <c r="AF165" s="244"/>
      <c r="AG165" s="244"/>
      <c r="AH165" s="244"/>
      <c r="AI165" s="244"/>
      <c r="AJ165" s="244"/>
      <c r="AK165" s="457"/>
      <c r="AL165" s="457"/>
      <c r="AM165" s="306" t="s">
        <v>1327</v>
      </c>
      <c r="AN165" s="306" t="s">
        <v>1328</v>
      </c>
    </row>
    <row r="166" spans="1:40" ht="15" customHeight="1">
      <c r="A166" s="307" t="s">
        <v>180</v>
      </c>
      <c r="B166" s="1491" t="s">
        <v>1823</v>
      </c>
      <c r="C166" s="1492"/>
      <c r="D166" s="1492"/>
      <c r="E166" s="1492"/>
      <c r="F166" s="1492"/>
      <c r="G166" s="1493"/>
      <c r="H166" s="257">
        <v>145.9</v>
      </c>
      <c r="I166" s="257">
        <v>1.18</v>
      </c>
      <c r="J166" s="257">
        <f t="shared" si="0"/>
        <v>123.64406779661019</v>
      </c>
      <c r="K166" s="244">
        <f t="shared" ref="K166:K183" si="1">SUM(L166:AI166)</f>
        <v>123.64410169491526</v>
      </c>
      <c r="L166" s="457"/>
      <c r="M166" s="460"/>
      <c r="N166" s="460"/>
      <c r="O166" s="460"/>
      <c r="P166" s="460"/>
      <c r="Q166" s="460"/>
      <c r="R166" s="460"/>
      <c r="S166" s="460"/>
      <c r="T166" s="460"/>
      <c r="U166" s="460"/>
      <c r="V166" s="460"/>
      <c r="W166" s="460"/>
      <c r="X166" s="482"/>
      <c r="Y166" s="510">
        <v>76.278983050847472</v>
      </c>
      <c r="Z166" s="482"/>
      <c r="AA166" s="482"/>
      <c r="AB166" s="482"/>
      <c r="AC166" s="354">
        <v>47.365118644067799</v>
      </c>
      <c r="AD166" s="244"/>
      <c r="AE166" s="244"/>
      <c r="AF166" s="244"/>
      <c r="AG166" s="244"/>
      <c r="AH166" s="244"/>
      <c r="AI166" s="244"/>
      <c r="AJ166" s="244"/>
      <c r="AK166" s="457"/>
      <c r="AL166" s="457"/>
      <c r="AM166" s="306" t="s">
        <v>1327</v>
      </c>
      <c r="AN166" s="306" t="s">
        <v>1328</v>
      </c>
    </row>
    <row r="167" spans="1:40" ht="15" customHeight="1">
      <c r="A167" s="307" t="s">
        <v>181</v>
      </c>
      <c r="B167" s="1491" t="s">
        <v>1824</v>
      </c>
      <c r="C167" s="1492"/>
      <c r="D167" s="1492"/>
      <c r="E167" s="1492"/>
      <c r="F167" s="1492"/>
      <c r="G167" s="1493"/>
      <c r="H167" s="257">
        <v>495.34</v>
      </c>
      <c r="I167" s="257">
        <v>1.18</v>
      </c>
      <c r="J167" s="257">
        <f t="shared" si="0"/>
        <v>419.77966101694915</v>
      </c>
      <c r="K167" s="244">
        <f t="shared" si="1"/>
        <v>136.75231355932203</v>
      </c>
      <c r="L167" s="457"/>
      <c r="M167" s="460"/>
      <c r="N167" s="460"/>
      <c r="O167" s="460"/>
      <c r="P167" s="460"/>
      <c r="Q167" s="460"/>
      <c r="R167" s="460"/>
      <c r="S167" s="460"/>
      <c r="T167" s="460"/>
      <c r="U167" s="460"/>
      <c r="V167" s="460"/>
      <c r="W167" s="460"/>
      <c r="X167" s="482"/>
      <c r="Y167" s="511"/>
      <c r="Z167" s="482"/>
      <c r="AA167" s="482"/>
      <c r="AB167" s="482"/>
      <c r="AC167" s="482"/>
      <c r="AD167" s="244"/>
      <c r="AE167" s="244"/>
      <c r="AF167" s="244"/>
      <c r="AG167" s="354">
        <v>136.75231355932203</v>
      </c>
      <c r="AH167" s="244"/>
      <c r="AI167" s="244"/>
      <c r="AJ167" s="244"/>
      <c r="AK167" s="457"/>
      <c r="AL167" s="457"/>
      <c r="AM167" s="306" t="s">
        <v>1327</v>
      </c>
      <c r="AN167" s="306" t="s">
        <v>1328</v>
      </c>
    </row>
    <row r="168" spans="1:40" ht="15" customHeight="1">
      <c r="A168" s="307" t="s">
        <v>182</v>
      </c>
      <c r="B168" s="1491" t="s">
        <v>1825</v>
      </c>
      <c r="C168" s="1492"/>
      <c r="D168" s="1492"/>
      <c r="E168" s="1492"/>
      <c r="F168" s="1492"/>
      <c r="G168" s="1493"/>
      <c r="H168" s="257">
        <v>1197.79</v>
      </c>
      <c r="I168" s="257">
        <v>1.18</v>
      </c>
      <c r="J168" s="257">
        <f t="shared" si="0"/>
        <v>1015.0762711864407</v>
      </c>
      <c r="K168" s="244">
        <f t="shared" si="1"/>
        <v>1015.0773983050848</v>
      </c>
      <c r="L168" s="457"/>
      <c r="M168" s="460"/>
      <c r="N168" s="460"/>
      <c r="O168" s="460"/>
      <c r="P168" s="460"/>
      <c r="Q168" s="460"/>
      <c r="R168" s="460"/>
      <c r="S168" s="460"/>
      <c r="T168" s="460"/>
      <c r="U168" s="259">
        <v>649.22888135593223</v>
      </c>
      <c r="V168" s="460"/>
      <c r="W168" s="460"/>
      <c r="X168" s="482"/>
      <c r="Y168" s="354">
        <v>365.84851694915255</v>
      </c>
      <c r="Z168" s="482"/>
      <c r="AA168" s="482"/>
      <c r="AB168" s="482"/>
      <c r="AC168" s="482"/>
      <c r="AD168" s="244"/>
      <c r="AE168" s="244"/>
      <c r="AF168" s="244"/>
      <c r="AG168" s="244"/>
      <c r="AH168" s="244"/>
      <c r="AI168" s="244"/>
      <c r="AJ168" s="244"/>
      <c r="AK168" s="457"/>
      <c r="AL168" s="457"/>
      <c r="AM168" s="306" t="s">
        <v>1327</v>
      </c>
      <c r="AN168" s="306" t="s">
        <v>1328</v>
      </c>
    </row>
    <row r="169" spans="1:40" ht="15" customHeight="1">
      <c r="A169" s="307" t="s">
        <v>183</v>
      </c>
      <c r="B169" s="1497" t="s">
        <v>1826</v>
      </c>
      <c r="C169" s="1498"/>
      <c r="D169" s="1498"/>
      <c r="E169" s="1498"/>
      <c r="F169" s="1498"/>
      <c r="G169" s="1499"/>
      <c r="H169" s="257">
        <v>556.99</v>
      </c>
      <c r="I169" s="257">
        <v>1.18</v>
      </c>
      <c r="J169" s="257">
        <f t="shared" si="0"/>
        <v>472.02542372881356</v>
      </c>
      <c r="K169" s="244">
        <f>SUM(L169:AI169)</f>
        <v>303.59882203389827</v>
      </c>
      <c r="L169" s="460"/>
      <c r="M169" s="460"/>
      <c r="N169" s="460"/>
      <c r="O169" s="460"/>
      <c r="P169" s="460"/>
      <c r="Q169" s="460"/>
      <c r="R169" s="460"/>
      <c r="S169" s="460"/>
      <c r="T169" s="460"/>
      <c r="U169" s="457"/>
      <c r="V169" s="457"/>
      <c r="W169" s="457"/>
      <c r="X169" s="482"/>
      <c r="Y169" s="258"/>
      <c r="Z169" s="482"/>
      <c r="AA169" s="482"/>
      <c r="AB169" s="482"/>
      <c r="AC169" s="482"/>
      <c r="AD169" s="244"/>
      <c r="AE169" s="244"/>
      <c r="AF169" s="244"/>
      <c r="AG169" s="244"/>
      <c r="AH169" s="354"/>
      <c r="AI169" s="354">
        <v>303.59882203389827</v>
      </c>
      <c r="AJ169" s="244"/>
      <c r="AK169" s="316"/>
      <c r="AL169" s="316"/>
      <c r="AM169" s="306" t="s">
        <v>1327</v>
      </c>
      <c r="AN169" s="306" t="s">
        <v>1328</v>
      </c>
    </row>
    <row r="170" spans="1:40" ht="15" customHeight="1">
      <c r="A170" s="307" t="s">
        <v>184</v>
      </c>
      <c r="B170" s="1498" t="s">
        <v>1827</v>
      </c>
      <c r="C170" s="1498"/>
      <c r="D170" s="1498"/>
      <c r="E170" s="1498"/>
      <c r="F170" s="1498"/>
      <c r="G170" s="1499"/>
      <c r="H170" s="257"/>
      <c r="I170" s="257"/>
      <c r="J170" s="257"/>
      <c r="K170" s="244">
        <v>318.61</v>
      </c>
      <c r="L170" s="460"/>
      <c r="M170" s="460"/>
      <c r="N170" s="460"/>
      <c r="O170" s="460"/>
      <c r="P170" s="460"/>
      <c r="Q170" s="460"/>
      <c r="R170" s="460"/>
      <c r="S170" s="460"/>
      <c r="T170" s="460"/>
      <c r="U170" s="457"/>
      <c r="V170" s="457"/>
      <c r="W170" s="457"/>
      <c r="X170" s="482"/>
      <c r="Y170" s="258"/>
      <c r="Z170" s="482"/>
      <c r="AA170" s="482"/>
      <c r="AB170" s="482"/>
      <c r="AC170" s="482"/>
      <c r="AD170" s="244"/>
      <c r="AE170" s="244"/>
      <c r="AF170" s="244"/>
      <c r="AG170" s="244"/>
      <c r="AH170" s="354"/>
      <c r="AI170" s="354"/>
      <c r="AJ170" s="244"/>
      <c r="AK170" s="316"/>
      <c r="AL170" s="316"/>
      <c r="AM170" s="306" t="s">
        <v>1327</v>
      </c>
      <c r="AN170" s="306" t="s">
        <v>1328</v>
      </c>
    </row>
    <row r="171" spans="1:40" ht="15" customHeight="1">
      <c r="A171" s="1500" t="s">
        <v>51</v>
      </c>
      <c r="B171" s="1501"/>
      <c r="C171" s="1501"/>
      <c r="D171" s="1501"/>
      <c r="E171" s="1501"/>
      <c r="F171" s="1501"/>
      <c r="G171" s="1517"/>
      <c r="H171" s="442">
        <f>SUM(H172:H207)</f>
        <v>16648.753000000001</v>
      </c>
      <c r="I171" s="442"/>
      <c r="J171" s="442">
        <f>SUM(J172:J207)</f>
        <v>14109.112711864411</v>
      </c>
      <c r="K171" s="442">
        <f>SUM(K172:K208)</f>
        <v>13851.318491186445</v>
      </c>
      <c r="L171" s="457"/>
      <c r="M171" s="460"/>
      <c r="N171" s="460"/>
      <c r="O171" s="460"/>
      <c r="P171" s="460"/>
      <c r="Q171" s="460"/>
      <c r="R171" s="460"/>
      <c r="S171" s="460"/>
      <c r="T171" s="460"/>
      <c r="U171" s="460"/>
      <c r="V171" s="460"/>
      <c r="W171" s="460"/>
      <c r="X171" s="482"/>
      <c r="Y171" s="482"/>
      <c r="Z171" s="482"/>
      <c r="AA171" s="482"/>
      <c r="AB171" s="482"/>
      <c r="AC171" s="482"/>
      <c r="AD171" s="244"/>
      <c r="AE171" s="244"/>
      <c r="AF171" s="244"/>
      <c r="AG171" s="244"/>
      <c r="AH171" s="244"/>
      <c r="AI171" s="244"/>
      <c r="AJ171" s="244"/>
      <c r="AK171" s="457"/>
      <c r="AL171" s="457"/>
      <c r="AM171" s="306"/>
      <c r="AN171" s="306"/>
    </row>
    <row r="172" spans="1:40" ht="15" customHeight="1">
      <c r="A172" s="307" t="s">
        <v>185</v>
      </c>
      <c r="B172" s="1491" t="s">
        <v>1828</v>
      </c>
      <c r="C172" s="1492"/>
      <c r="D172" s="1492"/>
      <c r="E172" s="1492"/>
      <c r="F172" s="1492"/>
      <c r="G172" s="1493"/>
      <c r="H172" s="257">
        <v>926.89</v>
      </c>
      <c r="I172" s="257">
        <v>1.18</v>
      </c>
      <c r="J172" s="257">
        <f t="shared" si="0"/>
        <v>785.5</v>
      </c>
      <c r="K172" s="244">
        <f t="shared" si="1"/>
        <v>285.5169491525424</v>
      </c>
      <c r="L172" s="457"/>
      <c r="M172" s="460"/>
      <c r="N172" s="460"/>
      <c r="O172" s="460"/>
      <c r="P172" s="460"/>
      <c r="Q172" s="460"/>
      <c r="R172" s="460"/>
      <c r="S172" s="460"/>
      <c r="T172" s="460"/>
      <c r="U172" s="460"/>
      <c r="V172" s="460"/>
      <c r="W172" s="460"/>
      <c r="X172" s="482"/>
      <c r="Y172" s="354">
        <f>336.91/1.18</f>
        <v>285.5169491525424</v>
      </c>
      <c r="Z172" s="482"/>
      <c r="AA172" s="482"/>
      <c r="AB172" s="482"/>
      <c r="AC172" s="482"/>
      <c r="AD172" s="244"/>
      <c r="AE172" s="244"/>
      <c r="AF172" s="244"/>
      <c r="AG172" s="244"/>
      <c r="AH172" s="244"/>
      <c r="AI172" s="244"/>
      <c r="AJ172" s="244"/>
      <c r="AK172" s="457"/>
      <c r="AL172" s="457"/>
      <c r="AM172" s="306" t="s">
        <v>1327</v>
      </c>
      <c r="AN172" s="306" t="s">
        <v>1328</v>
      </c>
    </row>
    <row r="173" spans="1:40" ht="15" customHeight="1">
      <c r="A173" s="307" t="s">
        <v>186</v>
      </c>
      <c r="B173" s="1491" t="s">
        <v>1829</v>
      </c>
      <c r="C173" s="1492"/>
      <c r="D173" s="1492"/>
      <c r="E173" s="1492"/>
      <c r="F173" s="1492"/>
      <c r="G173" s="1493"/>
      <c r="H173" s="257">
        <v>700.03</v>
      </c>
      <c r="I173" s="257">
        <v>1.18</v>
      </c>
      <c r="J173" s="257">
        <f t="shared" si="0"/>
        <v>593.24576271186436</v>
      </c>
      <c r="K173" s="244">
        <f t="shared" si="1"/>
        <v>307.72881355932208</v>
      </c>
      <c r="L173" s="457"/>
      <c r="M173" s="460"/>
      <c r="N173" s="460"/>
      <c r="O173" s="460"/>
      <c r="P173" s="460"/>
      <c r="Q173" s="460"/>
      <c r="R173" s="460"/>
      <c r="S173" s="460"/>
      <c r="T173" s="460"/>
      <c r="U173" s="460"/>
      <c r="V173" s="460"/>
      <c r="W173" s="460"/>
      <c r="X173" s="482"/>
      <c r="Y173" s="354">
        <f>363.12/1.18</f>
        <v>307.72881355932208</v>
      </c>
      <c r="Z173" s="482"/>
      <c r="AA173" s="482"/>
      <c r="AB173" s="482"/>
      <c r="AC173" s="482"/>
      <c r="AD173" s="244"/>
      <c r="AE173" s="244"/>
      <c r="AF173" s="244"/>
      <c r="AG173" s="244"/>
      <c r="AH173" s="244"/>
      <c r="AI173" s="244"/>
      <c r="AJ173" s="244"/>
      <c r="AK173" s="457"/>
      <c r="AL173" s="457"/>
      <c r="AM173" s="306" t="s">
        <v>1327</v>
      </c>
      <c r="AN173" s="306" t="s">
        <v>1328</v>
      </c>
    </row>
    <row r="174" spans="1:40" ht="15" customHeight="1">
      <c r="A174" s="307" t="s">
        <v>187</v>
      </c>
      <c r="B174" s="1491" t="s">
        <v>1830</v>
      </c>
      <c r="C174" s="1492"/>
      <c r="D174" s="1492"/>
      <c r="E174" s="1492"/>
      <c r="F174" s="1492"/>
      <c r="G174" s="1493"/>
      <c r="H174" s="257">
        <v>942.96</v>
      </c>
      <c r="I174" s="257">
        <v>1.18</v>
      </c>
      <c r="J174" s="257">
        <f t="shared" si="0"/>
        <v>799.11864406779671</v>
      </c>
      <c r="K174" s="244">
        <v>719</v>
      </c>
      <c r="L174" s="457"/>
      <c r="M174" s="460"/>
      <c r="N174" s="460"/>
      <c r="O174" s="460"/>
      <c r="P174" s="460"/>
      <c r="Q174" s="460"/>
      <c r="R174" s="460"/>
      <c r="S174" s="460"/>
      <c r="T174" s="460"/>
      <c r="U174" s="460"/>
      <c r="V174" s="460"/>
      <c r="W174" s="460"/>
      <c r="X174" s="482"/>
      <c r="Y174" s="482"/>
      <c r="Z174" s="482"/>
      <c r="AA174" s="354">
        <f>367.00747/1.18</f>
        <v>311.023279661017</v>
      </c>
      <c r="AB174" s="482"/>
      <c r="AC174" s="482"/>
      <c r="AD174" s="244"/>
      <c r="AE174" s="244"/>
      <c r="AF174" s="244"/>
      <c r="AG174" s="354">
        <f>478.20787/1.18</f>
        <v>405.26090677966107</v>
      </c>
      <c r="AH174" s="244"/>
      <c r="AI174" s="244"/>
      <c r="AJ174" s="244"/>
      <c r="AK174" s="457"/>
      <c r="AL174" s="457"/>
      <c r="AM174" s="306" t="s">
        <v>1327</v>
      </c>
      <c r="AN174" s="306" t="s">
        <v>1328</v>
      </c>
    </row>
    <row r="175" spans="1:40" ht="15" customHeight="1">
      <c r="A175" s="307" t="s">
        <v>188</v>
      </c>
      <c r="B175" s="1491" t="s">
        <v>1831</v>
      </c>
      <c r="C175" s="1492"/>
      <c r="D175" s="1492"/>
      <c r="E175" s="1492"/>
      <c r="F175" s="1492"/>
      <c r="G175" s="1493"/>
      <c r="H175" s="257">
        <v>962</v>
      </c>
      <c r="I175" s="257">
        <v>1.18</v>
      </c>
      <c r="J175" s="257">
        <f t="shared" si="0"/>
        <v>815.25423728813564</v>
      </c>
      <c r="K175" s="244">
        <f t="shared" si="1"/>
        <v>804.9414152542372</v>
      </c>
      <c r="L175" s="457"/>
      <c r="M175" s="460"/>
      <c r="N175" s="460"/>
      <c r="O175" s="460"/>
      <c r="P175" s="460"/>
      <c r="Q175" s="460"/>
      <c r="R175" s="460"/>
      <c r="S175" s="460"/>
      <c r="T175" s="460"/>
      <c r="U175" s="460"/>
      <c r="V175" s="460"/>
      <c r="W175" s="460"/>
      <c r="X175" s="482"/>
      <c r="Y175" s="482"/>
      <c r="Z175" s="482"/>
      <c r="AA175" s="482"/>
      <c r="AB175" s="482"/>
      <c r="AC175" s="354">
        <f>545.35764/1.18</f>
        <v>462.16749152542371</v>
      </c>
      <c r="AD175" s="354"/>
      <c r="AE175" s="354">
        <f>191.73215/1.18</f>
        <v>162.48487288135593</v>
      </c>
      <c r="AF175" s="244"/>
      <c r="AG175" s="244"/>
      <c r="AH175" s="354"/>
      <c r="AI175" s="354">
        <f>212.74108/1.18</f>
        <v>180.28905084745764</v>
      </c>
      <c r="AJ175" s="244"/>
      <c r="AK175" s="457"/>
      <c r="AL175" s="457"/>
      <c r="AM175" s="306" t="s">
        <v>1327</v>
      </c>
      <c r="AN175" s="306" t="s">
        <v>1328</v>
      </c>
    </row>
    <row r="176" spans="1:40" ht="15" customHeight="1">
      <c r="A176" s="307" t="s">
        <v>189</v>
      </c>
      <c r="B176" s="1491" t="s">
        <v>1832</v>
      </c>
      <c r="C176" s="1492"/>
      <c r="D176" s="1492"/>
      <c r="E176" s="1492"/>
      <c r="F176" s="1492"/>
      <c r="G176" s="1493"/>
      <c r="H176" s="257">
        <v>362.9</v>
      </c>
      <c r="I176" s="257">
        <v>1.18</v>
      </c>
      <c r="J176" s="257">
        <f t="shared" si="0"/>
        <v>307.5423728813559</v>
      </c>
      <c r="K176" s="244">
        <f t="shared" si="1"/>
        <v>315.93277118644073</v>
      </c>
      <c r="L176" s="457"/>
      <c r="M176" s="460"/>
      <c r="N176" s="460"/>
      <c r="O176" s="460"/>
      <c r="P176" s="460"/>
      <c r="Q176" s="460"/>
      <c r="R176" s="460"/>
      <c r="S176" s="460"/>
      <c r="T176" s="460"/>
      <c r="U176" s="460"/>
      <c r="V176" s="460"/>
      <c r="W176" s="460"/>
      <c r="X176" s="482"/>
      <c r="Y176" s="482"/>
      <c r="Z176" s="482"/>
      <c r="AA176" s="482"/>
      <c r="AB176" s="482"/>
      <c r="AC176" s="482"/>
      <c r="AD176" s="244"/>
      <c r="AE176" s="244"/>
      <c r="AF176" s="244"/>
      <c r="AG176" s="244"/>
      <c r="AH176" s="244"/>
      <c r="AI176" s="354">
        <f>372.80067/1.18</f>
        <v>315.93277118644073</v>
      </c>
      <c r="AJ176" s="244"/>
      <c r="AK176" s="457"/>
      <c r="AL176" s="457"/>
      <c r="AM176" s="306" t="s">
        <v>1327</v>
      </c>
      <c r="AN176" s="306" t="s">
        <v>1328</v>
      </c>
    </row>
    <row r="177" spans="1:40" ht="15" customHeight="1">
      <c r="A177" s="307" t="s">
        <v>190</v>
      </c>
      <c r="B177" s="1491" t="s">
        <v>1833</v>
      </c>
      <c r="C177" s="1492"/>
      <c r="D177" s="1492"/>
      <c r="E177" s="1492"/>
      <c r="F177" s="1492"/>
      <c r="G177" s="1493"/>
      <c r="H177" s="257">
        <v>590.32000000000005</v>
      </c>
      <c r="I177" s="257">
        <v>1.18</v>
      </c>
      <c r="J177" s="257">
        <f t="shared" si="0"/>
        <v>500.27118644067804</v>
      </c>
      <c r="K177" s="244">
        <f t="shared" si="1"/>
        <v>500.26749152542379</v>
      </c>
      <c r="L177" s="457"/>
      <c r="M177" s="457"/>
      <c r="N177" s="457"/>
      <c r="O177" s="457"/>
      <c r="P177" s="457"/>
      <c r="Q177" s="457"/>
      <c r="R177" s="457"/>
      <c r="S177" s="257"/>
      <c r="T177" s="457"/>
      <c r="U177" s="457"/>
      <c r="V177" s="457"/>
      <c r="W177" s="457"/>
      <c r="X177" s="266"/>
      <c r="Y177" s="266"/>
      <c r="Z177" s="266"/>
      <c r="AA177" s="266"/>
      <c r="AB177" s="266"/>
      <c r="AC177" s="354">
        <f>590.31564/1.18</f>
        <v>500.26749152542379</v>
      </c>
      <c r="AD177" s="244"/>
      <c r="AE177" s="244"/>
      <c r="AF177" s="244"/>
      <c r="AG177" s="244"/>
      <c r="AH177" s="244"/>
      <c r="AI177" s="244"/>
      <c r="AJ177" s="244"/>
      <c r="AK177" s="316"/>
      <c r="AL177" s="316"/>
      <c r="AM177" s="306" t="s">
        <v>1327</v>
      </c>
      <c r="AN177" s="306" t="s">
        <v>1328</v>
      </c>
    </row>
    <row r="178" spans="1:40" ht="15" customHeight="1">
      <c r="A178" s="307" t="s">
        <v>191</v>
      </c>
      <c r="B178" s="1507" t="s">
        <v>57</v>
      </c>
      <c r="C178" s="1508"/>
      <c r="D178" s="1508"/>
      <c r="E178" s="1508"/>
      <c r="F178" s="1508"/>
      <c r="G178" s="1509"/>
      <c r="H178" s="257">
        <v>680.55</v>
      </c>
      <c r="I178" s="257">
        <v>1.18</v>
      </c>
      <c r="J178" s="257">
        <f t="shared" si="0"/>
        <v>576.73728813559319</v>
      </c>
      <c r="K178" s="244">
        <f t="shared" si="1"/>
        <v>696.23866949152546</v>
      </c>
      <c r="L178" s="447"/>
      <c r="M178" s="447"/>
      <c r="N178" s="447"/>
      <c r="O178" s="447"/>
      <c r="P178" s="447"/>
      <c r="Q178" s="447"/>
      <c r="R178" s="447"/>
      <c r="S178" s="447"/>
      <c r="T178" s="447"/>
      <c r="U178" s="447"/>
      <c r="V178" s="447"/>
      <c r="W178" s="447"/>
      <c r="X178" s="447"/>
      <c r="Y178" s="447"/>
      <c r="Z178" s="447"/>
      <c r="AA178" s="447">
        <f>141.01077/1.18</f>
        <v>119.50065254237289</v>
      </c>
      <c r="AB178" s="447"/>
      <c r="AC178" s="447">
        <f>680.55086/1.18</f>
        <v>576.73801694915255</v>
      </c>
      <c r="AD178" s="447"/>
      <c r="AE178" s="447"/>
      <c r="AF178" s="447"/>
      <c r="AG178" s="447"/>
      <c r="AH178" s="447"/>
      <c r="AI178" s="447"/>
      <c r="AJ178" s="244"/>
      <c r="AK178" s="460"/>
      <c r="AL178" s="460"/>
      <c r="AM178" s="306" t="s">
        <v>1327</v>
      </c>
      <c r="AN178" s="306" t="s">
        <v>1328</v>
      </c>
    </row>
    <row r="179" spans="1:40" ht="15" customHeight="1">
      <c r="A179" s="307" t="s">
        <v>192</v>
      </c>
      <c r="B179" s="1507" t="s">
        <v>58</v>
      </c>
      <c r="C179" s="1508"/>
      <c r="D179" s="1508"/>
      <c r="E179" s="1508"/>
      <c r="F179" s="1508"/>
      <c r="G179" s="1509"/>
      <c r="H179" s="257">
        <v>234.76</v>
      </c>
      <c r="I179" s="257">
        <v>1.18</v>
      </c>
      <c r="J179" s="257">
        <f t="shared" si="0"/>
        <v>198.94915254237287</v>
      </c>
      <c r="K179" s="244">
        <v>295.89999999999998</v>
      </c>
      <c r="L179" s="457"/>
      <c r="M179" s="460"/>
      <c r="N179" s="460"/>
      <c r="O179" s="460"/>
      <c r="P179" s="460"/>
      <c r="Q179" s="460"/>
      <c r="R179" s="460"/>
      <c r="S179" s="460"/>
      <c r="T179" s="460"/>
      <c r="U179" s="460"/>
      <c r="V179" s="460"/>
      <c r="W179" s="460"/>
      <c r="X179" s="482"/>
      <c r="Y179" s="482"/>
      <c r="Z179" s="482"/>
      <c r="AA179" s="244"/>
      <c r="AB179" s="482"/>
      <c r="AC179" s="482"/>
      <c r="AD179" s="354"/>
      <c r="AE179" s="354">
        <f>234.756/1.18</f>
        <v>198.9457627118644</v>
      </c>
      <c r="AF179" s="244"/>
      <c r="AG179" s="354">
        <f>375.95861/1.18</f>
        <v>318.60899152542379</v>
      </c>
      <c r="AH179" s="354"/>
      <c r="AI179" s="354">
        <f>114.40187/1.18</f>
        <v>96.950737288135599</v>
      </c>
      <c r="AJ179" s="244"/>
      <c r="AK179" s="316"/>
      <c r="AL179" s="316"/>
      <c r="AM179" s="306" t="s">
        <v>1327</v>
      </c>
      <c r="AN179" s="306" t="s">
        <v>1328</v>
      </c>
    </row>
    <row r="180" spans="1:40" ht="15" customHeight="1">
      <c r="A180" s="307" t="s">
        <v>193</v>
      </c>
      <c r="B180" s="1491" t="s">
        <v>1834</v>
      </c>
      <c r="C180" s="1492"/>
      <c r="D180" s="1492"/>
      <c r="E180" s="1492"/>
      <c r="F180" s="1492"/>
      <c r="G180" s="1493"/>
      <c r="H180" s="257">
        <v>979.19</v>
      </c>
      <c r="I180" s="257">
        <v>1.18</v>
      </c>
      <c r="J180" s="257">
        <f t="shared" si="0"/>
        <v>829.82203389830522</v>
      </c>
      <c r="K180" s="244">
        <f t="shared" si="1"/>
        <v>829.81779661016947</v>
      </c>
      <c r="L180" s="457"/>
      <c r="M180" s="460"/>
      <c r="N180" s="460"/>
      <c r="O180" s="460"/>
      <c r="P180" s="460"/>
      <c r="Q180" s="460"/>
      <c r="R180" s="460"/>
      <c r="S180" s="460"/>
      <c r="T180" s="460"/>
      <c r="U180" s="460"/>
      <c r="V180" s="460"/>
      <c r="W180" s="460"/>
      <c r="X180" s="482"/>
      <c r="Y180" s="482"/>
      <c r="Z180" s="482"/>
      <c r="AA180" s="482"/>
      <c r="AB180" s="482"/>
      <c r="AC180" s="482"/>
      <c r="AD180" s="244"/>
      <c r="AE180" s="244"/>
      <c r="AF180" s="244"/>
      <c r="AG180" s="354">
        <f>979.185/1.18</f>
        <v>829.81779661016947</v>
      </c>
      <c r="AH180" s="244"/>
      <c r="AI180" s="244"/>
      <c r="AJ180" s="244"/>
      <c r="AK180" s="316"/>
      <c r="AL180" s="316"/>
      <c r="AM180" s="306" t="s">
        <v>1327</v>
      </c>
      <c r="AN180" s="306" t="s">
        <v>1328</v>
      </c>
    </row>
    <row r="181" spans="1:40" ht="15" customHeight="1">
      <c r="A181" s="454" t="s">
        <v>194</v>
      </c>
      <c r="B181" s="1491" t="s">
        <v>59</v>
      </c>
      <c r="C181" s="1492"/>
      <c r="D181" s="1492"/>
      <c r="E181" s="1492"/>
      <c r="F181" s="1492"/>
      <c r="G181" s="1493"/>
      <c r="H181" s="455">
        <v>2067.6999999999998</v>
      </c>
      <c r="I181" s="257">
        <v>1.18</v>
      </c>
      <c r="J181" s="257">
        <f t="shared" si="0"/>
        <v>1752.2881355932202</v>
      </c>
      <c r="K181" s="244">
        <f t="shared" si="1"/>
        <v>1752.2921101694917</v>
      </c>
      <c r="L181" s="457"/>
      <c r="M181" s="460"/>
      <c r="N181" s="460"/>
      <c r="O181" s="460"/>
      <c r="P181" s="460"/>
      <c r="Q181" s="460"/>
      <c r="R181" s="460"/>
      <c r="S181" s="259">
        <f>737.90786/1.18</f>
        <v>625.34564406779668</v>
      </c>
      <c r="T181" s="460"/>
      <c r="U181" s="259">
        <f>1329.79683/1.18</f>
        <v>1126.946466101695</v>
      </c>
      <c r="V181" s="460"/>
      <c r="W181" s="257"/>
      <c r="X181" s="266"/>
      <c r="Y181" s="266"/>
      <c r="Z181" s="266"/>
      <c r="AA181" s="266"/>
      <c r="AB181" s="266"/>
      <c r="AC181" s="266"/>
      <c r="AD181" s="244"/>
      <c r="AE181" s="244"/>
      <c r="AF181" s="244"/>
      <c r="AG181" s="244"/>
      <c r="AH181" s="244"/>
      <c r="AI181" s="244"/>
      <c r="AJ181" s="244"/>
      <c r="AK181" s="316"/>
      <c r="AL181" s="316"/>
      <c r="AM181" s="306" t="s">
        <v>1327</v>
      </c>
      <c r="AN181" s="306" t="s">
        <v>1328</v>
      </c>
    </row>
    <row r="182" spans="1:40" ht="15" customHeight="1">
      <c r="A182" s="512" t="s">
        <v>195</v>
      </c>
      <c r="B182" s="1510" t="s">
        <v>60</v>
      </c>
      <c r="C182" s="1511"/>
      <c r="D182" s="1511"/>
      <c r="E182" s="1511"/>
      <c r="F182" s="1511"/>
      <c r="G182" s="1512"/>
      <c r="H182" s="513">
        <v>2100</v>
      </c>
      <c r="I182" s="257">
        <v>1.18</v>
      </c>
      <c r="J182" s="257">
        <f t="shared" si="0"/>
        <v>1779.6610169491526</v>
      </c>
      <c r="K182" s="244">
        <f>SUM(L182:AI182)</f>
        <v>1219.6408305084747</v>
      </c>
      <c r="L182" s="457"/>
      <c r="M182" s="457"/>
      <c r="N182" s="457"/>
      <c r="O182" s="457"/>
      <c r="P182" s="457"/>
      <c r="Q182" s="457"/>
      <c r="R182" s="457"/>
      <c r="S182" s="457"/>
      <c r="T182" s="457"/>
      <c r="U182" s="457"/>
      <c r="V182" s="457"/>
      <c r="W182" s="457"/>
      <c r="X182" s="266"/>
      <c r="Y182" s="266"/>
      <c r="Z182" s="266"/>
      <c r="AA182" s="266"/>
      <c r="AB182" s="266"/>
      <c r="AC182" s="266"/>
      <c r="AD182" s="244"/>
      <c r="AE182" s="244"/>
      <c r="AF182" s="244"/>
      <c r="AG182" s="244"/>
      <c r="AH182" s="354"/>
      <c r="AI182" s="354">
        <f>(389.45433+462.80238+586.91947)/1.18</f>
        <v>1219.6408305084747</v>
      </c>
      <c r="AJ182" s="244"/>
      <c r="AK182" s="457"/>
      <c r="AL182" s="451"/>
      <c r="AM182" s="306" t="s">
        <v>1327</v>
      </c>
      <c r="AN182" s="306" t="s">
        <v>1328</v>
      </c>
    </row>
    <row r="183" spans="1:40" ht="15" customHeight="1">
      <c r="A183" s="307" t="s">
        <v>196</v>
      </c>
      <c r="B183" s="1491" t="s">
        <v>1835</v>
      </c>
      <c r="C183" s="1492"/>
      <c r="D183" s="1492"/>
      <c r="E183" s="1492"/>
      <c r="F183" s="1492"/>
      <c r="G183" s="1493"/>
      <c r="H183" s="257">
        <v>548.29</v>
      </c>
      <c r="I183" s="257">
        <v>1.18</v>
      </c>
      <c r="J183" s="257">
        <f t="shared" si="0"/>
        <v>464.65254237288133</v>
      </c>
      <c r="K183" s="244">
        <f t="shared" si="1"/>
        <v>464.65177966101697</v>
      </c>
      <c r="L183" s="457"/>
      <c r="M183" s="460"/>
      <c r="N183" s="460"/>
      <c r="O183" s="460"/>
      <c r="P183" s="460"/>
      <c r="Q183" s="259">
        <f>(299.99383+113.69392)/1.18</f>
        <v>350.58283898305086</v>
      </c>
      <c r="R183" s="460"/>
      <c r="S183" s="460"/>
      <c r="T183" s="460"/>
      <c r="U183" s="460"/>
      <c r="V183" s="460"/>
      <c r="W183" s="259">
        <f>134.60135/1.18</f>
        <v>114.06894067796611</v>
      </c>
      <c r="X183" s="266"/>
      <c r="Y183" s="266"/>
      <c r="Z183" s="266"/>
      <c r="AA183" s="266"/>
      <c r="AB183" s="266"/>
      <c r="AC183" s="266"/>
      <c r="AD183" s="244"/>
      <c r="AE183" s="244"/>
      <c r="AF183" s="244"/>
      <c r="AG183" s="244"/>
      <c r="AH183" s="244"/>
      <c r="AI183" s="244"/>
      <c r="AJ183" s="244"/>
      <c r="AK183" s="316"/>
      <c r="AL183" s="316"/>
      <c r="AM183" s="306" t="s">
        <v>1327</v>
      </c>
      <c r="AN183" s="306" t="s">
        <v>1328</v>
      </c>
    </row>
    <row r="184" spans="1:40" ht="15" customHeight="1">
      <c r="A184" s="307" t="s">
        <v>197</v>
      </c>
      <c r="B184" s="1491" t="s">
        <v>1836</v>
      </c>
      <c r="C184" s="1492"/>
      <c r="D184" s="1492"/>
      <c r="E184" s="1492"/>
      <c r="F184" s="1492"/>
      <c r="G184" s="1493"/>
      <c r="H184" s="257">
        <v>115</v>
      </c>
      <c r="I184" s="257">
        <v>1.18</v>
      </c>
      <c r="J184" s="257">
        <f t="shared" si="0"/>
        <v>97.457627118644069</v>
      </c>
      <c r="K184" s="244">
        <f>SUM(L184:AI184)</f>
        <v>97.462466101694915</v>
      </c>
      <c r="L184" s="457"/>
      <c r="M184" s="460"/>
      <c r="N184" s="460"/>
      <c r="O184" s="460"/>
      <c r="P184" s="460"/>
      <c r="Q184" s="259">
        <f>115.00571/1.18</f>
        <v>97.462466101694915</v>
      </c>
      <c r="R184" s="460"/>
      <c r="S184" s="460"/>
      <c r="T184" s="460"/>
      <c r="U184" s="460"/>
      <c r="V184" s="460"/>
      <c r="W184" s="257"/>
      <c r="X184" s="266"/>
      <c r="Y184" s="266"/>
      <c r="Z184" s="266"/>
      <c r="AA184" s="266"/>
      <c r="AB184" s="266"/>
      <c r="AC184" s="266"/>
      <c r="AD184" s="244"/>
      <c r="AE184" s="244"/>
      <c r="AF184" s="244"/>
      <c r="AG184" s="244"/>
      <c r="AH184" s="244"/>
      <c r="AI184" s="244"/>
      <c r="AJ184" s="244"/>
      <c r="AK184" s="316"/>
      <c r="AL184" s="316"/>
      <c r="AM184" s="306" t="s">
        <v>1327</v>
      </c>
      <c r="AN184" s="306" t="s">
        <v>1328</v>
      </c>
    </row>
    <row r="185" spans="1:40" ht="15" customHeight="1">
      <c r="A185" s="514" t="s">
        <v>1300</v>
      </c>
      <c r="B185" s="1472" t="s">
        <v>1837</v>
      </c>
      <c r="C185" s="1473"/>
      <c r="D185" s="1473"/>
      <c r="E185" s="1473"/>
      <c r="F185" s="1473"/>
      <c r="G185" s="1474"/>
      <c r="H185" s="257">
        <v>298.26</v>
      </c>
      <c r="I185" s="257">
        <v>1.18</v>
      </c>
      <c r="J185" s="257">
        <f t="shared" si="0"/>
        <v>252.76271186440678</v>
      </c>
      <c r="K185" s="244">
        <f>SUM(L185:AN185)</f>
        <v>430.83300000000003</v>
      </c>
      <c r="L185" s="457"/>
      <c r="M185" s="460"/>
      <c r="N185" s="460"/>
      <c r="O185" s="460"/>
      <c r="P185" s="460"/>
      <c r="Q185" s="498"/>
      <c r="R185" s="460"/>
      <c r="S185" s="460"/>
      <c r="T185" s="460"/>
      <c r="U185" s="460"/>
      <c r="V185" s="460"/>
      <c r="W185" s="259"/>
      <c r="X185" s="266"/>
      <c r="Y185" s="266"/>
      <c r="Z185" s="266"/>
      <c r="AA185" s="266"/>
      <c r="AB185" s="266"/>
      <c r="AC185" s="266"/>
      <c r="AD185" s="266"/>
      <c r="AE185" s="266"/>
      <c r="AF185" s="515"/>
      <c r="AG185" s="515"/>
      <c r="AH185" s="354"/>
      <c r="AI185" s="354">
        <f>508.38294/1.18</f>
        <v>430.83300000000003</v>
      </c>
      <c r="AJ185" s="244"/>
      <c r="AK185" s="316"/>
      <c r="AL185" s="316"/>
      <c r="AM185" s="306" t="s">
        <v>1327</v>
      </c>
      <c r="AN185" s="306" t="s">
        <v>1328</v>
      </c>
    </row>
    <row r="186" spans="1:40" ht="15" customHeight="1">
      <c r="A186" s="514" t="s">
        <v>1301</v>
      </c>
      <c r="B186" s="1472" t="s">
        <v>1838</v>
      </c>
      <c r="C186" s="1473"/>
      <c r="D186" s="1473"/>
      <c r="E186" s="1473"/>
      <c r="F186" s="1473"/>
      <c r="G186" s="1474"/>
      <c r="H186" s="257">
        <v>272.06</v>
      </c>
      <c r="I186" s="257">
        <v>1.18</v>
      </c>
      <c r="J186" s="257">
        <f t="shared" si="0"/>
        <v>230.55932203389833</v>
      </c>
      <c r="K186" s="244">
        <f>SUM(L186:AN186)</f>
        <v>305.279</v>
      </c>
      <c r="L186" s="457"/>
      <c r="M186" s="460"/>
      <c r="N186" s="460"/>
      <c r="O186" s="460"/>
      <c r="P186" s="460"/>
      <c r="Q186" s="498"/>
      <c r="R186" s="460"/>
      <c r="S186" s="460"/>
      <c r="T186" s="460"/>
      <c r="U186" s="460"/>
      <c r="V186" s="460"/>
      <c r="W186" s="259"/>
      <c r="X186" s="266"/>
      <c r="Y186" s="266"/>
      <c r="Z186" s="266"/>
      <c r="AA186" s="266"/>
      <c r="AB186" s="266"/>
      <c r="AC186" s="266"/>
      <c r="AD186" s="266"/>
      <c r="AE186" s="266"/>
      <c r="AF186" s="515"/>
      <c r="AG186" s="515"/>
      <c r="AH186" s="354"/>
      <c r="AI186" s="354">
        <f>360.22922/1.18</f>
        <v>305.279</v>
      </c>
      <c r="AJ186" s="244"/>
      <c r="AK186" s="316"/>
      <c r="AL186" s="316"/>
      <c r="AM186" s="306" t="s">
        <v>1327</v>
      </c>
      <c r="AN186" s="306" t="s">
        <v>1328</v>
      </c>
    </row>
    <row r="187" spans="1:40" ht="15" customHeight="1">
      <c r="A187" s="514" t="s">
        <v>1302</v>
      </c>
      <c r="B187" s="1472" t="s">
        <v>1839</v>
      </c>
      <c r="C187" s="1473"/>
      <c r="D187" s="1473"/>
      <c r="E187" s="1473"/>
      <c r="F187" s="1473"/>
      <c r="G187" s="1474"/>
      <c r="H187" s="257">
        <v>474.63</v>
      </c>
      <c r="I187" s="257">
        <v>1.18</v>
      </c>
      <c r="J187" s="257">
        <f t="shared" si="0"/>
        <v>402.22881355932208</v>
      </c>
      <c r="K187" s="1425">
        <f>AC187</f>
        <v>402.23054000000002</v>
      </c>
      <c r="L187" s="457"/>
      <c r="M187" s="460"/>
      <c r="N187" s="460"/>
      <c r="O187" s="460"/>
      <c r="P187" s="460"/>
      <c r="Q187" s="498"/>
      <c r="R187" s="460"/>
      <c r="S187" s="460"/>
      <c r="T187" s="460"/>
      <c r="U187" s="460"/>
      <c r="V187" s="460"/>
      <c r="W187" s="259"/>
      <c r="X187" s="266"/>
      <c r="Y187" s="266"/>
      <c r="Z187" s="266"/>
      <c r="AA187" s="266"/>
      <c r="AB187" s="266"/>
      <c r="AC187" s="354">
        <v>402.23054000000002</v>
      </c>
      <c r="AD187" s="266"/>
      <c r="AE187" s="266"/>
      <c r="AF187" s="515"/>
      <c r="AG187" s="515"/>
      <c r="AH187" s="354"/>
      <c r="AI187" s="354"/>
      <c r="AJ187" s="244"/>
      <c r="AK187" s="316"/>
      <c r="AL187" s="316"/>
      <c r="AM187" s="306" t="s">
        <v>1327</v>
      </c>
      <c r="AN187" s="306" t="s">
        <v>1328</v>
      </c>
    </row>
    <row r="188" spans="1:40" ht="15" customHeight="1">
      <c r="A188" s="514" t="s">
        <v>1303</v>
      </c>
      <c r="B188" s="1472" t="s">
        <v>1840</v>
      </c>
      <c r="C188" s="1473"/>
      <c r="D188" s="1473"/>
      <c r="E188" s="1473"/>
      <c r="F188" s="1473"/>
      <c r="G188" s="1474"/>
      <c r="H188" s="257">
        <v>267.37</v>
      </c>
      <c r="I188" s="257">
        <v>1.18</v>
      </c>
      <c r="J188" s="257">
        <f t="shared" si="0"/>
        <v>226.58474576271189</v>
      </c>
      <c r="K188" s="1426"/>
      <c r="L188" s="457"/>
      <c r="M188" s="460"/>
      <c r="N188" s="460"/>
      <c r="O188" s="460"/>
      <c r="P188" s="460"/>
      <c r="Q188" s="498"/>
      <c r="R188" s="460"/>
      <c r="S188" s="460"/>
      <c r="T188" s="460"/>
      <c r="U188" s="460"/>
      <c r="V188" s="460"/>
      <c r="W188" s="259"/>
      <c r="X188" s="266"/>
      <c r="Y188" s="266"/>
      <c r="Z188" s="266"/>
      <c r="AA188" s="266"/>
      <c r="AB188" s="266"/>
      <c r="AC188" s="266"/>
      <c r="AD188" s="266"/>
      <c r="AE188" s="266"/>
      <c r="AF188" s="515"/>
      <c r="AG188" s="515"/>
      <c r="AH188" s="354"/>
      <c r="AI188" s="354"/>
      <c r="AJ188" s="244"/>
      <c r="AK188" s="316"/>
      <c r="AL188" s="316"/>
      <c r="AM188" s="306" t="s">
        <v>1327</v>
      </c>
      <c r="AN188" s="306" t="s">
        <v>1328</v>
      </c>
    </row>
    <row r="189" spans="1:40" ht="15" customHeight="1">
      <c r="A189" s="307" t="s">
        <v>1304</v>
      </c>
      <c r="B189" s="1472" t="s">
        <v>1841</v>
      </c>
      <c r="C189" s="1473"/>
      <c r="D189" s="1473"/>
      <c r="E189" s="1473"/>
      <c r="F189" s="1473"/>
      <c r="G189" s="1474"/>
      <c r="H189" s="257">
        <v>319.38</v>
      </c>
      <c r="I189" s="257">
        <v>1.18</v>
      </c>
      <c r="J189" s="257">
        <f t="shared" si="0"/>
        <v>270.66101694915255</v>
      </c>
      <c r="K189" s="1425">
        <f>SUM(L189:AN189)</f>
        <v>440.15288983050846</v>
      </c>
      <c r="L189" s="457"/>
      <c r="M189" s="460"/>
      <c r="N189" s="460"/>
      <c r="O189" s="460"/>
      <c r="P189" s="460"/>
      <c r="Q189" s="498"/>
      <c r="R189" s="460"/>
      <c r="S189" s="460"/>
      <c r="T189" s="460"/>
      <c r="U189" s="460"/>
      <c r="V189" s="460"/>
      <c r="W189" s="257"/>
      <c r="X189" s="266"/>
      <c r="Y189" s="266"/>
      <c r="Z189" s="266"/>
      <c r="AA189" s="266"/>
      <c r="AB189" s="266"/>
      <c r="AC189" s="354">
        <f>519.38041/1.18</f>
        <v>440.15288983050846</v>
      </c>
      <c r="AD189" s="244"/>
      <c r="AE189" s="244"/>
      <c r="AF189" s="244"/>
      <c r="AG189" s="244"/>
      <c r="AH189" s="244"/>
      <c r="AI189" s="244"/>
      <c r="AJ189" s="244"/>
      <c r="AK189" s="316"/>
      <c r="AL189" s="316"/>
      <c r="AM189" s="306" t="s">
        <v>1327</v>
      </c>
      <c r="AN189" s="306" t="s">
        <v>1328</v>
      </c>
    </row>
    <row r="190" spans="1:40" ht="15" customHeight="1">
      <c r="A190" s="307" t="s">
        <v>1305</v>
      </c>
      <c r="B190" s="1472" t="s">
        <v>1268</v>
      </c>
      <c r="C190" s="1473"/>
      <c r="D190" s="1473"/>
      <c r="E190" s="1473"/>
      <c r="F190" s="1473"/>
      <c r="G190" s="1474"/>
      <c r="H190" s="257">
        <v>200</v>
      </c>
      <c r="I190" s="257">
        <v>1.18</v>
      </c>
      <c r="J190" s="257">
        <f t="shared" si="0"/>
        <v>169.49152542372883</v>
      </c>
      <c r="K190" s="1426"/>
      <c r="L190" s="457"/>
      <c r="M190" s="460"/>
      <c r="N190" s="460"/>
      <c r="O190" s="460"/>
      <c r="P190" s="460"/>
      <c r="Q190" s="498"/>
      <c r="R190" s="460"/>
      <c r="S190" s="460"/>
      <c r="T190" s="460"/>
      <c r="U190" s="460"/>
      <c r="V190" s="460"/>
      <c r="W190" s="257"/>
      <c r="X190" s="266"/>
      <c r="Y190" s="266"/>
      <c r="Z190" s="266"/>
      <c r="AA190" s="266"/>
      <c r="AB190" s="266"/>
      <c r="AC190" s="354"/>
      <c r="AD190" s="244"/>
      <c r="AE190" s="244"/>
      <c r="AF190" s="244"/>
      <c r="AG190" s="244"/>
      <c r="AH190" s="244"/>
      <c r="AI190" s="244"/>
      <c r="AJ190" s="244"/>
      <c r="AK190" s="316"/>
      <c r="AL190" s="316"/>
      <c r="AM190" s="306" t="s">
        <v>1327</v>
      </c>
      <c r="AN190" s="306" t="s">
        <v>1328</v>
      </c>
    </row>
    <row r="191" spans="1:40" ht="15" customHeight="1">
      <c r="A191" s="307" t="s">
        <v>1306</v>
      </c>
      <c r="B191" s="1472" t="s">
        <v>1842</v>
      </c>
      <c r="C191" s="1473"/>
      <c r="D191" s="1473"/>
      <c r="E191" s="1473"/>
      <c r="F191" s="1473"/>
      <c r="G191" s="1474"/>
      <c r="H191" s="516">
        <v>313.38299999999998</v>
      </c>
      <c r="I191" s="257">
        <v>1.18</v>
      </c>
      <c r="J191" s="257">
        <f t="shared" si="0"/>
        <v>265.57881355932204</v>
      </c>
      <c r="K191" s="244">
        <f t="shared" ref="K191:K199" si="2">SUM(L191:AN191)</f>
        <v>331.42855932203389</v>
      </c>
      <c r="L191" s="457"/>
      <c r="M191" s="460"/>
      <c r="N191" s="460"/>
      <c r="O191" s="460"/>
      <c r="P191" s="460"/>
      <c r="Q191" s="498"/>
      <c r="R191" s="460"/>
      <c r="S191" s="460"/>
      <c r="T191" s="460"/>
      <c r="U191" s="460"/>
      <c r="V191" s="460"/>
      <c r="W191" s="257"/>
      <c r="X191" s="266"/>
      <c r="Y191" s="266"/>
      <c r="Z191" s="266"/>
      <c r="AA191" s="266"/>
      <c r="AB191" s="266"/>
      <c r="AC191" s="244"/>
      <c r="AD191" s="354"/>
      <c r="AE191" s="354">
        <f>391.0857/1.18</f>
        <v>331.42855932203389</v>
      </c>
      <c r="AF191" s="244"/>
      <c r="AG191" s="244"/>
      <c r="AH191" s="244"/>
      <c r="AI191" s="244"/>
      <c r="AJ191" s="244"/>
      <c r="AK191" s="316"/>
      <c r="AL191" s="316"/>
      <c r="AM191" s="306" t="s">
        <v>1327</v>
      </c>
      <c r="AN191" s="306" t="s">
        <v>1328</v>
      </c>
    </row>
    <row r="192" spans="1:40" ht="15" customHeight="1">
      <c r="A192" s="307" t="s">
        <v>1307</v>
      </c>
      <c r="B192" s="1472" t="s">
        <v>1843</v>
      </c>
      <c r="C192" s="1473"/>
      <c r="D192" s="1473"/>
      <c r="E192" s="1473"/>
      <c r="F192" s="1473"/>
      <c r="G192" s="1474"/>
      <c r="H192" s="257">
        <v>529.35</v>
      </c>
      <c r="I192" s="257">
        <v>1.18</v>
      </c>
      <c r="J192" s="257">
        <f t="shared" si="0"/>
        <v>448.60169491525426</v>
      </c>
      <c r="K192" s="244">
        <f t="shared" si="2"/>
        <v>448.59871186440682</v>
      </c>
      <c r="L192" s="457"/>
      <c r="M192" s="460"/>
      <c r="N192" s="460"/>
      <c r="O192" s="460"/>
      <c r="P192" s="460"/>
      <c r="Q192" s="498"/>
      <c r="R192" s="460"/>
      <c r="S192" s="460"/>
      <c r="T192" s="460"/>
      <c r="U192" s="460"/>
      <c r="V192" s="460"/>
      <c r="W192" s="257"/>
      <c r="X192" s="266"/>
      <c r="Y192" s="266"/>
      <c r="Z192" s="266"/>
      <c r="AA192" s="266"/>
      <c r="AB192" s="266"/>
      <c r="AC192" s="354">
        <f>529.34648/1.18</f>
        <v>448.59871186440682</v>
      </c>
      <c r="AD192" s="244"/>
      <c r="AE192" s="244"/>
      <c r="AF192" s="244"/>
      <c r="AG192" s="244"/>
      <c r="AH192" s="244"/>
      <c r="AI192" s="244"/>
      <c r="AJ192" s="244"/>
      <c r="AK192" s="316"/>
      <c r="AL192" s="316"/>
      <c r="AM192" s="306" t="s">
        <v>1327</v>
      </c>
      <c r="AN192" s="306" t="s">
        <v>1328</v>
      </c>
    </row>
    <row r="193" spans="1:40" ht="15" customHeight="1">
      <c r="A193" s="307" t="s">
        <v>1308</v>
      </c>
      <c r="B193" s="1472" t="s">
        <v>1271</v>
      </c>
      <c r="C193" s="1473"/>
      <c r="D193" s="1473"/>
      <c r="E193" s="1473"/>
      <c r="F193" s="1473"/>
      <c r="G193" s="1474"/>
      <c r="H193" s="257">
        <v>153.55000000000001</v>
      </c>
      <c r="I193" s="257">
        <v>1.18</v>
      </c>
      <c r="J193" s="257">
        <f t="shared" si="0"/>
        <v>130.12711864406782</v>
      </c>
      <c r="K193" s="244">
        <f t="shared" si="2"/>
        <v>130.12928813559321</v>
      </c>
      <c r="L193" s="457"/>
      <c r="M193" s="460"/>
      <c r="N193" s="460"/>
      <c r="O193" s="460"/>
      <c r="P193" s="460"/>
      <c r="Q193" s="498"/>
      <c r="R193" s="460"/>
      <c r="S193" s="460"/>
      <c r="T193" s="460"/>
      <c r="U193" s="460"/>
      <c r="V193" s="460"/>
      <c r="W193" s="257"/>
      <c r="X193" s="266"/>
      <c r="Y193" s="266"/>
      <c r="Z193" s="266"/>
      <c r="AA193" s="266"/>
      <c r="AB193" s="266"/>
      <c r="AC193" s="354">
        <f>153.55256/1.18</f>
        <v>130.12928813559321</v>
      </c>
      <c r="AD193" s="354"/>
      <c r="AE193" s="354"/>
      <c r="AF193" s="354"/>
      <c r="AG193" s="354"/>
      <c r="AH193" s="354"/>
      <c r="AI193" s="354"/>
      <c r="AJ193" s="244"/>
      <c r="AK193" s="316"/>
      <c r="AL193" s="316"/>
      <c r="AM193" s="306" t="s">
        <v>1327</v>
      </c>
      <c r="AN193" s="306" t="s">
        <v>1328</v>
      </c>
    </row>
    <row r="194" spans="1:40" ht="15" customHeight="1">
      <c r="A194" s="307" t="s">
        <v>1309</v>
      </c>
      <c r="B194" s="1472" t="s">
        <v>1844</v>
      </c>
      <c r="C194" s="1473"/>
      <c r="D194" s="1473"/>
      <c r="E194" s="1473"/>
      <c r="F194" s="1473"/>
      <c r="G194" s="1474"/>
      <c r="H194" s="257">
        <v>157.18</v>
      </c>
      <c r="I194" s="257">
        <v>1.18</v>
      </c>
      <c r="J194" s="257">
        <f t="shared" si="0"/>
        <v>133.20338983050848</v>
      </c>
      <c r="K194" s="244">
        <v>133.19999999999999</v>
      </c>
      <c r="L194" s="457"/>
      <c r="M194" s="460"/>
      <c r="N194" s="460"/>
      <c r="O194" s="460"/>
      <c r="P194" s="460"/>
      <c r="Q194" s="498"/>
      <c r="R194" s="460"/>
      <c r="S194" s="460"/>
      <c r="T194" s="460"/>
      <c r="U194" s="460"/>
      <c r="V194" s="460"/>
      <c r="W194" s="257"/>
      <c r="X194" s="266"/>
      <c r="Y194" s="266"/>
      <c r="Z194" s="266"/>
      <c r="AA194" s="266"/>
      <c r="AB194" s="266"/>
      <c r="AC194" s="354">
        <f>157.17465/1.18</f>
        <v>133.1988559322034</v>
      </c>
      <c r="AD194" s="244"/>
      <c r="AE194" s="244"/>
      <c r="AF194" s="244"/>
      <c r="AG194" s="244"/>
      <c r="AH194" s="244"/>
      <c r="AI194" s="354">
        <f>153.8248/1.18</f>
        <v>130.36000000000001</v>
      </c>
      <c r="AJ194" s="244"/>
      <c r="AK194" s="316"/>
      <c r="AL194" s="316"/>
      <c r="AM194" s="306" t="s">
        <v>1327</v>
      </c>
      <c r="AN194" s="306" t="s">
        <v>1328</v>
      </c>
    </row>
    <row r="195" spans="1:40" ht="15" customHeight="1">
      <c r="A195" s="307" t="s">
        <v>1310</v>
      </c>
      <c r="B195" s="1472" t="s">
        <v>1845</v>
      </c>
      <c r="C195" s="1473"/>
      <c r="D195" s="1473"/>
      <c r="E195" s="1473"/>
      <c r="F195" s="1473"/>
      <c r="G195" s="1474"/>
      <c r="H195" s="257">
        <v>68.900000000000006</v>
      </c>
      <c r="I195" s="257">
        <v>1.18</v>
      </c>
      <c r="J195" s="257">
        <f t="shared" si="0"/>
        <v>58.389830508474581</v>
      </c>
      <c r="K195" s="244">
        <f t="shared" si="2"/>
        <v>58.386389830508477</v>
      </c>
      <c r="L195" s="457"/>
      <c r="M195" s="460"/>
      <c r="N195" s="460"/>
      <c r="O195" s="460"/>
      <c r="P195" s="460"/>
      <c r="Q195" s="498"/>
      <c r="R195" s="460"/>
      <c r="S195" s="460"/>
      <c r="T195" s="460"/>
      <c r="U195" s="460"/>
      <c r="V195" s="460"/>
      <c r="W195" s="257"/>
      <c r="X195" s="266"/>
      <c r="Y195" s="266"/>
      <c r="Z195" s="266"/>
      <c r="AA195" s="266"/>
      <c r="AB195" s="266"/>
      <c r="AC195" s="266"/>
      <c r="AD195" s="354"/>
      <c r="AE195" s="354">
        <f>68.89594/1.18</f>
        <v>58.386389830508477</v>
      </c>
      <c r="AF195" s="354"/>
      <c r="AG195" s="354"/>
      <c r="AH195" s="354"/>
      <c r="AI195" s="354"/>
      <c r="AJ195" s="244"/>
      <c r="AK195" s="316"/>
      <c r="AL195" s="316"/>
      <c r="AM195" s="306" t="s">
        <v>1327</v>
      </c>
      <c r="AN195" s="306" t="s">
        <v>1328</v>
      </c>
    </row>
    <row r="196" spans="1:40" ht="15" customHeight="1">
      <c r="A196" s="307" t="s">
        <v>1311</v>
      </c>
      <c r="B196" s="1472" t="s">
        <v>103</v>
      </c>
      <c r="C196" s="1473"/>
      <c r="D196" s="1473"/>
      <c r="E196" s="1473"/>
      <c r="F196" s="1473"/>
      <c r="G196" s="1474"/>
      <c r="H196" s="257">
        <v>664.15</v>
      </c>
      <c r="I196" s="257">
        <v>1.18</v>
      </c>
      <c r="J196" s="257">
        <f t="shared" si="0"/>
        <v>562.83898305084745</v>
      </c>
      <c r="K196" s="244">
        <f t="shared" si="2"/>
        <v>562.83556779661023</v>
      </c>
      <c r="L196" s="457"/>
      <c r="M196" s="460"/>
      <c r="N196" s="460"/>
      <c r="O196" s="460"/>
      <c r="P196" s="460"/>
      <c r="Q196" s="498"/>
      <c r="R196" s="460"/>
      <c r="S196" s="460"/>
      <c r="T196" s="460"/>
      <c r="U196" s="460"/>
      <c r="V196" s="460"/>
      <c r="W196" s="257"/>
      <c r="X196" s="266"/>
      <c r="Y196" s="266"/>
      <c r="Z196" s="266"/>
      <c r="AA196" s="266"/>
      <c r="AB196" s="266"/>
      <c r="AC196" s="266"/>
      <c r="AD196" s="354"/>
      <c r="AE196" s="354">
        <f>664.14597/1.18</f>
        <v>562.83556779661023</v>
      </c>
      <c r="AF196" s="354"/>
      <c r="AG196" s="354"/>
      <c r="AH196" s="354"/>
      <c r="AI196" s="354"/>
      <c r="AJ196" s="244"/>
      <c r="AK196" s="316"/>
      <c r="AL196" s="316"/>
      <c r="AM196" s="306" t="s">
        <v>1327</v>
      </c>
      <c r="AN196" s="306" t="s">
        <v>1328</v>
      </c>
    </row>
    <row r="197" spans="1:40" ht="15" customHeight="1">
      <c r="A197" s="307" t="s">
        <v>1312</v>
      </c>
      <c r="B197" s="1472" t="s">
        <v>288</v>
      </c>
      <c r="C197" s="1473"/>
      <c r="D197" s="1473"/>
      <c r="E197" s="1473"/>
      <c r="F197" s="1473"/>
      <c r="G197" s="1474"/>
      <c r="H197" s="257">
        <v>194.69</v>
      </c>
      <c r="I197" s="257">
        <v>1.18</v>
      </c>
      <c r="J197" s="257">
        <f t="shared" si="0"/>
        <v>164.99152542372883</v>
      </c>
      <c r="K197" s="244">
        <f t="shared" si="2"/>
        <v>164.98731355932205</v>
      </c>
      <c r="L197" s="457"/>
      <c r="M197" s="460"/>
      <c r="N197" s="460"/>
      <c r="O197" s="460"/>
      <c r="P197" s="460"/>
      <c r="Q197" s="498"/>
      <c r="R197" s="460"/>
      <c r="S197" s="460"/>
      <c r="T197" s="460"/>
      <c r="U197" s="460"/>
      <c r="V197" s="460"/>
      <c r="W197" s="257"/>
      <c r="X197" s="266"/>
      <c r="Y197" s="266"/>
      <c r="Z197" s="266"/>
      <c r="AA197" s="266"/>
      <c r="AB197" s="266"/>
      <c r="AC197" s="266"/>
      <c r="AD197" s="354"/>
      <c r="AE197" s="354">
        <f>194.68503/1.18</f>
        <v>164.98731355932205</v>
      </c>
      <c r="AF197" s="354"/>
      <c r="AG197" s="354"/>
      <c r="AH197" s="354"/>
      <c r="AI197" s="354"/>
      <c r="AJ197" s="244"/>
      <c r="AK197" s="316"/>
      <c r="AL197" s="316"/>
      <c r="AM197" s="306" t="s">
        <v>1327</v>
      </c>
      <c r="AN197" s="306" t="s">
        <v>1328</v>
      </c>
    </row>
    <row r="198" spans="1:40" ht="15" customHeight="1">
      <c r="A198" s="307" t="s">
        <v>1313</v>
      </c>
      <c r="B198" s="1472" t="s">
        <v>94</v>
      </c>
      <c r="C198" s="1473"/>
      <c r="D198" s="1473"/>
      <c r="E198" s="1473"/>
      <c r="F198" s="1473"/>
      <c r="G198" s="1474"/>
      <c r="H198" s="257">
        <v>220.51</v>
      </c>
      <c r="I198" s="257">
        <v>1.18</v>
      </c>
      <c r="J198" s="257">
        <f t="shared" si="0"/>
        <v>186.87288135593221</v>
      </c>
      <c r="K198" s="244">
        <f t="shared" si="2"/>
        <v>187.88220338983052</v>
      </c>
      <c r="L198" s="457"/>
      <c r="M198" s="460"/>
      <c r="N198" s="460"/>
      <c r="O198" s="460"/>
      <c r="P198" s="460"/>
      <c r="Q198" s="498"/>
      <c r="R198" s="460"/>
      <c r="S198" s="460"/>
      <c r="T198" s="460"/>
      <c r="U198" s="460"/>
      <c r="V198" s="460"/>
      <c r="W198" s="257"/>
      <c r="X198" s="266"/>
      <c r="Y198" s="266"/>
      <c r="Z198" s="266"/>
      <c r="AA198" s="266"/>
      <c r="AB198" s="266"/>
      <c r="AC198" s="266"/>
      <c r="AD198" s="354"/>
      <c r="AE198" s="354"/>
      <c r="AF198" s="354"/>
      <c r="AG198" s="354">
        <f>221.701/1.18</f>
        <v>187.88220338983052</v>
      </c>
      <c r="AH198" s="354"/>
      <c r="AI198" s="354"/>
      <c r="AJ198" s="244"/>
      <c r="AK198" s="316"/>
      <c r="AL198" s="316"/>
      <c r="AM198" s="306" t="s">
        <v>1327</v>
      </c>
      <c r="AN198" s="306" t="s">
        <v>1328</v>
      </c>
    </row>
    <row r="199" spans="1:40" ht="15" customHeight="1">
      <c r="A199" s="307" t="s">
        <v>1314</v>
      </c>
      <c r="B199" s="1472" t="s">
        <v>1276</v>
      </c>
      <c r="C199" s="1473"/>
      <c r="D199" s="1473"/>
      <c r="E199" s="1473"/>
      <c r="F199" s="1473"/>
      <c r="G199" s="1474"/>
      <c r="H199" s="257">
        <v>705.1</v>
      </c>
      <c r="I199" s="257">
        <v>1.18</v>
      </c>
      <c r="J199" s="257">
        <f t="shared" si="0"/>
        <v>597.54237288135596</v>
      </c>
      <c r="K199" s="244">
        <f t="shared" si="2"/>
        <v>507.16271186440679</v>
      </c>
      <c r="L199" s="457"/>
      <c r="M199" s="460"/>
      <c r="N199" s="460"/>
      <c r="O199" s="460"/>
      <c r="P199" s="460"/>
      <c r="Q199" s="498"/>
      <c r="R199" s="460"/>
      <c r="S199" s="460"/>
      <c r="T199" s="460"/>
      <c r="U199" s="460"/>
      <c r="V199" s="460"/>
      <c r="W199" s="257"/>
      <c r="X199" s="266"/>
      <c r="Y199" s="266"/>
      <c r="Z199" s="266"/>
      <c r="AA199" s="266"/>
      <c r="AB199" s="266"/>
      <c r="AC199" s="266"/>
      <c r="AD199" s="354"/>
      <c r="AE199" s="354"/>
      <c r="AF199" s="354"/>
      <c r="AG199" s="354">
        <f>(537.445+61.007)/1.18</f>
        <v>507.16271186440679</v>
      </c>
      <c r="AH199" s="354"/>
      <c r="AI199" s="354"/>
      <c r="AJ199" s="244"/>
      <c r="AK199" s="316"/>
      <c r="AL199" s="316"/>
      <c r="AM199" s="306" t="s">
        <v>1327</v>
      </c>
      <c r="AN199" s="306" t="s">
        <v>1328</v>
      </c>
    </row>
    <row r="200" spans="1:40" ht="15" customHeight="1">
      <c r="A200" s="514" t="s">
        <v>1315</v>
      </c>
      <c r="B200" s="1472" t="s">
        <v>93</v>
      </c>
      <c r="C200" s="1473"/>
      <c r="D200" s="1473"/>
      <c r="E200" s="1473"/>
      <c r="F200" s="1473"/>
      <c r="G200" s="1474"/>
      <c r="H200" s="257"/>
      <c r="I200" s="257"/>
      <c r="J200" s="257"/>
      <c r="K200" s="244">
        <f t="shared" ref="K200:K206" si="3">SUM(L200:AN200)</f>
        <v>100.914</v>
      </c>
      <c r="L200" s="457"/>
      <c r="M200" s="460"/>
      <c r="N200" s="460"/>
      <c r="O200" s="460"/>
      <c r="P200" s="460"/>
      <c r="Q200" s="498"/>
      <c r="R200" s="460"/>
      <c r="S200" s="460"/>
      <c r="T200" s="460"/>
      <c r="U200" s="460"/>
      <c r="V200" s="460"/>
      <c r="W200" s="259"/>
      <c r="X200" s="266"/>
      <c r="Y200" s="266"/>
      <c r="Z200" s="266"/>
      <c r="AA200" s="266"/>
      <c r="AB200" s="266"/>
      <c r="AC200" s="266"/>
      <c r="AD200" s="266"/>
      <c r="AE200" s="266"/>
      <c r="AF200" s="515"/>
      <c r="AG200" s="515"/>
      <c r="AH200" s="354"/>
      <c r="AI200" s="354">
        <f>119.07852/1.18</f>
        <v>100.914</v>
      </c>
      <c r="AJ200" s="244"/>
      <c r="AK200" s="316"/>
      <c r="AL200" s="316"/>
      <c r="AM200" s="306" t="s">
        <v>1327</v>
      </c>
      <c r="AN200" s="306" t="s">
        <v>1328</v>
      </c>
    </row>
    <row r="201" spans="1:40" ht="15" customHeight="1">
      <c r="A201" s="307" t="s">
        <v>1846</v>
      </c>
      <c r="B201" s="1472" t="s">
        <v>1847</v>
      </c>
      <c r="C201" s="1473"/>
      <c r="D201" s="1473"/>
      <c r="E201" s="1473"/>
      <c r="F201" s="1473"/>
      <c r="G201" s="1474"/>
      <c r="H201" s="257"/>
      <c r="I201" s="257"/>
      <c r="J201" s="257"/>
      <c r="K201" s="244">
        <f t="shared" si="3"/>
        <v>247.37688135593223</v>
      </c>
      <c r="L201" s="457"/>
      <c r="M201" s="460"/>
      <c r="N201" s="460"/>
      <c r="O201" s="460"/>
      <c r="P201" s="460"/>
      <c r="Q201" s="498"/>
      <c r="R201" s="460"/>
      <c r="S201" s="460"/>
      <c r="T201" s="460"/>
      <c r="U201" s="460"/>
      <c r="V201" s="460"/>
      <c r="W201" s="259"/>
      <c r="X201" s="266"/>
      <c r="Y201" s="266"/>
      <c r="Z201" s="266"/>
      <c r="AA201" s="266"/>
      <c r="AB201" s="266"/>
      <c r="AC201" s="266"/>
      <c r="AD201" s="266"/>
      <c r="AE201" s="266"/>
      <c r="AF201" s="515"/>
      <c r="AG201" s="515"/>
      <c r="AH201" s="354"/>
      <c r="AI201" s="354">
        <f>291.90472/1.18</f>
        <v>247.37688135593223</v>
      </c>
      <c r="AJ201" s="244"/>
      <c r="AK201" s="316"/>
      <c r="AL201" s="316"/>
      <c r="AM201" s="306" t="s">
        <v>1327</v>
      </c>
      <c r="AN201" s="306" t="s">
        <v>1328</v>
      </c>
    </row>
    <row r="202" spans="1:40" ht="15" customHeight="1">
      <c r="A202" s="307" t="s">
        <v>1848</v>
      </c>
      <c r="B202" s="1472" t="s">
        <v>1849</v>
      </c>
      <c r="C202" s="1473"/>
      <c r="D202" s="1473"/>
      <c r="E202" s="1473"/>
      <c r="F202" s="1473"/>
      <c r="G202" s="1474"/>
      <c r="H202" s="257"/>
      <c r="I202" s="257"/>
      <c r="J202" s="257"/>
      <c r="K202" s="244">
        <f t="shared" si="3"/>
        <v>57.525161016949156</v>
      </c>
      <c r="L202" s="457"/>
      <c r="M202" s="460"/>
      <c r="N202" s="460"/>
      <c r="O202" s="460"/>
      <c r="P202" s="460"/>
      <c r="Q202" s="498"/>
      <c r="R202" s="460"/>
      <c r="S202" s="460"/>
      <c r="T202" s="460"/>
      <c r="U202" s="460"/>
      <c r="V202" s="460"/>
      <c r="W202" s="259"/>
      <c r="X202" s="266"/>
      <c r="Y202" s="266"/>
      <c r="Z202" s="266"/>
      <c r="AA202" s="266"/>
      <c r="AB202" s="266"/>
      <c r="AC202" s="266"/>
      <c r="AD202" s="266"/>
      <c r="AE202" s="266"/>
      <c r="AF202" s="515"/>
      <c r="AG202" s="515"/>
      <c r="AH202" s="354"/>
      <c r="AI202" s="354">
        <f>67.87969/1.18</f>
        <v>57.525161016949156</v>
      </c>
      <c r="AJ202" s="244"/>
      <c r="AK202" s="316"/>
      <c r="AL202" s="316"/>
      <c r="AM202" s="306" t="s">
        <v>1327</v>
      </c>
      <c r="AN202" s="306" t="s">
        <v>1328</v>
      </c>
    </row>
    <row r="203" spans="1:40" ht="15" customHeight="1">
      <c r="A203" s="307" t="s">
        <v>1850</v>
      </c>
      <c r="B203" s="1472" t="s">
        <v>1851</v>
      </c>
      <c r="C203" s="1473"/>
      <c r="D203" s="1473"/>
      <c r="E203" s="1473"/>
      <c r="F203" s="1473"/>
      <c r="G203" s="1474"/>
      <c r="H203" s="257"/>
      <c r="I203" s="257"/>
      <c r="J203" s="257"/>
      <c r="K203" s="244">
        <f t="shared" si="3"/>
        <v>152.67386999999999</v>
      </c>
      <c r="L203" s="457"/>
      <c r="M203" s="460"/>
      <c r="N203" s="460"/>
      <c r="O203" s="460"/>
      <c r="P203" s="460"/>
      <c r="Q203" s="498"/>
      <c r="R203" s="460"/>
      <c r="S203" s="460"/>
      <c r="T203" s="460"/>
      <c r="U203" s="460"/>
      <c r="V203" s="460"/>
      <c r="W203" s="259"/>
      <c r="X203" s="266"/>
      <c r="Y203" s="266"/>
      <c r="Z203" s="266"/>
      <c r="AA203" s="266"/>
      <c r="AB203" s="266"/>
      <c r="AC203" s="266"/>
      <c r="AD203" s="266"/>
      <c r="AE203" s="266"/>
      <c r="AF203" s="515"/>
      <c r="AG203" s="515"/>
      <c r="AH203" s="354"/>
      <c r="AI203" s="354">
        <f>152.67387</f>
        <v>152.67386999999999</v>
      </c>
      <c r="AJ203" s="244"/>
      <c r="AK203" s="316"/>
      <c r="AL203" s="316"/>
      <c r="AM203" s="306" t="s">
        <v>1327</v>
      </c>
      <c r="AN203" s="306" t="s">
        <v>1328</v>
      </c>
    </row>
    <row r="204" spans="1:40" ht="15" customHeight="1">
      <c r="A204" s="307" t="s">
        <v>1852</v>
      </c>
      <c r="B204" s="1472" t="s">
        <v>1853</v>
      </c>
      <c r="C204" s="1473"/>
      <c r="D204" s="1473"/>
      <c r="E204" s="1473"/>
      <c r="F204" s="1473"/>
      <c r="G204" s="1474"/>
      <c r="H204" s="257"/>
      <c r="I204" s="257"/>
      <c r="J204" s="257"/>
      <c r="K204" s="244">
        <f t="shared" si="3"/>
        <v>200.98257000000001</v>
      </c>
      <c r="L204" s="457"/>
      <c r="M204" s="460"/>
      <c r="N204" s="460"/>
      <c r="O204" s="460"/>
      <c r="P204" s="460"/>
      <c r="Q204" s="498"/>
      <c r="R204" s="460"/>
      <c r="S204" s="460"/>
      <c r="T204" s="460"/>
      <c r="U204" s="460"/>
      <c r="V204" s="460"/>
      <c r="W204" s="259"/>
      <c r="X204" s="266"/>
      <c r="Y204" s="266"/>
      <c r="Z204" s="266"/>
      <c r="AA204" s="266"/>
      <c r="AB204" s="266"/>
      <c r="AC204" s="266"/>
      <c r="AD204" s="266"/>
      <c r="AE204" s="266"/>
      <c r="AF204" s="515"/>
      <c r="AG204" s="515"/>
      <c r="AH204" s="354"/>
      <c r="AI204" s="354">
        <f>200.98257</f>
        <v>200.98257000000001</v>
      </c>
      <c r="AJ204" s="244"/>
      <c r="AK204" s="316"/>
      <c r="AL204" s="316"/>
      <c r="AM204" s="306" t="s">
        <v>1327</v>
      </c>
      <c r="AN204" s="306" t="s">
        <v>1328</v>
      </c>
    </row>
    <row r="205" spans="1:40" ht="15" customHeight="1">
      <c r="A205" s="307" t="s">
        <v>1854</v>
      </c>
      <c r="B205" s="1472" t="s">
        <v>1855</v>
      </c>
      <c r="C205" s="1473"/>
      <c r="D205" s="1473"/>
      <c r="E205" s="1473"/>
      <c r="F205" s="1473"/>
      <c r="G205" s="1474"/>
      <c r="H205" s="257"/>
      <c r="I205" s="257"/>
      <c r="J205" s="257"/>
      <c r="K205" s="244">
        <f t="shared" si="3"/>
        <v>213.05974000000001</v>
      </c>
      <c r="L205" s="457"/>
      <c r="M205" s="460"/>
      <c r="N205" s="460"/>
      <c r="O205" s="460"/>
      <c r="P205" s="460"/>
      <c r="Q205" s="498"/>
      <c r="R205" s="460"/>
      <c r="S205" s="460"/>
      <c r="T205" s="460"/>
      <c r="U205" s="460"/>
      <c r="V205" s="460"/>
      <c r="W205" s="259"/>
      <c r="X205" s="266"/>
      <c r="Y205" s="266"/>
      <c r="Z205" s="266"/>
      <c r="AA205" s="266"/>
      <c r="AB205" s="266"/>
      <c r="AC205" s="266"/>
      <c r="AD205" s="266"/>
      <c r="AE205" s="266"/>
      <c r="AF205" s="515"/>
      <c r="AG205" s="515"/>
      <c r="AH205" s="354"/>
      <c r="AI205" s="354">
        <f>213.05974</f>
        <v>213.05974000000001</v>
      </c>
      <c r="AJ205" s="244"/>
      <c r="AK205" s="316"/>
      <c r="AL205" s="316"/>
      <c r="AM205" s="306" t="s">
        <v>1327</v>
      </c>
      <c r="AN205" s="306" t="s">
        <v>1328</v>
      </c>
    </row>
    <row r="206" spans="1:40" ht="15" customHeight="1">
      <c r="A206" s="514" t="s">
        <v>1856</v>
      </c>
      <c r="B206" s="1472" t="s">
        <v>1857</v>
      </c>
      <c r="C206" s="1473"/>
      <c r="D206" s="1473"/>
      <c r="E206" s="1473"/>
      <c r="F206" s="1473"/>
      <c r="G206" s="1474"/>
      <c r="H206" s="257"/>
      <c r="I206" s="257"/>
      <c r="J206" s="257"/>
      <c r="K206" s="244">
        <f t="shared" si="3"/>
        <v>355.92900000000003</v>
      </c>
      <c r="L206" s="457"/>
      <c r="M206" s="460"/>
      <c r="N206" s="460"/>
      <c r="O206" s="460"/>
      <c r="P206" s="460"/>
      <c r="Q206" s="498"/>
      <c r="R206" s="460"/>
      <c r="S206" s="460"/>
      <c r="T206" s="460"/>
      <c r="U206" s="460"/>
      <c r="V206" s="460"/>
      <c r="W206" s="259"/>
      <c r="X206" s="266"/>
      <c r="Y206" s="266"/>
      <c r="Z206" s="266"/>
      <c r="AA206" s="266"/>
      <c r="AB206" s="266"/>
      <c r="AC206" s="266"/>
      <c r="AD206" s="266"/>
      <c r="AE206" s="266"/>
      <c r="AF206" s="515"/>
      <c r="AG206" s="515"/>
      <c r="AH206" s="354"/>
      <c r="AI206" s="354">
        <f>419.99622/1.18</f>
        <v>355.92900000000003</v>
      </c>
      <c r="AJ206" s="244"/>
      <c r="AK206" s="316"/>
      <c r="AL206" s="316"/>
      <c r="AM206" s="306" t="s">
        <v>1327</v>
      </c>
      <c r="AN206" s="306" t="s">
        <v>1328</v>
      </c>
    </row>
    <row r="207" spans="1:40" ht="15" customHeight="1">
      <c r="A207" s="307" t="s">
        <v>1858</v>
      </c>
      <c r="B207" s="1472" t="s">
        <v>1859</v>
      </c>
      <c r="C207" s="1473"/>
      <c r="D207" s="1473"/>
      <c r="E207" s="1473"/>
      <c r="F207" s="1473"/>
      <c r="G207" s="1474"/>
      <c r="H207" s="257">
        <v>599.65</v>
      </c>
      <c r="I207" s="257">
        <v>1.18</v>
      </c>
      <c r="J207" s="257">
        <f>H207/I207</f>
        <v>508.17796610169495</v>
      </c>
      <c r="K207" s="244"/>
      <c r="L207" s="450"/>
      <c r="M207" s="249"/>
      <c r="N207" s="249"/>
      <c r="O207" s="249"/>
      <c r="P207" s="249"/>
      <c r="Q207" s="249"/>
      <c r="R207" s="249"/>
      <c r="S207" s="249"/>
      <c r="T207" s="249"/>
      <c r="U207" s="249"/>
      <c r="V207" s="249"/>
      <c r="W207" s="249"/>
      <c r="X207" s="250"/>
      <c r="Y207" s="250"/>
      <c r="Z207" s="250"/>
      <c r="AA207" s="258"/>
      <c r="AB207" s="250"/>
      <c r="AC207" s="258"/>
      <c r="AD207" s="244"/>
      <c r="AE207" s="244">
        <v>265.57881355932204</v>
      </c>
      <c r="AF207" s="244"/>
      <c r="AG207" s="258">
        <v>85.614906779661013</v>
      </c>
      <c r="AH207" s="447"/>
      <c r="AI207" s="354"/>
      <c r="AJ207" s="244"/>
      <c r="AK207" s="451"/>
      <c r="AL207" s="316"/>
      <c r="AM207" s="306"/>
      <c r="AN207" s="306"/>
    </row>
    <row r="208" spans="1:40" ht="15" customHeight="1">
      <c r="A208" s="307" t="s">
        <v>1860</v>
      </c>
      <c r="B208" s="1472" t="s">
        <v>1861</v>
      </c>
      <c r="C208" s="1473"/>
      <c r="D208" s="1473"/>
      <c r="E208" s="1473"/>
      <c r="F208" s="1473"/>
      <c r="G208" s="1474"/>
      <c r="H208" s="257"/>
      <c r="I208" s="257"/>
      <c r="J208" s="257"/>
      <c r="K208" s="244">
        <v>130.36000000000001</v>
      </c>
      <c r="L208" s="450"/>
      <c r="M208" s="249"/>
      <c r="N208" s="249"/>
      <c r="O208" s="249"/>
      <c r="P208" s="249"/>
      <c r="Q208" s="249"/>
      <c r="R208" s="249"/>
      <c r="S208" s="249"/>
      <c r="T208" s="249"/>
      <c r="U208" s="249"/>
      <c r="V208" s="249"/>
      <c r="W208" s="249"/>
      <c r="X208" s="250"/>
      <c r="Y208" s="250"/>
      <c r="Z208" s="250"/>
      <c r="AA208" s="258"/>
      <c r="AB208" s="250"/>
      <c r="AC208" s="258"/>
      <c r="AD208" s="244"/>
      <c r="AE208" s="244"/>
      <c r="AF208" s="244"/>
      <c r="AG208" s="258"/>
      <c r="AH208" s="447"/>
      <c r="AI208" s="354"/>
      <c r="AJ208" s="244"/>
      <c r="AK208" s="451"/>
      <c r="AL208" s="316"/>
      <c r="AM208" s="306" t="s">
        <v>1327</v>
      </c>
      <c r="AN208" s="306" t="s">
        <v>1328</v>
      </c>
    </row>
    <row r="209" spans="1:40" ht="15" customHeight="1">
      <c r="A209" s="1500" t="s">
        <v>61</v>
      </c>
      <c r="B209" s="1501"/>
      <c r="C209" s="1501"/>
      <c r="D209" s="1501"/>
      <c r="E209" s="1501"/>
      <c r="F209" s="1501"/>
      <c r="G209" s="1501"/>
      <c r="H209" s="442">
        <f>SUM(H210:H235)</f>
        <v>889.68000000000052</v>
      </c>
      <c r="I209" s="442"/>
      <c r="J209" s="442">
        <f>SUM(J210:J235)</f>
        <v>753.96610169491498</v>
      </c>
      <c r="K209" s="442">
        <f>SUM(K210:K235)</f>
        <v>810.31612711864409</v>
      </c>
      <c r="L209" s="457"/>
      <c r="M209" s="460"/>
      <c r="N209" s="460"/>
      <c r="O209" s="460"/>
      <c r="P209" s="460"/>
      <c r="Q209" s="460"/>
      <c r="R209" s="460"/>
      <c r="S209" s="460"/>
      <c r="T209" s="460"/>
      <c r="U209" s="460"/>
      <c r="V209" s="460"/>
      <c r="W209" s="257"/>
      <c r="X209" s="266"/>
      <c r="Y209" s="266"/>
      <c r="Z209" s="266"/>
      <c r="AA209" s="266"/>
      <c r="AB209" s="266"/>
      <c r="AC209" s="266"/>
      <c r="AD209" s="244"/>
      <c r="AE209" s="244"/>
      <c r="AF209" s="244"/>
      <c r="AG209" s="244"/>
      <c r="AH209" s="244"/>
      <c r="AI209" s="244"/>
      <c r="AJ209" s="244"/>
      <c r="AK209" s="316"/>
      <c r="AL209" s="316"/>
      <c r="AM209" s="307"/>
      <c r="AN209" s="306"/>
    </row>
    <row r="210" spans="1:40" ht="15" customHeight="1">
      <c r="A210" s="512" t="s">
        <v>198</v>
      </c>
      <c r="B210" s="1581" t="s">
        <v>63</v>
      </c>
      <c r="C210" s="1582"/>
      <c r="D210" s="1582"/>
      <c r="E210" s="1582"/>
      <c r="F210" s="1582"/>
      <c r="G210" s="1583"/>
      <c r="H210" s="513">
        <v>135.9</v>
      </c>
      <c r="I210" s="257">
        <v>1.18</v>
      </c>
      <c r="J210" s="257">
        <f t="shared" ref="J210:J235" si="4">H210/I210</f>
        <v>115.16949152542374</v>
      </c>
      <c r="K210" s="244">
        <f>SUM(L210:AI210)</f>
        <v>192.79362711864408</v>
      </c>
      <c r="L210" s="457"/>
      <c r="M210" s="460"/>
      <c r="N210" s="460"/>
      <c r="O210" s="460"/>
      <c r="P210" s="460"/>
      <c r="Q210" s="460"/>
      <c r="R210" s="460"/>
      <c r="S210" s="460"/>
      <c r="T210" s="460"/>
      <c r="U210" s="460"/>
      <c r="V210" s="460"/>
      <c r="W210" s="460"/>
      <c r="X210" s="482"/>
      <c r="Y210" s="244"/>
      <c r="Z210" s="482"/>
      <c r="AA210" s="482"/>
      <c r="AB210" s="482"/>
      <c r="AC210" s="482"/>
      <c r="AD210" s="244"/>
      <c r="AE210" s="244"/>
      <c r="AF210" s="244"/>
      <c r="AG210" s="244"/>
      <c r="AH210" s="354"/>
      <c r="AI210" s="354">
        <f>227.49648/1.18</f>
        <v>192.79362711864408</v>
      </c>
      <c r="AJ210" s="244"/>
      <c r="AK210" s="316"/>
      <c r="AL210" s="316"/>
      <c r="AM210" s="306" t="s">
        <v>1327</v>
      </c>
      <c r="AN210" s="306" t="s">
        <v>1328</v>
      </c>
    </row>
    <row r="211" spans="1:40" ht="15" customHeight="1">
      <c r="A211" s="512" t="s">
        <v>199</v>
      </c>
      <c r="B211" s="1581" t="s">
        <v>64</v>
      </c>
      <c r="C211" s="1582"/>
      <c r="D211" s="1582"/>
      <c r="E211" s="1582"/>
      <c r="F211" s="1582"/>
      <c r="G211" s="1583"/>
      <c r="H211" s="513">
        <v>197.3</v>
      </c>
      <c r="I211" s="257">
        <v>1.18</v>
      </c>
      <c r="J211" s="257">
        <f t="shared" si="4"/>
        <v>167.20338983050848</v>
      </c>
      <c r="K211" s="244">
        <f>SUM(L211:AI211)</f>
        <v>243.21759322033898</v>
      </c>
      <c r="L211" s="457"/>
      <c r="M211" s="460"/>
      <c r="N211" s="460"/>
      <c r="O211" s="460"/>
      <c r="P211" s="460"/>
      <c r="Q211" s="460"/>
      <c r="R211" s="460"/>
      <c r="S211" s="460"/>
      <c r="T211" s="460"/>
      <c r="U211" s="460"/>
      <c r="V211" s="460"/>
      <c r="W211" s="460"/>
      <c r="X211" s="482"/>
      <c r="Y211" s="244"/>
      <c r="Z211" s="482"/>
      <c r="AA211" s="482"/>
      <c r="AB211" s="482"/>
      <c r="AC211" s="482"/>
      <c r="AD211" s="244"/>
      <c r="AE211" s="244"/>
      <c r="AF211" s="244"/>
      <c r="AG211" s="244"/>
      <c r="AH211" s="354"/>
      <c r="AI211" s="354">
        <f>286.99676/1.18</f>
        <v>243.21759322033898</v>
      </c>
      <c r="AJ211" s="244"/>
      <c r="AK211" s="316"/>
      <c r="AL211" s="316"/>
      <c r="AM211" s="306" t="s">
        <v>1327</v>
      </c>
      <c r="AN211" s="306" t="s">
        <v>1328</v>
      </c>
    </row>
    <row r="212" spans="1:40" ht="15" customHeight="1">
      <c r="A212" s="512" t="s">
        <v>200</v>
      </c>
      <c r="B212" s="1581" t="s">
        <v>65</v>
      </c>
      <c r="C212" s="1582"/>
      <c r="D212" s="1582"/>
      <c r="E212" s="1582"/>
      <c r="F212" s="1582"/>
      <c r="G212" s="1583"/>
      <c r="H212" s="513">
        <v>162.84</v>
      </c>
      <c r="I212" s="257">
        <v>1.18</v>
      </c>
      <c r="J212" s="257">
        <f t="shared" si="4"/>
        <v>138</v>
      </c>
      <c r="K212" s="244">
        <f>SUM(L212:AI212)</f>
        <v>94.855423728813562</v>
      </c>
      <c r="L212" s="457"/>
      <c r="M212" s="460"/>
      <c r="N212" s="460"/>
      <c r="O212" s="460"/>
      <c r="P212" s="460"/>
      <c r="Q212" s="460"/>
      <c r="R212" s="460"/>
      <c r="S212" s="460"/>
      <c r="T212" s="460"/>
      <c r="U212" s="460"/>
      <c r="V212" s="460"/>
      <c r="W212" s="460"/>
      <c r="X212" s="482"/>
      <c r="Y212" s="482"/>
      <c r="Z212" s="482"/>
      <c r="AA212" s="258"/>
      <c r="AB212" s="482"/>
      <c r="AC212" s="482"/>
      <c r="AD212" s="244"/>
      <c r="AE212" s="244"/>
      <c r="AF212" s="244"/>
      <c r="AG212" s="244"/>
      <c r="AH212" s="354"/>
      <c r="AI212" s="354">
        <f>111.9294/1.18</f>
        <v>94.855423728813562</v>
      </c>
      <c r="AJ212" s="244"/>
      <c r="AK212" s="316"/>
      <c r="AL212" s="316"/>
      <c r="AM212" s="306" t="s">
        <v>1327</v>
      </c>
      <c r="AN212" s="306" t="s">
        <v>1328</v>
      </c>
    </row>
    <row r="213" spans="1:40" ht="15" customHeight="1">
      <c r="A213" s="512" t="s">
        <v>201</v>
      </c>
      <c r="B213" s="1581" t="s">
        <v>66</v>
      </c>
      <c r="C213" s="1582"/>
      <c r="D213" s="1582"/>
      <c r="E213" s="1582"/>
      <c r="F213" s="1582"/>
      <c r="G213" s="1583"/>
      <c r="H213" s="513">
        <v>162.84</v>
      </c>
      <c r="I213" s="257">
        <v>1.18</v>
      </c>
      <c r="J213" s="257">
        <f t="shared" si="4"/>
        <v>138</v>
      </c>
      <c r="K213" s="244">
        <f>SUM(L213:AI213)</f>
        <v>105.08510169491527</v>
      </c>
      <c r="L213" s="447"/>
      <c r="M213" s="447"/>
      <c r="N213" s="447"/>
      <c r="O213" s="447"/>
      <c r="P213" s="447"/>
      <c r="Q213" s="447"/>
      <c r="R213" s="447"/>
      <c r="S213" s="447"/>
      <c r="T213" s="447"/>
      <c r="U213" s="447"/>
      <c r="V213" s="447"/>
      <c r="W213" s="447"/>
      <c r="X213" s="447"/>
      <c r="Y213" s="447"/>
      <c r="Z213" s="447"/>
      <c r="AA213" s="447"/>
      <c r="AB213" s="447"/>
      <c r="AC213" s="447"/>
      <c r="AD213" s="447"/>
      <c r="AE213" s="447"/>
      <c r="AF213" s="447"/>
      <c r="AG213" s="447"/>
      <c r="AH213" s="447"/>
      <c r="AI213" s="447">
        <f>124.00042/1.18</f>
        <v>105.08510169491527</v>
      </c>
      <c r="AJ213" s="244"/>
      <c r="AK213" s="460"/>
      <c r="AL213" s="460"/>
      <c r="AM213" s="306" t="s">
        <v>1327</v>
      </c>
      <c r="AN213" s="306" t="s">
        <v>1328</v>
      </c>
    </row>
    <row r="214" spans="1:40" ht="15" customHeight="1">
      <c r="A214" s="307" t="s">
        <v>202</v>
      </c>
      <c r="B214" s="1497" t="s">
        <v>67</v>
      </c>
      <c r="C214" s="1498"/>
      <c r="D214" s="1498"/>
      <c r="E214" s="1498"/>
      <c r="F214" s="1498"/>
      <c r="G214" s="1499"/>
      <c r="H214" s="257">
        <v>35.11</v>
      </c>
      <c r="I214" s="257">
        <v>1.18</v>
      </c>
      <c r="J214" s="257">
        <f t="shared" si="4"/>
        <v>29.754237288135595</v>
      </c>
      <c r="K214" s="1425">
        <f>SUM(L214:AI214)</f>
        <v>174.36438135593221</v>
      </c>
      <c r="L214" s="457"/>
      <c r="M214" s="460"/>
      <c r="N214" s="460"/>
      <c r="O214" s="460"/>
      <c r="P214" s="460"/>
      <c r="Q214" s="460"/>
      <c r="R214" s="460"/>
      <c r="S214" s="460"/>
      <c r="T214" s="460"/>
      <c r="U214" s="1503">
        <f>161.47106/1.18</f>
        <v>136.83988135593219</v>
      </c>
      <c r="V214" s="460"/>
      <c r="W214" s="1506">
        <f>44.27891/1.18</f>
        <v>37.524500000000003</v>
      </c>
      <c r="X214" s="482"/>
      <c r="Y214" s="482"/>
      <c r="Z214" s="482"/>
      <c r="AA214" s="482"/>
      <c r="AB214" s="482"/>
      <c r="AC214" s="482"/>
      <c r="AD214" s="244"/>
      <c r="AE214" s="244"/>
      <c r="AF214" s="244"/>
      <c r="AG214" s="244"/>
      <c r="AH214" s="244"/>
      <c r="AI214" s="244"/>
      <c r="AJ214" s="244"/>
      <c r="AK214" s="316"/>
      <c r="AL214" s="316"/>
      <c r="AM214" s="306" t="s">
        <v>1327</v>
      </c>
      <c r="AN214" s="306" t="s">
        <v>1328</v>
      </c>
    </row>
    <row r="215" spans="1:40" ht="15" customHeight="1">
      <c r="A215" s="307" t="s">
        <v>203</v>
      </c>
      <c r="B215" s="1497" t="s">
        <v>68</v>
      </c>
      <c r="C215" s="1498"/>
      <c r="D215" s="1498"/>
      <c r="E215" s="1498"/>
      <c r="F215" s="1498"/>
      <c r="G215" s="1499"/>
      <c r="H215" s="257">
        <v>10.11</v>
      </c>
      <c r="I215" s="257">
        <v>1.18</v>
      </c>
      <c r="J215" s="257">
        <f t="shared" si="4"/>
        <v>8.5677966101694913</v>
      </c>
      <c r="K215" s="1502"/>
      <c r="L215" s="457"/>
      <c r="M215" s="460"/>
      <c r="N215" s="460"/>
      <c r="O215" s="460"/>
      <c r="P215" s="460"/>
      <c r="Q215" s="460"/>
      <c r="R215" s="460"/>
      <c r="S215" s="257"/>
      <c r="T215" s="460"/>
      <c r="U215" s="1504"/>
      <c r="V215" s="460"/>
      <c r="W215" s="1506"/>
      <c r="X215" s="482"/>
      <c r="Y215" s="258"/>
      <c r="Z215" s="482"/>
      <c r="AA215" s="482"/>
      <c r="AB215" s="482"/>
      <c r="AC215" s="482"/>
      <c r="AD215" s="244"/>
      <c r="AE215" s="244"/>
      <c r="AF215" s="244"/>
      <c r="AG215" s="244"/>
      <c r="AH215" s="244"/>
      <c r="AI215" s="244"/>
      <c r="AJ215" s="244"/>
      <c r="AK215" s="316"/>
      <c r="AL215" s="316"/>
      <c r="AM215" s="306" t="s">
        <v>1327</v>
      </c>
      <c r="AN215" s="306" t="s">
        <v>1328</v>
      </c>
    </row>
    <row r="216" spans="1:40" ht="15" customHeight="1">
      <c r="A216" s="307" t="s">
        <v>204</v>
      </c>
      <c r="B216" s="1497" t="s">
        <v>69</v>
      </c>
      <c r="C216" s="1498"/>
      <c r="D216" s="1498"/>
      <c r="E216" s="1498"/>
      <c r="F216" s="1498"/>
      <c r="G216" s="1499"/>
      <c r="H216" s="257">
        <v>10.11</v>
      </c>
      <c r="I216" s="257">
        <v>1.18</v>
      </c>
      <c r="J216" s="257">
        <f t="shared" si="4"/>
        <v>8.5677966101694913</v>
      </c>
      <c r="K216" s="1502"/>
      <c r="L216" s="447"/>
      <c r="M216" s="447"/>
      <c r="N216" s="447"/>
      <c r="O216" s="447"/>
      <c r="P216" s="447"/>
      <c r="Q216" s="447"/>
      <c r="R216" s="447"/>
      <c r="S216" s="447"/>
      <c r="T216" s="447"/>
      <c r="U216" s="1504"/>
      <c r="V216" s="447"/>
      <c r="W216" s="1506"/>
      <c r="X216" s="447"/>
      <c r="Y216" s="447"/>
      <c r="Z216" s="447"/>
      <c r="AA216" s="447"/>
      <c r="AB216" s="447"/>
      <c r="AC216" s="447"/>
      <c r="AD216" s="447"/>
      <c r="AE216" s="447"/>
      <c r="AF216" s="447"/>
      <c r="AG216" s="447"/>
      <c r="AH216" s="447"/>
      <c r="AI216" s="447"/>
      <c r="AJ216" s="447"/>
      <c r="AK216" s="460"/>
      <c r="AL216" s="460"/>
      <c r="AM216" s="306" t="s">
        <v>1327</v>
      </c>
      <c r="AN216" s="306" t="s">
        <v>1328</v>
      </c>
    </row>
    <row r="217" spans="1:40" ht="15" customHeight="1">
      <c r="A217" s="307" t="s">
        <v>205</v>
      </c>
      <c r="B217" s="1497" t="s">
        <v>1862</v>
      </c>
      <c r="C217" s="1498"/>
      <c r="D217" s="1498"/>
      <c r="E217" s="1498"/>
      <c r="F217" s="1498"/>
      <c r="G217" s="1499"/>
      <c r="H217" s="257">
        <v>10.11</v>
      </c>
      <c r="I217" s="257">
        <v>1.18</v>
      </c>
      <c r="J217" s="257">
        <f t="shared" si="4"/>
        <v>8.5677966101694913</v>
      </c>
      <c r="K217" s="1502"/>
      <c r="L217" s="457"/>
      <c r="M217" s="460"/>
      <c r="N217" s="460"/>
      <c r="O217" s="460"/>
      <c r="P217" s="460"/>
      <c r="Q217" s="460"/>
      <c r="R217" s="460"/>
      <c r="S217" s="257"/>
      <c r="T217" s="460"/>
      <c r="U217" s="1504"/>
      <c r="V217" s="460"/>
      <c r="W217" s="1506"/>
      <c r="X217" s="482"/>
      <c r="Y217" s="482"/>
      <c r="Z217" s="482"/>
      <c r="AA217" s="482"/>
      <c r="AB217" s="482"/>
      <c r="AC217" s="482"/>
      <c r="AD217" s="244"/>
      <c r="AE217" s="244"/>
      <c r="AF217" s="244"/>
      <c r="AG217" s="244"/>
      <c r="AH217" s="244"/>
      <c r="AI217" s="244"/>
      <c r="AJ217" s="244"/>
      <c r="AK217" s="316"/>
      <c r="AL217" s="316"/>
      <c r="AM217" s="306" t="s">
        <v>1327</v>
      </c>
      <c r="AN217" s="306" t="s">
        <v>1328</v>
      </c>
    </row>
    <row r="218" spans="1:40" ht="15" customHeight="1">
      <c r="A218" s="307" t="s">
        <v>206</v>
      </c>
      <c r="B218" s="1497" t="s">
        <v>70</v>
      </c>
      <c r="C218" s="1498"/>
      <c r="D218" s="1498"/>
      <c r="E218" s="1498"/>
      <c r="F218" s="1498"/>
      <c r="G218" s="1499"/>
      <c r="H218" s="257">
        <v>10.11</v>
      </c>
      <c r="I218" s="257">
        <v>1.18</v>
      </c>
      <c r="J218" s="257">
        <f t="shared" si="4"/>
        <v>8.5677966101694913</v>
      </c>
      <c r="K218" s="1502"/>
      <c r="L218" s="447"/>
      <c r="M218" s="447"/>
      <c r="N218" s="447"/>
      <c r="O218" s="447"/>
      <c r="P218" s="447"/>
      <c r="Q218" s="447"/>
      <c r="R218" s="447"/>
      <c r="S218" s="447"/>
      <c r="T218" s="447"/>
      <c r="U218" s="1504"/>
      <c r="V218" s="447"/>
      <c r="W218" s="1506"/>
      <c r="X218" s="447"/>
      <c r="Y218" s="447"/>
      <c r="Z218" s="447"/>
      <c r="AA218" s="447"/>
      <c r="AB218" s="447"/>
      <c r="AC218" s="447"/>
      <c r="AD218" s="447"/>
      <c r="AE218" s="447"/>
      <c r="AF218" s="447"/>
      <c r="AG218" s="447"/>
      <c r="AH218" s="447"/>
      <c r="AI218" s="447"/>
      <c r="AJ218" s="244"/>
      <c r="AK218" s="460"/>
      <c r="AL218" s="460"/>
      <c r="AM218" s="306" t="s">
        <v>1327</v>
      </c>
      <c r="AN218" s="306" t="s">
        <v>1328</v>
      </c>
    </row>
    <row r="219" spans="1:40" ht="15" customHeight="1">
      <c r="A219" s="307" t="s">
        <v>207</v>
      </c>
      <c r="B219" s="1497" t="s">
        <v>71</v>
      </c>
      <c r="C219" s="1498"/>
      <c r="D219" s="1498"/>
      <c r="E219" s="1498"/>
      <c r="F219" s="1498"/>
      <c r="G219" s="1499"/>
      <c r="H219" s="257">
        <v>10.11</v>
      </c>
      <c r="I219" s="257">
        <v>1.18</v>
      </c>
      <c r="J219" s="257">
        <f t="shared" si="4"/>
        <v>8.5677966101694913</v>
      </c>
      <c r="K219" s="1502"/>
      <c r="L219" s="457"/>
      <c r="M219" s="257"/>
      <c r="N219" s="468"/>
      <c r="O219" s="257"/>
      <c r="P219" s="460"/>
      <c r="Q219" s="257"/>
      <c r="R219" s="460"/>
      <c r="S219" s="257"/>
      <c r="T219" s="460"/>
      <c r="U219" s="1504"/>
      <c r="V219" s="460"/>
      <c r="W219" s="1506"/>
      <c r="X219" s="266"/>
      <c r="Y219" s="244"/>
      <c r="Z219" s="266"/>
      <c r="AA219" s="244"/>
      <c r="AB219" s="266"/>
      <c r="AC219" s="244"/>
      <c r="AD219" s="244"/>
      <c r="AE219" s="244"/>
      <c r="AF219" s="244"/>
      <c r="AG219" s="244"/>
      <c r="AH219" s="244"/>
      <c r="AI219" s="244"/>
      <c r="AJ219" s="244"/>
      <c r="AK219" s="316"/>
      <c r="AL219" s="316"/>
      <c r="AM219" s="306" t="s">
        <v>1327</v>
      </c>
      <c r="AN219" s="306" t="s">
        <v>1328</v>
      </c>
    </row>
    <row r="220" spans="1:40" ht="15" customHeight="1">
      <c r="A220" s="307" t="s">
        <v>208</v>
      </c>
      <c r="B220" s="1497" t="s">
        <v>72</v>
      </c>
      <c r="C220" s="1498"/>
      <c r="D220" s="1498"/>
      <c r="E220" s="1498"/>
      <c r="F220" s="1498"/>
      <c r="G220" s="1499"/>
      <c r="H220" s="257">
        <v>10.11</v>
      </c>
      <c r="I220" s="257">
        <v>1.18</v>
      </c>
      <c r="J220" s="257">
        <f t="shared" si="4"/>
        <v>8.5677966101694913</v>
      </c>
      <c r="K220" s="1502"/>
      <c r="L220" s="457"/>
      <c r="M220" s="257"/>
      <c r="N220" s="460"/>
      <c r="O220" s="257"/>
      <c r="P220" s="460"/>
      <c r="Q220" s="257"/>
      <c r="R220" s="460"/>
      <c r="S220" s="257"/>
      <c r="T220" s="460"/>
      <c r="U220" s="1504"/>
      <c r="V220" s="460"/>
      <c r="W220" s="1506"/>
      <c r="X220" s="266"/>
      <c r="Y220" s="244"/>
      <c r="Z220" s="266"/>
      <c r="AA220" s="244"/>
      <c r="AB220" s="266"/>
      <c r="AC220" s="244"/>
      <c r="AD220" s="244"/>
      <c r="AE220" s="244"/>
      <c r="AF220" s="244"/>
      <c r="AG220" s="244"/>
      <c r="AH220" s="244"/>
      <c r="AI220" s="244"/>
      <c r="AJ220" s="244"/>
      <c r="AK220" s="316"/>
      <c r="AL220" s="316"/>
      <c r="AM220" s="306" t="s">
        <v>1327</v>
      </c>
      <c r="AN220" s="306" t="s">
        <v>1328</v>
      </c>
    </row>
    <row r="221" spans="1:40" ht="15" customHeight="1">
      <c r="A221" s="307" t="s">
        <v>209</v>
      </c>
      <c r="B221" s="1497" t="s">
        <v>73</v>
      </c>
      <c r="C221" s="1498"/>
      <c r="D221" s="1498"/>
      <c r="E221" s="1498"/>
      <c r="F221" s="1498"/>
      <c r="G221" s="1499"/>
      <c r="H221" s="257">
        <v>10.11</v>
      </c>
      <c r="I221" s="257">
        <v>1.18</v>
      </c>
      <c r="J221" s="257">
        <f t="shared" si="4"/>
        <v>8.5677966101694913</v>
      </c>
      <c r="K221" s="1502"/>
      <c r="L221" s="517"/>
      <c r="M221" s="517"/>
      <c r="N221" s="517"/>
      <c r="O221" s="517"/>
      <c r="P221" s="517"/>
      <c r="Q221" s="517"/>
      <c r="R221" s="517"/>
      <c r="S221" s="517"/>
      <c r="T221" s="517"/>
      <c r="U221" s="1504"/>
      <c r="V221" s="517"/>
      <c r="W221" s="1506"/>
      <c r="X221" s="517"/>
      <c r="Y221" s="517"/>
      <c r="Z221" s="517"/>
      <c r="AA221" s="517"/>
      <c r="AB221" s="517"/>
      <c r="AC221" s="517"/>
      <c r="AD221" s="517"/>
      <c r="AE221" s="517"/>
      <c r="AF221" s="517"/>
      <c r="AG221" s="517"/>
      <c r="AH221" s="517"/>
      <c r="AI221" s="517"/>
      <c r="AJ221" s="244"/>
      <c r="AK221" s="460"/>
      <c r="AL221" s="460"/>
      <c r="AM221" s="306" t="s">
        <v>1327</v>
      </c>
      <c r="AN221" s="306" t="s">
        <v>1328</v>
      </c>
    </row>
    <row r="222" spans="1:40" ht="15" customHeight="1">
      <c r="A222" s="307" t="s">
        <v>210</v>
      </c>
      <c r="B222" s="1497" t="s">
        <v>74</v>
      </c>
      <c r="C222" s="1498"/>
      <c r="D222" s="1498"/>
      <c r="E222" s="1498"/>
      <c r="F222" s="1498"/>
      <c r="G222" s="1499"/>
      <c r="H222" s="257">
        <v>10.11</v>
      </c>
      <c r="I222" s="257">
        <v>1.18</v>
      </c>
      <c r="J222" s="257">
        <f t="shared" si="4"/>
        <v>8.5677966101694913</v>
      </c>
      <c r="K222" s="1502"/>
      <c r="L222" s="457"/>
      <c r="M222" s="460"/>
      <c r="N222" s="460"/>
      <c r="O222" s="460"/>
      <c r="P222" s="460"/>
      <c r="Q222" s="460"/>
      <c r="R222" s="460"/>
      <c r="S222" s="460"/>
      <c r="T222" s="460"/>
      <c r="U222" s="1504"/>
      <c r="V222" s="460"/>
      <c r="W222" s="1506"/>
      <c r="X222" s="482"/>
      <c r="Y222" s="482"/>
      <c r="Z222" s="482"/>
      <c r="AA222" s="482"/>
      <c r="AB222" s="482"/>
      <c r="AC222" s="482"/>
      <c r="AD222" s="244"/>
      <c r="AE222" s="244"/>
      <c r="AF222" s="244"/>
      <c r="AG222" s="244"/>
      <c r="AH222" s="244"/>
      <c r="AI222" s="244"/>
      <c r="AJ222" s="244"/>
      <c r="AK222" s="460"/>
      <c r="AL222" s="460"/>
      <c r="AM222" s="306" t="s">
        <v>1327</v>
      </c>
      <c r="AN222" s="306" t="s">
        <v>1328</v>
      </c>
    </row>
    <row r="223" spans="1:40" ht="15" customHeight="1">
      <c r="A223" s="307" t="s">
        <v>211</v>
      </c>
      <c r="B223" s="1497" t="s">
        <v>75</v>
      </c>
      <c r="C223" s="1498"/>
      <c r="D223" s="1498"/>
      <c r="E223" s="1498"/>
      <c r="F223" s="1498"/>
      <c r="G223" s="1499"/>
      <c r="H223" s="257">
        <v>10.11</v>
      </c>
      <c r="I223" s="257">
        <v>1.18</v>
      </c>
      <c r="J223" s="257">
        <f t="shared" si="4"/>
        <v>8.5677966101694913</v>
      </c>
      <c r="K223" s="1502"/>
      <c r="L223" s="457"/>
      <c r="M223" s="460"/>
      <c r="N223" s="460"/>
      <c r="O223" s="460"/>
      <c r="P223" s="460"/>
      <c r="Q223" s="460"/>
      <c r="R223" s="460"/>
      <c r="S223" s="257"/>
      <c r="T223" s="460"/>
      <c r="U223" s="1504"/>
      <c r="V223" s="460"/>
      <c r="W223" s="1506"/>
      <c r="X223" s="482"/>
      <c r="Y223" s="482"/>
      <c r="Z223" s="518"/>
      <c r="AA223" s="482"/>
      <c r="AB223" s="482"/>
      <c r="AC223" s="482"/>
      <c r="AD223" s="244"/>
      <c r="AE223" s="244"/>
      <c r="AF223" s="244"/>
      <c r="AG223" s="244"/>
      <c r="AH223" s="244"/>
      <c r="AI223" s="244"/>
      <c r="AJ223" s="244"/>
      <c r="AK223" s="316"/>
      <c r="AL223" s="316"/>
      <c r="AM223" s="306" t="s">
        <v>1327</v>
      </c>
      <c r="AN223" s="306" t="s">
        <v>1328</v>
      </c>
    </row>
    <row r="224" spans="1:40" ht="15" customHeight="1">
      <c r="A224" s="307" t="s">
        <v>212</v>
      </c>
      <c r="B224" s="1497" t="s">
        <v>76</v>
      </c>
      <c r="C224" s="1498"/>
      <c r="D224" s="1498"/>
      <c r="E224" s="1498"/>
      <c r="F224" s="1498"/>
      <c r="G224" s="1499"/>
      <c r="H224" s="257">
        <v>10.11</v>
      </c>
      <c r="I224" s="257">
        <v>1.18</v>
      </c>
      <c r="J224" s="257">
        <f t="shared" si="4"/>
        <v>8.5677966101694913</v>
      </c>
      <c r="K224" s="1502"/>
      <c r="L224" s="457"/>
      <c r="M224" s="460"/>
      <c r="N224" s="460"/>
      <c r="O224" s="460"/>
      <c r="P224" s="460"/>
      <c r="Q224" s="460"/>
      <c r="R224" s="460"/>
      <c r="S224" s="257"/>
      <c r="T224" s="460"/>
      <c r="U224" s="1504"/>
      <c r="V224" s="460"/>
      <c r="W224" s="1506"/>
      <c r="X224" s="482"/>
      <c r="Y224" s="482"/>
      <c r="Z224" s="482"/>
      <c r="AA224" s="482"/>
      <c r="AB224" s="482"/>
      <c r="AC224" s="482"/>
      <c r="AD224" s="244"/>
      <c r="AE224" s="244"/>
      <c r="AF224" s="244"/>
      <c r="AG224" s="244"/>
      <c r="AH224" s="244"/>
      <c r="AI224" s="244"/>
      <c r="AJ224" s="244"/>
      <c r="AK224" s="316"/>
      <c r="AL224" s="316"/>
      <c r="AM224" s="306" t="s">
        <v>1327</v>
      </c>
      <c r="AN224" s="306" t="s">
        <v>1328</v>
      </c>
    </row>
    <row r="225" spans="1:40" ht="15" customHeight="1">
      <c r="A225" s="307" t="s">
        <v>213</v>
      </c>
      <c r="B225" s="1497" t="s">
        <v>77</v>
      </c>
      <c r="C225" s="1498"/>
      <c r="D225" s="1498"/>
      <c r="E225" s="1498"/>
      <c r="F225" s="1498"/>
      <c r="G225" s="1499"/>
      <c r="H225" s="257">
        <v>10.11</v>
      </c>
      <c r="I225" s="257">
        <v>1.18</v>
      </c>
      <c r="J225" s="257">
        <f t="shared" si="4"/>
        <v>8.5677966101694913</v>
      </c>
      <c r="K225" s="1502"/>
      <c r="L225" s="457"/>
      <c r="M225" s="460"/>
      <c r="N225" s="460"/>
      <c r="O225" s="460"/>
      <c r="P225" s="460"/>
      <c r="Q225" s="460"/>
      <c r="R225" s="460"/>
      <c r="S225" s="460"/>
      <c r="T225" s="460"/>
      <c r="U225" s="1504"/>
      <c r="V225" s="460"/>
      <c r="W225" s="1506"/>
      <c r="X225" s="482"/>
      <c r="Y225" s="482"/>
      <c r="Z225" s="482"/>
      <c r="AA225" s="482"/>
      <c r="AB225" s="482"/>
      <c r="AC225" s="482"/>
      <c r="AD225" s="244"/>
      <c r="AE225" s="244"/>
      <c r="AF225" s="244"/>
      <c r="AG225" s="244"/>
      <c r="AH225" s="244"/>
      <c r="AI225" s="244"/>
      <c r="AJ225" s="244"/>
      <c r="AK225" s="316"/>
      <c r="AL225" s="316"/>
      <c r="AM225" s="306" t="s">
        <v>1327</v>
      </c>
      <c r="AN225" s="306" t="s">
        <v>1328</v>
      </c>
    </row>
    <row r="226" spans="1:40" ht="15" customHeight="1">
      <c r="A226" s="307" t="s">
        <v>214</v>
      </c>
      <c r="B226" s="1497" t="s">
        <v>78</v>
      </c>
      <c r="C226" s="1498"/>
      <c r="D226" s="1498"/>
      <c r="E226" s="1498"/>
      <c r="F226" s="1498"/>
      <c r="G226" s="1499"/>
      <c r="H226" s="257">
        <v>10.11</v>
      </c>
      <c r="I226" s="257">
        <v>1.18</v>
      </c>
      <c r="J226" s="257">
        <f t="shared" si="4"/>
        <v>8.5677966101694913</v>
      </c>
      <c r="K226" s="1502"/>
      <c r="L226" s="457"/>
      <c r="M226" s="460"/>
      <c r="N226" s="460"/>
      <c r="O226" s="460"/>
      <c r="P226" s="460"/>
      <c r="Q226" s="460"/>
      <c r="R226" s="460"/>
      <c r="S226" s="460"/>
      <c r="T226" s="460"/>
      <c r="U226" s="1504"/>
      <c r="V226" s="460"/>
      <c r="W226" s="1506"/>
      <c r="X226" s="482"/>
      <c r="Y226" s="482"/>
      <c r="Z226" s="482"/>
      <c r="AA226" s="482"/>
      <c r="AB226" s="482"/>
      <c r="AC226" s="482"/>
      <c r="AD226" s="244"/>
      <c r="AE226" s="244"/>
      <c r="AF226" s="244"/>
      <c r="AG226" s="244"/>
      <c r="AH226" s="244"/>
      <c r="AI226" s="244"/>
      <c r="AJ226" s="244"/>
      <c r="AK226" s="460"/>
      <c r="AL226" s="460"/>
      <c r="AM226" s="306" t="s">
        <v>1327</v>
      </c>
      <c r="AN226" s="306" t="s">
        <v>1328</v>
      </c>
    </row>
    <row r="227" spans="1:40" ht="15" customHeight="1">
      <c r="A227" s="307" t="s">
        <v>215</v>
      </c>
      <c r="B227" s="1497" t="s">
        <v>79</v>
      </c>
      <c r="C227" s="1498"/>
      <c r="D227" s="1498"/>
      <c r="E227" s="1498"/>
      <c r="F227" s="1498"/>
      <c r="G227" s="1499"/>
      <c r="H227" s="257">
        <v>10.11</v>
      </c>
      <c r="I227" s="257">
        <v>1.18</v>
      </c>
      <c r="J227" s="257">
        <f t="shared" si="4"/>
        <v>8.5677966101694913</v>
      </c>
      <c r="K227" s="1502"/>
      <c r="L227" s="457"/>
      <c r="M227" s="460"/>
      <c r="N227" s="460"/>
      <c r="O227" s="460"/>
      <c r="P227" s="460"/>
      <c r="Q227" s="460"/>
      <c r="R227" s="460"/>
      <c r="S227" s="460"/>
      <c r="T227" s="460"/>
      <c r="U227" s="1504"/>
      <c r="V227" s="460"/>
      <c r="W227" s="1506"/>
      <c r="X227" s="482"/>
      <c r="Y227" s="482"/>
      <c r="Z227" s="482"/>
      <c r="AA227" s="482"/>
      <c r="AB227" s="482"/>
      <c r="AC227" s="258"/>
      <c r="AD227" s="244"/>
      <c r="AE227" s="244"/>
      <c r="AF227" s="244"/>
      <c r="AG227" s="244"/>
      <c r="AH227" s="244"/>
      <c r="AI227" s="244"/>
      <c r="AJ227" s="244"/>
      <c r="AK227" s="316"/>
      <c r="AL227" s="316"/>
      <c r="AM227" s="306" t="s">
        <v>1327</v>
      </c>
      <c r="AN227" s="306" t="s">
        <v>1328</v>
      </c>
    </row>
    <row r="228" spans="1:40" ht="15" customHeight="1">
      <c r="A228" s="307" t="s">
        <v>216</v>
      </c>
      <c r="B228" s="1497" t="s">
        <v>80</v>
      </c>
      <c r="C228" s="1498"/>
      <c r="D228" s="1498"/>
      <c r="E228" s="1498"/>
      <c r="F228" s="1498"/>
      <c r="G228" s="1499"/>
      <c r="H228" s="257">
        <v>10.11</v>
      </c>
      <c r="I228" s="257">
        <v>1.18</v>
      </c>
      <c r="J228" s="257">
        <f t="shared" si="4"/>
        <v>8.5677966101694913</v>
      </c>
      <c r="K228" s="1502"/>
      <c r="L228" s="457"/>
      <c r="M228" s="460"/>
      <c r="N228" s="460"/>
      <c r="O228" s="460"/>
      <c r="P228" s="460"/>
      <c r="Q228" s="460"/>
      <c r="R228" s="460"/>
      <c r="S228" s="257"/>
      <c r="T228" s="460"/>
      <c r="U228" s="1504"/>
      <c r="V228" s="460"/>
      <c r="W228" s="1506"/>
      <c r="X228" s="482"/>
      <c r="Y228" s="482"/>
      <c r="Z228" s="482"/>
      <c r="AA228" s="482"/>
      <c r="AB228" s="482"/>
      <c r="AC228" s="482"/>
      <c r="AD228" s="244"/>
      <c r="AE228" s="244"/>
      <c r="AF228" s="244"/>
      <c r="AG228" s="244"/>
      <c r="AH228" s="244"/>
      <c r="AI228" s="244"/>
      <c r="AJ228" s="244"/>
      <c r="AK228" s="316"/>
      <c r="AL228" s="316"/>
      <c r="AM228" s="306" t="s">
        <v>1327</v>
      </c>
      <c r="AN228" s="306" t="s">
        <v>1328</v>
      </c>
    </row>
    <row r="229" spans="1:40" ht="15" customHeight="1">
      <c r="A229" s="307" t="s">
        <v>217</v>
      </c>
      <c r="B229" s="1497" t="s">
        <v>81</v>
      </c>
      <c r="C229" s="1498"/>
      <c r="D229" s="1498"/>
      <c r="E229" s="1498"/>
      <c r="F229" s="1498"/>
      <c r="G229" s="1499"/>
      <c r="H229" s="257">
        <v>10.11</v>
      </c>
      <c r="I229" s="257">
        <v>1.18</v>
      </c>
      <c r="J229" s="257">
        <f t="shared" si="4"/>
        <v>8.5677966101694913</v>
      </c>
      <c r="K229" s="1502"/>
      <c r="L229" s="457"/>
      <c r="M229" s="460"/>
      <c r="N229" s="460"/>
      <c r="O229" s="460"/>
      <c r="P229" s="460"/>
      <c r="Q229" s="460"/>
      <c r="R229" s="460"/>
      <c r="S229" s="257"/>
      <c r="T229" s="460"/>
      <c r="U229" s="1504"/>
      <c r="V229" s="460"/>
      <c r="W229" s="1506"/>
      <c r="X229" s="482"/>
      <c r="Y229" s="257"/>
      <c r="Z229" s="468"/>
      <c r="AA229" s="482"/>
      <c r="AB229" s="482"/>
      <c r="AC229" s="482"/>
      <c r="AD229" s="244"/>
      <c r="AE229" s="244"/>
      <c r="AF229" s="267"/>
      <c r="AG229" s="267"/>
      <c r="AH229" s="244"/>
      <c r="AI229" s="244"/>
      <c r="AJ229" s="244"/>
      <c r="AK229" s="316"/>
      <c r="AL229" s="316"/>
      <c r="AM229" s="306" t="s">
        <v>1327</v>
      </c>
      <c r="AN229" s="306" t="s">
        <v>1328</v>
      </c>
    </row>
    <row r="230" spans="1:40" ht="15" customHeight="1">
      <c r="A230" s="307" t="s">
        <v>218</v>
      </c>
      <c r="B230" s="1497" t="s">
        <v>82</v>
      </c>
      <c r="C230" s="1498"/>
      <c r="D230" s="1498"/>
      <c r="E230" s="1498"/>
      <c r="F230" s="1498"/>
      <c r="G230" s="1499"/>
      <c r="H230" s="257">
        <v>7.34</v>
      </c>
      <c r="I230" s="257">
        <v>1.18</v>
      </c>
      <c r="J230" s="257">
        <f t="shared" si="4"/>
        <v>6.2203389830508478</v>
      </c>
      <c r="K230" s="1502"/>
      <c r="L230" s="457"/>
      <c r="M230" s="307"/>
      <c r="N230" s="307"/>
      <c r="O230" s="307"/>
      <c r="P230" s="307"/>
      <c r="Q230" s="307"/>
      <c r="R230" s="316"/>
      <c r="S230" s="257"/>
      <c r="T230" s="307"/>
      <c r="U230" s="1504"/>
      <c r="V230" s="307"/>
      <c r="W230" s="1506"/>
      <c r="X230" s="307"/>
      <c r="Y230" s="307"/>
      <c r="Z230" s="307"/>
      <c r="AA230" s="307"/>
      <c r="AB230" s="307"/>
      <c r="AC230" s="307"/>
      <c r="AD230" s="258"/>
      <c r="AE230" s="258"/>
      <c r="AF230" s="258"/>
      <c r="AG230" s="258"/>
      <c r="AH230" s="258"/>
      <c r="AI230" s="258"/>
      <c r="AJ230" s="258"/>
      <c r="AK230" s="307"/>
      <c r="AL230" s="307"/>
      <c r="AM230" s="306" t="s">
        <v>1327</v>
      </c>
      <c r="AN230" s="306" t="s">
        <v>1328</v>
      </c>
    </row>
    <row r="231" spans="1:40" ht="15" customHeight="1">
      <c r="A231" s="307" t="s">
        <v>219</v>
      </c>
      <c r="B231" s="1497" t="s">
        <v>83</v>
      </c>
      <c r="C231" s="1498"/>
      <c r="D231" s="1498"/>
      <c r="E231" s="1498"/>
      <c r="F231" s="1498"/>
      <c r="G231" s="1499"/>
      <c r="H231" s="257">
        <v>7.34</v>
      </c>
      <c r="I231" s="257">
        <v>1.18</v>
      </c>
      <c r="J231" s="257">
        <f t="shared" si="4"/>
        <v>6.2203389830508478</v>
      </c>
      <c r="K231" s="1502"/>
      <c r="L231" s="457"/>
      <c r="M231" s="460"/>
      <c r="N231" s="460"/>
      <c r="O231" s="460"/>
      <c r="P231" s="460"/>
      <c r="Q231" s="460"/>
      <c r="R231" s="460"/>
      <c r="S231" s="460"/>
      <c r="T231" s="460"/>
      <c r="U231" s="1504"/>
      <c r="V231" s="460"/>
      <c r="W231" s="1506"/>
      <c r="X231" s="482"/>
      <c r="Y231" s="482"/>
      <c r="Z231" s="482"/>
      <c r="AA231" s="482"/>
      <c r="AB231" s="482"/>
      <c r="AC231" s="244"/>
      <c r="AD231" s="244"/>
      <c r="AE231" s="244"/>
      <c r="AF231" s="244"/>
      <c r="AG231" s="244"/>
      <c r="AH231" s="244"/>
      <c r="AI231" s="244"/>
      <c r="AJ231" s="244"/>
      <c r="AK231" s="316"/>
      <c r="AL231" s="316"/>
      <c r="AM231" s="306" t="s">
        <v>1327</v>
      </c>
      <c r="AN231" s="306" t="s">
        <v>1328</v>
      </c>
    </row>
    <row r="232" spans="1:40" ht="15" customHeight="1">
      <c r="A232" s="307" t="s">
        <v>220</v>
      </c>
      <c r="B232" s="1497" t="s">
        <v>84</v>
      </c>
      <c r="C232" s="1498"/>
      <c r="D232" s="1498"/>
      <c r="E232" s="1498"/>
      <c r="F232" s="1498"/>
      <c r="G232" s="1499"/>
      <c r="H232" s="257">
        <v>7.34</v>
      </c>
      <c r="I232" s="257">
        <v>1.18</v>
      </c>
      <c r="J232" s="257">
        <f t="shared" si="4"/>
        <v>6.2203389830508478</v>
      </c>
      <c r="K232" s="1502"/>
      <c r="L232" s="457"/>
      <c r="M232" s="460"/>
      <c r="N232" s="460"/>
      <c r="O232" s="460"/>
      <c r="P232" s="460"/>
      <c r="Q232" s="460"/>
      <c r="R232" s="460"/>
      <c r="S232" s="460"/>
      <c r="T232" s="460"/>
      <c r="U232" s="1504"/>
      <c r="V232" s="460"/>
      <c r="W232" s="1506"/>
      <c r="X232" s="482"/>
      <c r="Y232" s="258"/>
      <c r="Z232" s="482"/>
      <c r="AA232" s="482"/>
      <c r="AB232" s="482"/>
      <c r="AC232" s="482"/>
      <c r="AD232" s="244"/>
      <c r="AE232" s="244"/>
      <c r="AF232" s="244"/>
      <c r="AG232" s="244"/>
      <c r="AH232" s="244"/>
      <c r="AI232" s="244"/>
      <c r="AJ232" s="244"/>
      <c r="AK232" s="451"/>
      <c r="AL232" s="316"/>
      <c r="AM232" s="306" t="s">
        <v>1327</v>
      </c>
      <c r="AN232" s="306" t="s">
        <v>1328</v>
      </c>
    </row>
    <row r="233" spans="1:40" ht="15" customHeight="1">
      <c r="A233" s="307" t="s">
        <v>221</v>
      </c>
      <c r="B233" s="1497" t="s">
        <v>85</v>
      </c>
      <c r="C233" s="1498"/>
      <c r="D233" s="1498"/>
      <c r="E233" s="1498"/>
      <c r="F233" s="1498"/>
      <c r="G233" s="1499"/>
      <c r="H233" s="257">
        <v>7.34</v>
      </c>
      <c r="I233" s="257">
        <v>1.18</v>
      </c>
      <c r="J233" s="257">
        <f t="shared" si="4"/>
        <v>6.2203389830508478</v>
      </c>
      <c r="K233" s="1502"/>
      <c r="L233" s="457"/>
      <c r="M233" s="460"/>
      <c r="N233" s="460"/>
      <c r="O233" s="460"/>
      <c r="P233" s="460"/>
      <c r="Q233" s="460"/>
      <c r="R233" s="460"/>
      <c r="S233" s="460"/>
      <c r="T233" s="460"/>
      <c r="U233" s="1504"/>
      <c r="V233" s="460"/>
      <c r="W233" s="1506"/>
      <c r="X233" s="482"/>
      <c r="Y233" s="258"/>
      <c r="Z233" s="482"/>
      <c r="AA233" s="482"/>
      <c r="AB233" s="482"/>
      <c r="AC233" s="482"/>
      <c r="AD233" s="244"/>
      <c r="AE233" s="244"/>
      <c r="AF233" s="244"/>
      <c r="AG233" s="244"/>
      <c r="AH233" s="244"/>
      <c r="AI233" s="244"/>
      <c r="AJ233" s="244"/>
      <c r="AK233" s="316"/>
      <c r="AL233" s="316"/>
      <c r="AM233" s="306" t="s">
        <v>1327</v>
      </c>
      <c r="AN233" s="306" t="s">
        <v>1328</v>
      </c>
    </row>
    <row r="234" spans="1:40">
      <c r="A234" s="307" t="s">
        <v>222</v>
      </c>
      <c r="B234" s="1497" t="s">
        <v>86</v>
      </c>
      <c r="C234" s="1498"/>
      <c r="D234" s="1498"/>
      <c r="E234" s="1498"/>
      <c r="F234" s="1498"/>
      <c r="G234" s="1499"/>
      <c r="H234" s="257">
        <v>7.34</v>
      </c>
      <c r="I234" s="257">
        <v>1.18</v>
      </c>
      <c r="J234" s="257">
        <f t="shared" si="4"/>
        <v>6.2203389830508478</v>
      </c>
      <c r="K234" s="1502"/>
      <c r="L234" s="457"/>
      <c r="M234" s="460"/>
      <c r="N234" s="460"/>
      <c r="O234" s="460"/>
      <c r="P234" s="460"/>
      <c r="Q234" s="460"/>
      <c r="R234" s="460"/>
      <c r="S234" s="460"/>
      <c r="T234" s="460"/>
      <c r="U234" s="1504"/>
      <c r="V234" s="460"/>
      <c r="W234" s="1506"/>
      <c r="X234" s="482"/>
      <c r="Y234" s="258"/>
      <c r="Z234" s="482"/>
      <c r="AA234" s="482"/>
      <c r="AB234" s="482"/>
      <c r="AC234" s="482"/>
      <c r="AD234" s="244"/>
      <c r="AE234" s="244"/>
      <c r="AF234" s="244"/>
      <c r="AG234" s="244"/>
      <c r="AH234" s="244"/>
      <c r="AI234" s="244"/>
      <c r="AJ234" s="244"/>
      <c r="AK234" s="316"/>
      <c r="AL234" s="316"/>
      <c r="AM234" s="306" t="s">
        <v>1327</v>
      </c>
      <c r="AN234" s="306" t="s">
        <v>1328</v>
      </c>
    </row>
    <row r="235" spans="1:40" ht="15" customHeight="1">
      <c r="A235" s="307" t="s">
        <v>223</v>
      </c>
      <c r="B235" s="1497" t="s">
        <v>87</v>
      </c>
      <c r="C235" s="1498"/>
      <c r="D235" s="1498"/>
      <c r="E235" s="1498"/>
      <c r="F235" s="1498"/>
      <c r="G235" s="1499"/>
      <c r="H235" s="257">
        <v>7.34</v>
      </c>
      <c r="I235" s="257">
        <v>1.18</v>
      </c>
      <c r="J235" s="257">
        <f t="shared" si="4"/>
        <v>6.2203389830508478</v>
      </c>
      <c r="K235" s="1426"/>
      <c r="L235" s="460"/>
      <c r="M235" s="460"/>
      <c r="N235" s="460"/>
      <c r="O235" s="460"/>
      <c r="P235" s="460"/>
      <c r="Q235" s="460"/>
      <c r="R235" s="460"/>
      <c r="S235" s="460"/>
      <c r="T235" s="460"/>
      <c r="U235" s="1505"/>
      <c r="V235" s="460"/>
      <c r="W235" s="1506"/>
      <c r="X235" s="482"/>
      <c r="Y235" s="258"/>
      <c r="Z235" s="482"/>
      <c r="AA235" s="482"/>
      <c r="AB235" s="482"/>
      <c r="AC235" s="482"/>
      <c r="AD235" s="244"/>
      <c r="AE235" s="244"/>
      <c r="AF235" s="244"/>
      <c r="AG235" s="244"/>
      <c r="AH235" s="244"/>
      <c r="AI235" s="244"/>
      <c r="AJ235" s="244"/>
      <c r="AK235" s="316"/>
      <c r="AL235" s="316"/>
      <c r="AM235" s="306" t="s">
        <v>1327</v>
      </c>
      <c r="AN235" s="306" t="s">
        <v>1328</v>
      </c>
    </row>
    <row r="236" spans="1:40">
      <c r="A236" s="1500" t="s">
        <v>88</v>
      </c>
      <c r="B236" s="1501"/>
      <c r="C236" s="1501"/>
      <c r="D236" s="1501"/>
      <c r="E236" s="1501"/>
      <c r="F236" s="1501"/>
      <c r="G236" s="1501"/>
      <c r="H236" s="442">
        <f>SUM(H237:H240)</f>
        <v>12098.4</v>
      </c>
      <c r="I236" s="442"/>
      <c r="J236" s="442">
        <f>SUM(J237:J240)</f>
        <v>10252.881355932206</v>
      </c>
      <c r="K236" s="442">
        <f>SUM(K237:K240)</f>
        <v>12056.01506779661</v>
      </c>
      <c r="L236" s="460"/>
      <c r="M236" s="460"/>
      <c r="N236" s="460"/>
      <c r="O236" s="460"/>
      <c r="P236" s="460"/>
      <c r="Q236" s="460"/>
      <c r="R236" s="460"/>
      <c r="S236" s="460"/>
      <c r="T236" s="460"/>
      <c r="U236" s="460"/>
      <c r="V236" s="460"/>
      <c r="W236" s="460"/>
      <c r="X236" s="482"/>
      <c r="Y236" s="258"/>
      <c r="Z236" s="482"/>
      <c r="AA236" s="482"/>
      <c r="AB236" s="482"/>
      <c r="AC236" s="482"/>
      <c r="AD236" s="244"/>
      <c r="AE236" s="244"/>
      <c r="AF236" s="244"/>
      <c r="AG236" s="244"/>
      <c r="AH236" s="244"/>
      <c r="AI236" s="244"/>
      <c r="AJ236" s="244"/>
      <c r="AK236" s="316"/>
      <c r="AL236" s="316"/>
      <c r="AM236" s="306"/>
      <c r="AN236" s="306"/>
    </row>
    <row r="237" spans="1:40">
      <c r="A237" s="307" t="s">
        <v>224</v>
      </c>
      <c r="B237" s="1472" t="s">
        <v>89</v>
      </c>
      <c r="C237" s="1473"/>
      <c r="D237" s="1473"/>
      <c r="E237" s="1473"/>
      <c r="F237" s="1473"/>
      <c r="G237" s="1474"/>
      <c r="H237" s="455">
        <v>11702.03</v>
      </c>
      <c r="I237" s="257">
        <v>1.18</v>
      </c>
      <c r="J237" s="257">
        <f>H237/I237</f>
        <v>9916.9745762711882</v>
      </c>
      <c r="K237" s="244">
        <v>11695.38</v>
      </c>
      <c r="L237" s="519"/>
      <c r="M237" s="519"/>
      <c r="N237" s="519"/>
      <c r="O237" s="354">
        <f>608.55423/1.18</f>
        <v>515.72392372881359</v>
      </c>
      <c r="P237" s="458"/>
      <c r="Q237" s="354">
        <f>(399.63789+14.04589)/1.18</f>
        <v>350.5794745762712</v>
      </c>
      <c r="R237" s="458"/>
      <c r="S237" s="354">
        <f>(523.3736+599.264)/1.18</f>
        <v>951.38779661016952</v>
      </c>
      <c r="T237" s="458"/>
      <c r="U237" s="354">
        <f>159.8856/1.18</f>
        <v>135.49627118644071</v>
      </c>
      <c r="V237" s="458"/>
      <c r="W237" s="354">
        <f>(370.3404+553.04066+219.9348+176.00106)/1.18</f>
        <v>1118.065186440678</v>
      </c>
      <c r="X237" s="458"/>
      <c r="Y237" s="354">
        <f>(271.695+477.09429)/1.18</f>
        <v>634.56719491525416</v>
      </c>
      <c r="Z237" s="458"/>
      <c r="AA237" s="354">
        <f>(224.4784+343.18044)/1.18</f>
        <v>481.06681355932199</v>
      </c>
      <c r="AB237" s="458"/>
      <c r="AC237" s="354">
        <f>(362.19618+113.2216+824.15513+63.1192)/1.18</f>
        <v>1154.8238220338983</v>
      </c>
      <c r="AD237" s="354"/>
      <c r="AE237" s="354">
        <f>(189.87972+202.16172+998.4868)/1.18</f>
        <v>1178.4137627118646</v>
      </c>
      <c r="AF237" s="519"/>
      <c r="AG237" s="519">
        <f>(422.84078+517.56348+59.6808+121.2036)/1.18</f>
        <v>950.24462711864408</v>
      </c>
      <c r="AH237" s="519"/>
      <c r="AI237" s="519">
        <f>(1692.46602+681.4306+476.69972+760.7534+522.43108+163.6924+778.90308)/1.18</f>
        <v>4302.0138135593224</v>
      </c>
      <c r="AJ237" s="244"/>
      <c r="AK237" s="460"/>
      <c r="AL237" s="460"/>
      <c r="AM237" s="306" t="s">
        <v>1327</v>
      </c>
      <c r="AN237" s="306" t="s">
        <v>1328</v>
      </c>
    </row>
    <row r="238" spans="1:40">
      <c r="A238" s="307" t="s">
        <v>461</v>
      </c>
      <c r="B238" s="1491" t="s">
        <v>1863</v>
      </c>
      <c r="C238" s="1492"/>
      <c r="D238" s="1492"/>
      <c r="E238" s="1492"/>
      <c r="F238" s="1492"/>
      <c r="G238" s="1493"/>
      <c r="H238" s="257">
        <v>155.16</v>
      </c>
      <c r="I238" s="257">
        <v>1.18</v>
      </c>
      <c r="J238" s="257">
        <f>H238/I238</f>
        <v>131.49152542372883</v>
      </c>
      <c r="K238" s="244">
        <f>SUM(L238:AI238)</f>
        <v>131.29406779661016</v>
      </c>
      <c r="L238" s="457"/>
      <c r="M238" s="460"/>
      <c r="N238" s="460"/>
      <c r="O238" s="460"/>
      <c r="P238" s="460"/>
      <c r="Q238" s="460"/>
      <c r="R238" s="460"/>
      <c r="S238" s="460"/>
      <c r="T238" s="460"/>
      <c r="U238" s="460"/>
      <c r="V238" s="460"/>
      <c r="W238" s="460"/>
      <c r="X238" s="482"/>
      <c r="Y238" s="482"/>
      <c r="Z238" s="482"/>
      <c r="AA238" s="482"/>
      <c r="AB238" s="482"/>
      <c r="AC238" s="354">
        <f>154.927/1.18</f>
        <v>131.29406779661016</v>
      </c>
      <c r="AD238" s="244"/>
      <c r="AE238" s="244"/>
      <c r="AF238" s="244"/>
      <c r="AG238" s="244"/>
      <c r="AH238" s="244"/>
      <c r="AI238" s="244"/>
      <c r="AJ238" s="244"/>
      <c r="AK238" s="451"/>
      <c r="AL238" s="316"/>
      <c r="AM238" s="306" t="s">
        <v>1327</v>
      </c>
      <c r="AN238" s="306" t="s">
        <v>1328</v>
      </c>
    </row>
    <row r="239" spans="1:40">
      <c r="A239" s="307" t="s">
        <v>462</v>
      </c>
      <c r="B239" s="1491" t="s">
        <v>1864</v>
      </c>
      <c r="C239" s="1492"/>
      <c r="D239" s="1492"/>
      <c r="E239" s="1492"/>
      <c r="F239" s="1492"/>
      <c r="G239" s="1493"/>
      <c r="H239" s="257">
        <v>241.21</v>
      </c>
      <c r="I239" s="257">
        <v>1.18</v>
      </c>
      <c r="J239" s="257">
        <f>H239/I239</f>
        <v>204.41525423728817</v>
      </c>
      <c r="K239" s="244">
        <v>204.61</v>
      </c>
      <c r="L239" s="520"/>
      <c r="M239" s="521"/>
      <c r="N239" s="521"/>
      <c r="O239" s="521"/>
      <c r="P239" s="521"/>
      <c r="Q239" s="521"/>
      <c r="R239" s="521"/>
      <c r="S239" s="521"/>
      <c r="T239" s="521"/>
      <c r="U239" s="521"/>
      <c r="V239" s="521"/>
      <c r="W239" s="521"/>
      <c r="X239" s="522"/>
      <c r="Y239" s="522"/>
      <c r="Z239" s="522"/>
      <c r="AA239" s="522"/>
      <c r="AB239" s="522"/>
      <c r="AC239" s="522"/>
      <c r="AD239" s="523"/>
      <c r="AE239" s="523"/>
      <c r="AF239" s="523"/>
      <c r="AG239" s="523"/>
      <c r="AH239" s="523"/>
      <c r="AI239" s="523"/>
      <c r="AJ239" s="523"/>
      <c r="AK239" s="451"/>
      <c r="AL239" s="316"/>
      <c r="AM239" s="306" t="s">
        <v>1327</v>
      </c>
      <c r="AN239" s="306" t="s">
        <v>1328</v>
      </c>
    </row>
    <row r="240" spans="1:40">
      <c r="A240" s="307" t="s">
        <v>514</v>
      </c>
      <c r="B240" s="1472" t="s">
        <v>1865</v>
      </c>
      <c r="C240" s="1473"/>
      <c r="D240" s="1473"/>
      <c r="E240" s="1473"/>
      <c r="F240" s="1473"/>
      <c r="G240" s="1474"/>
      <c r="H240" s="257"/>
      <c r="I240" s="257"/>
      <c r="J240" s="257"/>
      <c r="K240" s="244">
        <v>24.731000000000002</v>
      </c>
      <c r="L240" s="520"/>
      <c r="M240" s="524">
        <v>24.731000000000002</v>
      </c>
      <c r="N240" s="521"/>
      <c r="O240" s="521"/>
      <c r="P240" s="521"/>
      <c r="Q240" s="521"/>
      <c r="R240" s="521"/>
      <c r="S240" s="521"/>
      <c r="T240" s="521"/>
      <c r="U240" s="521"/>
      <c r="V240" s="521"/>
      <c r="W240" s="521"/>
      <c r="X240" s="522"/>
      <c r="Y240" s="522"/>
      <c r="Z240" s="522"/>
      <c r="AA240" s="522"/>
      <c r="AB240" s="522"/>
      <c r="AC240" s="522"/>
      <c r="AD240" s="523"/>
      <c r="AE240" s="523"/>
      <c r="AF240" s="523"/>
      <c r="AG240" s="523"/>
      <c r="AH240" s="523"/>
      <c r="AI240" s="523"/>
      <c r="AJ240" s="523"/>
      <c r="AK240" s="451"/>
      <c r="AL240" s="316"/>
      <c r="AM240" s="306" t="s">
        <v>1327</v>
      </c>
      <c r="AN240" s="306" t="s">
        <v>1328</v>
      </c>
    </row>
    <row r="241" spans="1:40">
      <c r="A241" s="1488" t="s">
        <v>92</v>
      </c>
      <c r="B241" s="1489"/>
      <c r="C241" s="1489"/>
      <c r="D241" s="1489"/>
      <c r="E241" s="1489"/>
      <c r="F241" s="1489"/>
      <c r="G241" s="1489"/>
      <c r="H241" s="442">
        <f>SUM(H242:H256)</f>
        <v>4029.4000000000005</v>
      </c>
      <c r="I241" s="442"/>
      <c r="J241" s="442">
        <f>SUM(J242:J256)</f>
        <v>3414.7457627118642</v>
      </c>
      <c r="K241" s="442">
        <f>SUM(K242:K256)</f>
        <v>2773.2848799999997</v>
      </c>
      <c r="L241" s="525"/>
      <c r="M241" s="525"/>
      <c r="N241" s="525"/>
      <c r="O241" s="525"/>
      <c r="P241" s="525"/>
      <c r="Q241" s="525"/>
      <c r="R241" s="525"/>
      <c r="S241" s="525"/>
      <c r="T241" s="525"/>
      <c r="U241" s="525"/>
      <c r="V241" s="525"/>
      <c r="W241" s="525"/>
      <c r="X241" s="525"/>
      <c r="Y241" s="525"/>
      <c r="Z241" s="525"/>
      <c r="AA241" s="525"/>
      <c r="AB241" s="525"/>
      <c r="AC241" s="525"/>
      <c r="AD241" s="525"/>
      <c r="AE241" s="525"/>
      <c r="AF241" s="525"/>
      <c r="AG241" s="525"/>
      <c r="AH241" s="525"/>
      <c r="AI241" s="525"/>
      <c r="AJ241" s="525"/>
      <c r="AK241" s="460"/>
      <c r="AL241" s="460"/>
      <c r="AM241" s="306"/>
      <c r="AN241" s="306"/>
    </row>
    <row r="242" spans="1:40">
      <c r="A242" s="512" t="s">
        <v>225</v>
      </c>
      <c r="B242" s="1494" t="s">
        <v>93</v>
      </c>
      <c r="C242" s="1495"/>
      <c r="D242" s="1495"/>
      <c r="E242" s="1495"/>
      <c r="F242" s="1495"/>
      <c r="G242" s="1496"/>
      <c r="H242" s="513">
        <v>99.1</v>
      </c>
      <c r="I242" s="257">
        <v>1.18</v>
      </c>
      <c r="J242" s="257">
        <f t="shared" ref="J242:J256" si="5">H242/I242</f>
        <v>83.983050847457633</v>
      </c>
      <c r="K242" s="244">
        <f t="shared" ref="K242:K255" si="6">SUM(L242:AI242)</f>
        <v>101.818</v>
      </c>
      <c r="L242" s="526"/>
      <c r="M242" s="526"/>
      <c r="N242" s="526"/>
      <c r="O242" s="526"/>
      <c r="P242" s="526"/>
      <c r="Q242" s="526"/>
      <c r="R242" s="526"/>
      <c r="S242" s="513"/>
      <c r="T242" s="526"/>
      <c r="U242" s="526"/>
      <c r="V242" s="526"/>
      <c r="W242" s="526"/>
      <c r="X242" s="527"/>
      <c r="Y242" s="527"/>
      <c r="Z242" s="527"/>
      <c r="AA242" s="527"/>
      <c r="AB242" s="527"/>
      <c r="AC242" s="527"/>
      <c r="AD242" s="528"/>
      <c r="AE242" s="528"/>
      <c r="AF242" s="528"/>
      <c r="AG242" s="528"/>
      <c r="AH242" s="529"/>
      <c r="AI242" s="529">
        <v>101.818</v>
      </c>
      <c r="AJ242" s="528"/>
      <c r="AK242" s="530"/>
      <c r="AL242" s="530"/>
      <c r="AM242" s="306" t="s">
        <v>1327</v>
      </c>
      <c r="AN242" s="306" t="s">
        <v>1328</v>
      </c>
    </row>
    <row r="243" spans="1:40">
      <c r="A243" s="307" t="s">
        <v>226</v>
      </c>
      <c r="B243" s="1472" t="s">
        <v>94</v>
      </c>
      <c r="C243" s="1473"/>
      <c r="D243" s="1473"/>
      <c r="E243" s="1473"/>
      <c r="F243" s="1473"/>
      <c r="G243" s="1474"/>
      <c r="H243" s="257">
        <v>213.4</v>
      </c>
      <c r="I243" s="257">
        <v>1.18</v>
      </c>
      <c r="J243" s="257">
        <f t="shared" si="5"/>
        <v>180.84745762711867</v>
      </c>
      <c r="K243" s="244">
        <f t="shared" si="6"/>
        <v>142.018</v>
      </c>
      <c r="L243" s="457"/>
      <c r="M243" s="457"/>
      <c r="N243" s="457"/>
      <c r="O243" s="457"/>
      <c r="P243" s="457"/>
      <c r="Q243" s="457"/>
      <c r="R243" s="457"/>
      <c r="S243" s="257"/>
      <c r="T243" s="457"/>
      <c r="U243" s="457"/>
      <c r="V243" s="457"/>
      <c r="W243" s="457"/>
      <c r="X243" s="266"/>
      <c r="Y243" s="266"/>
      <c r="Z243" s="266"/>
      <c r="AA243" s="266"/>
      <c r="AB243" s="266"/>
      <c r="AC243" s="266"/>
      <c r="AD243" s="244"/>
      <c r="AE243" s="244"/>
      <c r="AF243" s="244"/>
      <c r="AG243" s="244"/>
      <c r="AH243" s="244"/>
      <c r="AI243" s="354">
        <v>142.018</v>
      </c>
      <c r="AJ243" s="244"/>
      <c r="AK243" s="316"/>
      <c r="AL243" s="316"/>
      <c r="AM243" s="306" t="s">
        <v>1327</v>
      </c>
      <c r="AN243" s="306" t="s">
        <v>1328</v>
      </c>
    </row>
    <row r="244" spans="1:40">
      <c r="A244" s="307" t="s">
        <v>227</v>
      </c>
      <c r="B244" s="1472" t="s">
        <v>95</v>
      </c>
      <c r="C244" s="1473"/>
      <c r="D244" s="1473"/>
      <c r="E244" s="1473"/>
      <c r="F244" s="1473"/>
      <c r="G244" s="1474"/>
      <c r="H244" s="257">
        <v>231.7</v>
      </c>
      <c r="I244" s="257">
        <v>1.18</v>
      </c>
      <c r="J244" s="257">
        <f t="shared" si="5"/>
        <v>196.35593220338984</v>
      </c>
      <c r="K244" s="244">
        <f t="shared" si="6"/>
        <v>151.178</v>
      </c>
      <c r="L244" s="457"/>
      <c r="M244" s="457"/>
      <c r="N244" s="457"/>
      <c r="O244" s="457"/>
      <c r="P244" s="457"/>
      <c r="Q244" s="457"/>
      <c r="R244" s="457"/>
      <c r="S244" s="257"/>
      <c r="T244" s="457"/>
      <c r="U244" s="457"/>
      <c r="V244" s="457"/>
      <c r="W244" s="457"/>
      <c r="X244" s="266"/>
      <c r="Y244" s="266"/>
      <c r="Z244" s="266"/>
      <c r="AA244" s="266"/>
      <c r="AB244" s="266"/>
      <c r="AC244" s="266"/>
      <c r="AD244" s="244"/>
      <c r="AE244" s="244"/>
      <c r="AF244" s="244"/>
      <c r="AG244" s="244"/>
      <c r="AH244" s="244"/>
      <c r="AI244" s="354">
        <v>151.178</v>
      </c>
      <c r="AJ244" s="244"/>
      <c r="AK244" s="316"/>
      <c r="AL244" s="316"/>
      <c r="AM244" s="306" t="s">
        <v>1327</v>
      </c>
      <c r="AN244" s="306" t="s">
        <v>1328</v>
      </c>
    </row>
    <row r="245" spans="1:40">
      <c r="A245" s="307" t="s">
        <v>228</v>
      </c>
      <c r="B245" s="1472" t="s">
        <v>96</v>
      </c>
      <c r="C245" s="1473"/>
      <c r="D245" s="1473"/>
      <c r="E245" s="1473"/>
      <c r="F245" s="1473"/>
      <c r="G245" s="1474"/>
      <c r="H245" s="257">
        <v>233.6</v>
      </c>
      <c r="I245" s="257">
        <v>1.18</v>
      </c>
      <c r="J245" s="257">
        <f t="shared" si="5"/>
        <v>197.96610169491527</v>
      </c>
      <c r="K245" s="244">
        <f t="shared" si="6"/>
        <v>118.929</v>
      </c>
      <c r="L245" s="457"/>
      <c r="M245" s="457"/>
      <c r="N245" s="457"/>
      <c r="O245" s="457"/>
      <c r="P245" s="457"/>
      <c r="Q245" s="457"/>
      <c r="R245" s="457"/>
      <c r="S245" s="257"/>
      <c r="T245" s="457"/>
      <c r="U245" s="457"/>
      <c r="V245" s="457"/>
      <c r="W245" s="457"/>
      <c r="X245" s="266"/>
      <c r="Y245" s="266"/>
      <c r="Z245" s="266"/>
      <c r="AA245" s="266"/>
      <c r="AB245" s="266"/>
      <c r="AC245" s="266"/>
      <c r="AD245" s="244"/>
      <c r="AE245" s="244"/>
      <c r="AF245" s="244"/>
      <c r="AG245" s="244"/>
      <c r="AH245" s="244"/>
      <c r="AI245" s="354">
        <v>118.929</v>
      </c>
      <c r="AJ245" s="244"/>
      <c r="AK245" s="316"/>
      <c r="AL245" s="316"/>
      <c r="AM245" s="306" t="s">
        <v>1327</v>
      </c>
      <c r="AN245" s="306" t="s">
        <v>1328</v>
      </c>
    </row>
    <row r="246" spans="1:40">
      <c r="A246" s="307" t="s">
        <v>229</v>
      </c>
      <c r="B246" s="1472" t="s">
        <v>97</v>
      </c>
      <c r="C246" s="1473"/>
      <c r="D246" s="1473"/>
      <c r="E246" s="1473"/>
      <c r="F246" s="1473"/>
      <c r="G246" s="1474"/>
      <c r="H246" s="257">
        <v>271.39999999999998</v>
      </c>
      <c r="I246" s="257">
        <v>1.18</v>
      </c>
      <c r="J246" s="257">
        <f t="shared" si="5"/>
        <v>230</v>
      </c>
      <c r="K246" s="244">
        <f t="shared" si="6"/>
        <v>233.16700000000003</v>
      </c>
      <c r="L246" s="457"/>
      <c r="M246" s="457"/>
      <c r="N246" s="457"/>
      <c r="O246" s="457"/>
      <c r="P246" s="457"/>
      <c r="Q246" s="457"/>
      <c r="R246" s="457"/>
      <c r="S246" s="257"/>
      <c r="T246" s="457"/>
      <c r="U246" s="457"/>
      <c r="V246" s="457"/>
      <c r="W246" s="457"/>
      <c r="X246" s="266"/>
      <c r="Y246" s="266"/>
      <c r="Z246" s="266"/>
      <c r="AA246" s="266"/>
      <c r="AB246" s="266"/>
      <c r="AC246" s="266"/>
      <c r="AD246" s="244"/>
      <c r="AE246" s="244"/>
      <c r="AF246" s="244"/>
      <c r="AG246" s="244"/>
      <c r="AH246" s="244"/>
      <c r="AI246" s="354">
        <v>233.16700000000003</v>
      </c>
      <c r="AJ246" s="244"/>
      <c r="AK246" s="316"/>
      <c r="AL246" s="316"/>
      <c r="AM246" s="306" t="s">
        <v>1327</v>
      </c>
      <c r="AN246" s="306" t="s">
        <v>1328</v>
      </c>
    </row>
    <row r="247" spans="1:40">
      <c r="A247" s="307" t="s">
        <v>230</v>
      </c>
      <c r="B247" s="1472" t="s">
        <v>98</v>
      </c>
      <c r="C247" s="1473"/>
      <c r="D247" s="1473"/>
      <c r="E247" s="1473"/>
      <c r="F247" s="1473"/>
      <c r="G247" s="1474"/>
      <c r="H247" s="257">
        <v>183.6</v>
      </c>
      <c r="I247" s="257">
        <v>1.18</v>
      </c>
      <c r="J247" s="257">
        <f t="shared" si="5"/>
        <v>155.59322033898306</v>
      </c>
      <c r="K247" s="244">
        <f t="shared" si="6"/>
        <v>129.24199999999999</v>
      </c>
      <c r="L247" s="457"/>
      <c r="M247" s="457"/>
      <c r="N247" s="457"/>
      <c r="O247" s="457"/>
      <c r="P247" s="457"/>
      <c r="Q247" s="457"/>
      <c r="R247" s="457"/>
      <c r="S247" s="257"/>
      <c r="T247" s="457"/>
      <c r="U247" s="457"/>
      <c r="V247" s="457"/>
      <c r="W247" s="457"/>
      <c r="X247" s="266"/>
      <c r="Y247" s="266"/>
      <c r="Z247" s="266"/>
      <c r="AA247" s="266"/>
      <c r="AB247" s="266"/>
      <c r="AC247" s="266"/>
      <c r="AD247" s="244"/>
      <c r="AE247" s="244"/>
      <c r="AF247" s="244"/>
      <c r="AG247" s="244"/>
      <c r="AH247" s="354"/>
      <c r="AI247" s="354">
        <v>129.24199999999999</v>
      </c>
      <c r="AJ247" s="244"/>
      <c r="AK247" s="316"/>
      <c r="AL247" s="316"/>
      <c r="AM247" s="306" t="s">
        <v>1327</v>
      </c>
      <c r="AN247" s="306" t="s">
        <v>1328</v>
      </c>
    </row>
    <row r="248" spans="1:40">
      <c r="A248" s="307" t="s">
        <v>231</v>
      </c>
      <c r="B248" s="1472" t="s">
        <v>99</v>
      </c>
      <c r="C248" s="1473"/>
      <c r="D248" s="1473"/>
      <c r="E248" s="1473"/>
      <c r="F248" s="1473"/>
      <c r="G248" s="1474"/>
      <c r="H248" s="257">
        <v>295.60000000000002</v>
      </c>
      <c r="I248" s="257">
        <v>1.18</v>
      </c>
      <c r="J248" s="257">
        <f t="shared" si="5"/>
        <v>250.50847457627123</v>
      </c>
      <c r="K248" s="244">
        <f t="shared" si="6"/>
        <v>212.774</v>
      </c>
      <c r="L248" s="457"/>
      <c r="M248" s="457"/>
      <c r="N248" s="457"/>
      <c r="O248" s="457"/>
      <c r="P248" s="457"/>
      <c r="Q248" s="457"/>
      <c r="R248" s="457"/>
      <c r="S248" s="257"/>
      <c r="T248" s="457"/>
      <c r="U248" s="457"/>
      <c r="V248" s="457"/>
      <c r="W248" s="457"/>
      <c r="X248" s="266"/>
      <c r="Y248" s="266"/>
      <c r="Z248" s="266"/>
      <c r="AA248" s="266"/>
      <c r="AB248" s="266"/>
      <c r="AC248" s="266"/>
      <c r="AD248" s="244"/>
      <c r="AE248" s="244"/>
      <c r="AF248" s="244"/>
      <c r="AG248" s="244"/>
      <c r="AH248" s="354"/>
      <c r="AI248" s="354">
        <v>212.774</v>
      </c>
      <c r="AJ248" s="244"/>
      <c r="AK248" s="316"/>
      <c r="AL248" s="316"/>
      <c r="AM248" s="306" t="s">
        <v>1327</v>
      </c>
      <c r="AN248" s="306" t="s">
        <v>1328</v>
      </c>
    </row>
    <row r="249" spans="1:40">
      <c r="A249" s="307" t="s">
        <v>232</v>
      </c>
      <c r="B249" s="1472" t="s">
        <v>100</v>
      </c>
      <c r="C249" s="1473"/>
      <c r="D249" s="1473"/>
      <c r="E249" s="1473"/>
      <c r="F249" s="1473"/>
      <c r="G249" s="1474"/>
      <c r="H249" s="257">
        <v>200.8</v>
      </c>
      <c r="I249" s="257">
        <v>1.18</v>
      </c>
      <c r="J249" s="257">
        <f t="shared" si="5"/>
        <v>170.16949152542375</v>
      </c>
      <c r="K249" s="244">
        <f t="shared" si="6"/>
        <v>187.81088</v>
      </c>
      <c r="L249" s="457"/>
      <c r="M249" s="457"/>
      <c r="N249" s="457"/>
      <c r="O249" s="457"/>
      <c r="P249" s="457"/>
      <c r="Q249" s="457"/>
      <c r="R249" s="457"/>
      <c r="S249" s="257"/>
      <c r="T249" s="457"/>
      <c r="U249" s="457"/>
      <c r="V249" s="457"/>
      <c r="W249" s="457"/>
      <c r="X249" s="266"/>
      <c r="Y249" s="266"/>
      <c r="Z249" s="266"/>
      <c r="AA249" s="266"/>
      <c r="AB249" s="266"/>
      <c r="AC249" s="266"/>
      <c r="AD249" s="244"/>
      <c r="AE249" s="244"/>
      <c r="AF249" s="244"/>
      <c r="AG249" s="244"/>
      <c r="AH249" s="354"/>
      <c r="AI249" s="354">
        <v>187.81088</v>
      </c>
      <c r="AJ249" s="244"/>
      <c r="AK249" s="316"/>
      <c r="AL249" s="316"/>
      <c r="AM249" s="306" t="s">
        <v>1327</v>
      </c>
      <c r="AN249" s="306" t="s">
        <v>1328</v>
      </c>
    </row>
    <row r="250" spans="1:40">
      <c r="A250" s="307" t="s">
        <v>233</v>
      </c>
      <c r="B250" s="1472" t="s">
        <v>101</v>
      </c>
      <c r="C250" s="1473"/>
      <c r="D250" s="1473"/>
      <c r="E250" s="1473"/>
      <c r="F250" s="1473"/>
      <c r="G250" s="1474"/>
      <c r="H250" s="257">
        <v>218.8</v>
      </c>
      <c r="I250" s="257">
        <v>1.18</v>
      </c>
      <c r="J250" s="257">
        <f t="shared" si="5"/>
        <v>185.42372881355934</v>
      </c>
      <c r="K250" s="244">
        <f t="shared" si="6"/>
        <v>116.648</v>
      </c>
      <c r="L250" s="457"/>
      <c r="M250" s="457"/>
      <c r="N250" s="457"/>
      <c r="O250" s="457"/>
      <c r="P250" s="457"/>
      <c r="Q250" s="457"/>
      <c r="R250" s="457"/>
      <c r="S250" s="257"/>
      <c r="T250" s="457"/>
      <c r="U250" s="457"/>
      <c r="V250" s="457"/>
      <c r="W250" s="457"/>
      <c r="X250" s="266"/>
      <c r="Y250" s="266"/>
      <c r="Z250" s="266"/>
      <c r="AA250" s="266"/>
      <c r="AB250" s="266"/>
      <c r="AC250" s="266"/>
      <c r="AD250" s="244"/>
      <c r="AE250" s="244"/>
      <c r="AF250" s="244"/>
      <c r="AG250" s="244"/>
      <c r="AH250" s="354"/>
      <c r="AI250" s="354">
        <v>116.648</v>
      </c>
      <c r="AJ250" s="244"/>
      <c r="AK250" s="316"/>
      <c r="AL250" s="316"/>
      <c r="AM250" s="306" t="s">
        <v>1327</v>
      </c>
      <c r="AN250" s="306" t="s">
        <v>1328</v>
      </c>
    </row>
    <row r="251" spans="1:40">
      <c r="A251" s="307" t="s">
        <v>234</v>
      </c>
      <c r="B251" s="1472" t="s">
        <v>102</v>
      </c>
      <c r="C251" s="1473"/>
      <c r="D251" s="1473"/>
      <c r="E251" s="1473"/>
      <c r="F251" s="1473"/>
      <c r="G251" s="1474"/>
      <c r="H251" s="257">
        <v>71.900000000000006</v>
      </c>
      <c r="I251" s="257">
        <v>1.18</v>
      </c>
      <c r="J251" s="257">
        <f t="shared" si="5"/>
        <v>60.932203389830519</v>
      </c>
      <c r="K251" s="244">
        <f t="shared" si="6"/>
        <v>72.823999999999998</v>
      </c>
      <c r="L251" s="457"/>
      <c r="M251" s="457"/>
      <c r="N251" s="457"/>
      <c r="O251" s="457"/>
      <c r="P251" s="457"/>
      <c r="Q251" s="457"/>
      <c r="R251" s="457"/>
      <c r="S251" s="257"/>
      <c r="T251" s="457"/>
      <c r="U251" s="457"/>
      <c r="V251" s="457"/>
      <c r="W251" s="457"/>
      <c r="X251" s="266"/>
      <c r="Y251" s="266"/>
      <c r="Z251" s="266"/>
      <c r="AA251" s="266"/>
      <c r="AB251" s="266"/>
      <c r="AC251" s="266"/>
      <c r="AD251" s="244"/>
      <c r="AE251" s="244"/>
      <c r="AF251" s="244"/>
      <c r="AG251" s="244"/>
      <c r="AH251" s="354"/>
      <c r="AI251" s="354">
        <v>72.823999999999998</v>
      </c>
      <c r="AJ251" s="244"/>
      <c r="AK251" s="316"/>
      <c r="AL251" s="316"/>
      <c r="AM251" s="306" t="s">
        <v>1327</v>
      </c>
      <c r="AN251" s="306" t="s">
        <v>1328</v>
      </c>
    </row>
    <row r="252" spans="1:40">
      <c r="A252" s="307" t="s">
        <v>235</v>
      </c>
      <c r="B252" s="1491" t="s">
        <v>103</v>
      </c>
      <c r="C252" s="1492"/>
      <c r="D252" s="1492"/>
      <c r="E252" s="1492"/>
      <c r="F252" s="1492"/>
      <c r="G252" s="1493"/>
      <c r="H252" s="257">
        <v>153.1</v>
      </c>
      <c r="I252" s="257">
        <v>1.18</v>
      </c>
      <c r="J252" s="257">
        <f t="shared" si="5"/>
        <v>129.74576271186442</v>
      </c>
      <c r="K252" s="244">
        <f t="shared" si="6"/>
        <v>124.206</v>
      </c>
      <c r="L252" s="457"/>
      <c r="M252" s="457"/>
      <c r="N252" s="457"/>
      <c r="O252" s="457"/>
      <c r="P252" s="457"/>
      <c r="Q252" s="457"/>
      <c r="R252" s="457"/>
      <c r="S252" s="257"/>
      <c r="T252" s="457"/>
      <c r="U252" s="457"/>
      <c r="V252" s="457"/>
      <c r="W252" s="457"/>
      <c r="X252" s="266"/>
      <c r="Y252" s="266"/>
      <c r="Z252" s="266"/>
      <c r="AA252" s="266"/>
      <c r="AB252" s="266"/>
      <c r="AC252" s="266"/>
      <c r="AD252" s="244"/>
      <c r="AE252" s="244"/>
      <c r="AF252" s="244"/>
      <c r="AG252" s="244"/>
      <c r="AH252" s="354"/>
      <c r="AI252" s="354">
        <v>124.206</v>
      </c>
      <c r="AJ252" s="244"/>
      <c r="AK252" s="316"/>
      <c r="AL252" s="316"/>
      <c r="AM252" s="306" t="s">
        <v>1327</v>
      </c>
      <c r="AN252" s="306" t="s">
        <v>1328</v>
      </c>
    </row>
    <row r="253" spans="1:40">
      <c r="A253" s="307" t="s">
        <v>236</v>
      </c>
      <c r="B253" s="1472" t="s">
        <v>104</v>
      </c>
      <c r="C253" s="1473"/>
      <c r="D253" s="1473"/>
      <c r="E253" s="1473"/>
      <c r="F253" s="1473"/>
      <c r="G253" s="1474"/>
      <c r="H253" s="257">
        <v>311.3</v>
      </c>
      <c r="I253" s="257">
        <v>1.18</v>
      </c>
      <c r="J253" s="257">
        <f t="shared" si="5"/>
        <v>263.81355932203394</v>
      </c>
      <c r="K253" s="244">
        <f t="shared" si="6"/>
        <v>213.946</v>
      </c>
      <c r="L253" s="457"/>
      <c r="M253" s="457"/>
      <c r="N253" s="457"/>
      <c r="O253" s="457"/>
      <c r="P253" s="457"/>
      <c r="Q253" s="457"/>
      <c r="R253" s="457"/>
      <c r="S253" s="257"/>
      <c r="T253" s="457"/>
      <c r="U253" s="457"/>
      <c r="V253" s="457"/>
      <c r="W253" s="457"/>
      <c r="X253" s="266"/>
      <c r="Y253" s="266"/>
      <c r="Z253" s="266"/>
      <c r="AA253" s="266"/>
      <c r="AB253" s="266"/>
      <c r="AC253" s="266"/>
      <c r="AD253" s="244"/>
      <c r="AE253" s="244"/>
      <c r="AF253" s="244"/>
      <c r="AG253" s="244"/>
      <c r="AH253" s="354"/>
      <c r="AI253" s="354">
        <v>213.946</v>
      </c>
      <c r="AJ253" s="244"/>
      <c r="AK253" s="316"/>
      <c r="AL253" s="316"/>
      <c r="AM253" s="306" t="s">
        <v>1327</v>
      </c>
      <c r="AN253" s="306" t="s">
        <v>1328</v>
      </c>
    </row>
    <row r="254" spans="1:40">
      <c r="A254" s="307" t="s">
        <v>237</v>
      </c>
      <c r="B254" s="1472" t="s">
        <v>105</v>
      </c>
      <c r="C254" s="1473"/>
      <c r="D254" s="1473"/>
      <c r="E254" s="1473"/>
      <c r="F254" s="1473"/>
      <c r="G254" s="1474"/>
      <c r="H254" s="257">
        <v>146.30000000000001</v>
      </c>
      <c r="I254" s="257">
        <v>1.18</v>
      </c>
      <c r="J254" s="257">
        <f t="shared" si="5"/>
        <v>123.98305084745765</v>
      </c>
      <c r="K254" s="244">
        <f t="shared" si="6"/>
        <v>98.060000000000016</v>
      </c>
      <c r="L254" s="457"/>
      <c r="M254" s="457"/>
      <c r="N254" s="457"/>
      <c r="O254" s="457"/>
      <c r="P254" s="457"/>
      <c r="Q254" s="457"/>
      <c r="R254" s="457"/>
      <c r="S254" s="257"/>
      <c r="T254" s="457"/>
      <c r="U254" s="457"/>
      <c r="V254" s="457"/>
      <c r="W254" s="457"/>
      <c r="X254" s="266"/>
      <c r="Y254" s="266"/>
      <c r="Z254" s="266"/>
      <c r="AA254" s="266"/>
      <c r="AB254" s="266"/>
      <c r="AC254" s="266"/>
      <c r="AD254" s="244"/>
      <c r="AE254" s="244"/>
      <c r="AF254" s="244"/>
      <c r="AG254" s="244"/>
      <c r="AH254" s="244"/>
      <c r="AI254" s="354">
        <v>98.060000000000016</v>
      </c>
      <c r="AJ254" s="244"/>
      <c r="AK254" s="316"/>
      <c r="AL254" s="316"/>
      <c r="AM254" s="306" t="s">
        <v>1327</v>
      </c>
      <c r="AN254" s="306" t="s">
        <v>1328</v>
      </c>
    </row>
    <row r="255" spans="1:40">
      <c r="A255" s="307" t="s">
        <v>238</v>
      </c>
      <c r="B255" s="1472" t="s">
        <v>106</v>
      </c>
      <c r="C255" s="1473"/>
      <c r="D255" s="1473"/>
      <c r="E255" s="1473"/>
      <c r="F255" s="1473"/>
      <c r="G255" s="1474"/>
      <c r="H255" s="257">
        <v>401.8</v>
      </c>
      <c r="I255" s="257">
        <v>1.18</v>
      </c>
      <c r="J255" s="257">
        <f t="shared" si="5"/>
        <v>340.50847457627123</v>
      </c>
      <c r="K255" s="244">
        <f t="shared" si="6"/>
        <v>285.91399999999999</v>
      </c>
      <c r="L255" s="457"/>
      <c r="M255" s="457"/>
      <c r="N255" s="457"/>
      <c r="O255" s="457"/>
      <c r="P255" s="457"/>
      <c r="Q255" s="457"/>
      <c r="R255" s="457"/>
      <c r="S255" s="257"/>
      <c r="T255" s="457"/>
      <c r="U255" s="457"/>
      <c r="V255" s="457"/>
      <c r="W255" s="457"/>
      <c r="X255" s="266"/>
      <c r="Y255" s="266"/>
      <c r="Z255" s="266"/>
      <c r="AA255" s="266"/>
      <c r="AB255" s="266"/>
      <c r="AC255" s="266"/>
      <c r="AD255" s="244"/>
      <c r="AE255" s="244"/>
      <c r="AF255" s="244"/>
      <c r="AG255" s="244"/>
      <c r="AH255" s="354"/>
      <c r="AI255" s="354">
        <v>285.91399999999999</v>
      </c>
      <c r="AJ255" s="244"/>
      <c r="AK255" s="316"/>
      <c r="AL255" s="316"/>
      <c r="AM255" s="306" t="s">
        <v>1327</v>
      </c>
      <c r="AN255" s="306" t="s">
        <v>1328</v>
      </c>
    </row>
    <row r="256" spans="1:40">
      <c r="A256" s="531" t="s">
        <v>239</v>
      </c>
      <c r="B256" s="1494" t="s">
        <v>1866</v>
      </c>
      <c r="C256" s="1227"/>
      <c r="D256" s="1227"/>
      <c r="E256" s="1227"/>
      <c r="F256" s="1227"/>
      <c r="G256" s="1228"/>
      <c r="H256" s="257">
        <v>997</v>
      </c>
      <c r="I256" s="257">
        <v>1.18</v>
      </c>
      <c r="J256" s="257">
        <f t="shared" si="5"/>
        <v>844.9152542372882</v>
      </c>
      <c r="K256" s="244">
        <v>584.75</v>
      </c>
      <c r="L256" s="457"/>
      <c r="M256" s="457"/>
      <c r="N256" s="457"/>
      <c r="O256" s="457"/>
      <c r="P256" s="457"/>
      <c r="Q256" s="457"/>
      <c r="R256" s="457"/>
      <c r="S256" s="457"/>
      <c r="T256" s="457"/>
      <c r="U256" s="457"/>
      <c r="V256" s="457"/>
      <c r="W256" s="457"/>
      <c r="X256" s="266"/>
      <c r="Y256" s="266"/>
      <c r="Z256" s="266"/>
      <c r="AA256" s="266"/>
      <c r="AB256" s="266"/>
      <c r="AC256" s="266"/>
      <c r="AD256" s="244"/>
      <c r="AE256" s="244"/>
      <c r="AF256" s="244"/>
      <c r="AG256" s="244"/>
      <c r="AH256" s="354"/>
      <c r="AI256" s="354">
        <v>844.9152542372882</v>
      </c>
      <c r="AJ256" s="244"/>
      <c r="AK256" s="457"/>
      <c r="AL256" s="451"/>
      <c r="AM256" s="306" t="s">
        <v>1327</v>
      </c>
      <c r="AN256" s="306" t="s">
        <v>1328</v>
      </c>
    </row>
    <row r="257" spans="1:40">
      <c r="A257" s="1488" t="s">
        <v>108</v>
      </c>
      <c r="B257" s="1489"/>
      <c r="C257" s="1489"/>
      <c r="D257" s="1489"/>
      <c r="E257" s="1489"/>
      <c r="F257" s="1489"/>
      <c r="G257" s="1489"/>
      <c r="H257" s="442">
        <f>SUM(H258:H260)</f>
        <v>2641.29</v>
      </c>
      <c r="I257" s="442"/>
      <c r="J257" s="442">
        <f>SUM(J258:J260)</f>
        <v>2238.3813559322034</v>
      </c>
      <c r="K257" s="442">
        <f>SUM(K258:K260)</f>
        <v>2444.319</v>
      </c>
      <c r="L257" s="457"/>
      <c r="M257" s="457"/>
      <c r="N257" s="457"/>
      <c r="O257" s="457"/>
      <c r="P257" s="457"/>
      <c r="Q257" s="457"/>
      <c r="R257" s="457"/>
      <c r="S257" s="457"/>
      <c r="T257" s="457"/>
      <c r="U257" s="457"/>
      <c r="V257" s="457"/>
      <c r="W257" s="457"/>
      <c r="X257" s="266"/>
      <c r="Y257" s="266"/>
      <c r="Z257" s="266"/>
      <c r="AA257" s="266"/>
      <c r="AB257" s="266"/>
      <c r="AC257" s="266"/>
      <c r="AD257" s="244"/>
      <c r="AE257" s="244"/>
      <c r="AF257" s="244"/>
      <c r="AG257" s="244"/>
      <c r="AH257" s="244"/>
      <c r="AI257" s="244"/>
      <c r="AJ257" s="244"/>
      <c r="AK257" s="452"/>
      <c r="AL257" s="452"/>
      <c r="AM257" s="307"/>
      <c r="AN257" s="306"/>
    </row>
    <row r="258" spans="1:40">
      <c r="A258" s="307" t="s">
        <v>240</v>
      </c>
      <c r="B258" s="1485" t="s">
        <v>109</v>
      </c>
      <c r="C258" s="1486"/>
      <c r="D258" s="1486"/>
      <c r="E258" s="1486"/>
      <c r="F258" s="1486"/>
      <c r="G258" s="1487"/>
      <c r="H258" s="464">
        <v>582.64</v>
      </c>
      <c r="I258" s="257">
        <v>1.18</v>
      </c>
      <c r="J258" s="257">
        <f>H258/I258</f>
        <v>493.76271186440681</v>
      </c>
      <c r="K258" s="244">
        <f>SUM(L258:AI258)</f>
        <v>582.63900000000001</v>
      </c>
      <c r="L258" s="457"/>
      <c r="M258" s="457"/>
      <c r="N258" s="457"/>
      <c r="O258" s="457"/>
      <c r="P258" s="457"/>
      <c r="Q258" s="457"/>
      <c r="R258" s="457"/>
      <c r="S258" s="457"/>
      <c r="T258" s="457"/>
      <c r="U258" s="457"/>
      <c r="V258" s="457"/>
      <c r="W258" s="457"/>
      <c r="X258" s="266"/>
      <c r="Y258" s="354">
        <v>582.63900000000001</v>
      </c>
      <c r="Z258" s="266"/>
      <c r="AA258" s="266"/>
      <c r="AB258" s="266"/>
      <c r="AC258" s="266"/>
      <c r="AD258" s="244"/>
      <c r="AE258" s="244"/>
      <c r="AF258" s="244"/>
      <c r="AG258" s="244"/>
      <c r="AH258" s="244"/>
      <c r="AI258" s="354"/>
      <c r="AJ258" s="244"/>
      <c r="AK258" s="452"/>
      <c r="AL258" s="452"/>
      <c r="AM258" s="306" t="s">
        <v>1327</v>
      </c>
      <c r="AN258" s="306" t="s">
        <v>1328</v>
      </c>
    </row>
    <row r="259" spans="1:40">
      <c r="A259" s="307" t="s">
        <v>241</v>
      </c>
      <c r="B259" s="1485" t="s">
        <v>110</v>
      </c>
      <c r="C259" s="1486"/>
      <c r="D259" s="1486"/>
      <c r="E259" s="1486"/>
      <c r="F259" s="1486"/>
      <c r="G259" s="1487"/>
      <c r="H259" s="464">
        <v>1298.6500000000001</v>
      </c>
      <c r="I259" s="257">
        <v>1.18</v>
      </c>
      <c r="J259" s="257">
        <f>H259/I259</f>
        <v>1100.5508474576272</v>
      </c>
      <c r="K259" s="244">
        <v>1101.68</v>
      </c>
      <c r="L259" s="457"/>
      <c r="M259" s="457"/>
      <c r="N259" s="457"/>
      <c r="O259" s="457"/>
      <c r="P259" s="457"/>
      <c r="Q259" s="457"/>
      <c r="R259" s="457"/>
      <c r="S259" s="457"/>
      <c r="T259" s="457"/>
      <c r="U259" s="457"/>
      <c r="V259" s="457"/>
      <c r="W259" s="457"/>
      <c r="X259" s="266"/>
      <c r="Y259" s="266"/>
      <c r="Z259" s="266"/>
      <c r="AA259" s="266"/>
      <c r="AB259" s="266"/>
      <c r="AC259" s="354">
        <f>(127.38211+127.73146+219.95554+127.64859+128.07204+127.08971+127.81743+128.02103)/1.18</f>
        <v>943.82873728813547</v>
      </c>
      <c r="AD259" s="244"/>
      <c r="AE259" s="244"/>
      <c r="AF259" s="244"/>
      <c r="AG259" s="244"/>
      <c r="AH259" s="244"/>
      <c r="AI259" s="244"/>
      <c r="AJ259" s="244"/>
      <c r="AK259" s="452"/>
      <c r="AL259" s="452"/>
      <c r="AM259" s="306" t="s">
        <v>1327</v>
      </c>
      <c r="AN259" s="306" t="s">
        <v>1328</v>
      </c>
    </row>
    <row r="260" spans="1:40">
      <c r="A260" s="307" t="s">
        <v>557</v>
      </c>
      <c r="B260" s="1485" t="s">
        <v>1867</v>
      </c>
      <c r="C260" s="1486"/>
      <c r="D260" s="1486"/>
      <c r="E260" s="1486"/>
      <c r="F260" s="1486"/>
      <c r="G260" s="1487"/>
      <c r="H260" s="464">
        <v>760</v>
      </c>
      <c r="I260" s="257">
        <v>1.18</v>
      </c>
      <c r="J260" s="257">
        <f>H260/I260</f>
        <v>644.06779661016958</v>
      </c>
      <c r="K260" s="244">
        <f>SUM(L260:AI260)</f>
        <v>760</v>
      </c>
      <c r="L260" s="457"/>
      <c r="M260" s="457"/>
      <c r="N260" s="457"/>
      <c r="O260" s="457"/>
      <c r="P260" s="457"/>
      <c r="Q260" s="457"/>
      <c r="R260" s="457"/>
      <c r="S260" s="457"/>
      <c r="T260" s="457"/>
      <c r="U260" s="457"/>
      <c r="V260" s="457"/>
      <c r="W260" s="457"/>
      <c r="X260" s="266"/>
      <c r="Y260" s="266"/>
      <c r="Z260" s="266"/>
      <c r="AA260" s="266"/>
      <c r="AB260" s="266"/>
      <c r="AC260" s="354"/>
      <c r="AD260" s="244"/>
      <c r="AE260" s="244"/>
      <c r="AF260" s="244"/>
      <c r="AG260" s="244"/>
      <c r="AH260" s="244"/>
      <c r="AI260" s="354">
        <v>760</v>
      </c>
      <c r="AJ260" s="244"/>
      <c r="AK260" s="452"/>
      <c r="AL260" s="452"/>
      <c r="AM260" s="306" t="s">
        <v>1327</v>
      </c>
      <c r="AN260" s="306" t="s">
        <v>1328</v>
      </c>
    </row>
    <row r="261" spans="1:40">
      <c r="A261" s="1488" t="s">
        <v>111</v>
      </c>
      <c r="B261" s="1489"/>
      <c r="C261" s="1489"/>
      <c r="D261" s="1489"/>
      <c r="E261" s="1489"/>
      <c r="F261" s="1489"/>
      <c r="G261" s="1489"/>
      <c r="H261" s="442">
        <f>SUM(H262:H266)</f>
        <v>1586.48</v>
      </c>
      <c r="I261" s="442"/>
      <c r="J261" s="442">
        <f>SUM(J262:J266)</f>
        <v>1344.4745762711866</v>
      </c>
      <c r="K261" s="442">
        <f>SUM(K262:K266)</f>
        <v>1813.5650318644068</v>
      </c>
      <c r="L261" s="457"/>
      <c r="M261" s="457"/>
      <c r="N261" s="457"/>
      <c r="O261" s="457"/>
      <c r="P261" s="457"/>
      <c r="Q261" s="457"/>
      <c r="R261" s="457"/>
      <c r="S261" s="457"/>
      <c r="T261" s="457"/>
      <c r="U261" s="457"/>
      <c r="V261" s="457"/>
      <c r="W261" s="457"/>
      <c r="X261" s="266"/>
      <c r="Y261" s="266"/>
      <c r="Z261" s="266"/>
      <c r="AA261" s="266"/>
      <c r="AB261" s="266"/>
      <c r="AC261" s="266"/>
      <c r="AD261" s="244"/>
      <c r="AE261" s="244"/>
      <c r="AF261" s="244"/>
      <c r="AG261" s="244"/>
      <c r="AH261" s="244"/>
      <c r="AI261" s="244"/>
      <c r="AJ261" s="244"/>
      <c r="AK261" s="452"/>
      <c r="AL261" s="452"/>
      <c r="AM261" s="307"/>
      <c r="AN261" s="306"/>
    </row>
    <row r="262" spans="1:40">
      <c r="A262" s="307" t="s">
        <v>242</v>
      </c>
      <c r="B262" s="1472" t="s">
        <v>1868</v>
      </c>
      <c r="C262" s="1473"/>
      <c r="D262" s="1473"/>
      <c r="E262" s="1473"/>
      <c r="F262" s="1473"/>
      <c r="G262" s="1474"/>
      <c r="H262" s="244">
        <v>497.13</v>
      </c>
      <c r="I262" s="257">
        <v>1.18</v>
      </c>
      <c r="J262" s="257">
        <f>H262/I262</f>
        <v>421.29661016949154</v>
      </c>
      <c r="K262" s="244">
        <f>SUM(L262:AI262)</f>
        <v>721.51382000000001</v>
      </c>
      <c r="L262" s="499"/>
      <c r="M262" s="499"/>
      <c r="N262" s="532"/>
      <c r="O262" s="532"/>
      <c r="P262" s="532"/>
      <c r="Q262" s="532"/>
      <c r="R262" s="499"/>
      <c r="S262" s="499"/>
      <c r="T262" s="499"/>
      <c r="U262" s="499"/>
      <c r="V262" s="499"/>
      <c r="W262" s="499"/>
      <c r="X262" s="533"/>
      <c r="Y262" s="533"/>
      <c r="Z262" s="533"/>
      <c r="AA262" s="533"/>
      <c r="AB262" s="533"/>
      <c r="AC262" s="533"/>
      <c r="AD262" s="354"/>
      <c r="AE262" s="354"/>
      <c r="AF262" s="354"/>
      <c r="AG262" s="354"/>
      <c r="AH262" s="354"/>
      <c r="AI262" s="354">
        <v>721.51382000000001</v>
      </c>
      <c r="AJ262" s="354"/>
      <c r="AK262" s="498"/>
      <c r="AL262" s="460"/>
      <c r="AM262" s="306" t="s">
        <v>1327</v>
      </c>
      <c r="AN262" s="306" t="s">
        <v>1328</v>
      </c>
    </row>
    <row r="263" spans="1:40">
      <c r="A263" s="454" t="s">
        <v>1869</v>
      </c>
      <c r="B263" s="1490" t="s">
        <v>1280</v>
      </c>
      <c r="C263" s="1490"/>
      <c r="D263" s="1490"/>
      <c r="E263" s="1490"/>
      <c r="F263" s="1490"/>
      <c r="G263" s="1490"/>
      <c r="H263" s="244">
        <v>163.84</v>
      </c>
      <c r="I263" s="257">
        <v>1.18</v>
      </c>
      <c r="J263" s="257">
        <f>H263/I263</f>
        <v>138.84745762711864</v>
      </c>
      <c r="K263" s="244">
        <f>SUM(L263:AI263)</f>
        <v>139.30916101694916</v>
      </c>
      <c r="L263" s="532"/>
      <c r="M263" s="532"/>
      <c r="N263" s="532"/>
      <c r="O263" s="532"/>
      <c r="P263" s="532"/>
      <c r="Q263" s="532"/>
      <c r="R263" s="532"/>
      <c r="S263" s="532"/>
      <c r="T263" s="532"/>
      <c r="U263" s="532"/>
      <c r="V263" s="532"/>
      <c r="W263" s="532">
        <f>164.38481/1.18</f>
        <v>139.30916101694916</v>
      </c>
      <c r="X263" s="532"/>
      <c r="Y263" s="532"/>
      <c r="Z263" s="532"/>
      <c r="AA263" s="532"/>
      <c r="AB263" s="532"/>
      <c r="AC263" s="532"/>
      <c r="AD263" s="532"/>
      <c r="AE263" s="532"/>
      <c r="AF263" s="532"/>
      <c r="AG263" s="532"/>
      <c r="AH263" s="532"/>
      <c r="AI263" s="532"/>
      <c r="AJ263" s="244"/>
      <c r="AK263" s="460"/>
      <c r="AL263" s="460"/>
      <c r="AM263" s="306" t="s">
        <v>1327</v>
      </c>
      <c r="AN263" s="306" t="s">
        <v>1328</v>
      </c>
    </row>
    <row r="264" spans="1:40">
      <c r="A264" s="454" t="s">
        <v>1870</v>
      </c>
      <c r="B264" s="1472" t="s">
        <v>115</v>
      </c>
      <c r="C264" s="1227"/>
      <c r="D264" s="1227"/>
      <c r="E264" s="1227"/>
      <c r="F264" s="1227"/>
      <c r="G264" s="1228"/>
      <c r="H264" s="244">
        <v>83.71</v>
      </c>
      <c r="I264" s="257">
        <v>1.18</v>
      </c>
      <c r="J264" s="257">
        <f>H264/I264</f>
        <v>70.940677966101688</v>
      </c>
      <c r="K264" s="244">
        <f>SUM(L264:AI264)</f>
        <v>70.942050847457622</v>
      </c>
      <c r="L264" s="532"/>
      <c r="M264" s="532"/>
      <c r="N264" s="532"/>
      <c r="O264" s="532"/>
      <c r="P264" s="532"/>
      <c r="Q264" s="532"/>
      <c r="R264" s="532"/>
      <c r="S264" s="532"/>
      <c r="T264" s="532"/>
      <c r="U264" s="532"/>
      <c r="V264" s="532"/>
      <c r="W264" s="532">
        <f>83.71162/1.18</f>
        <v>70.942050847457622</v>
      </c>
      <c r="X264" s="532"/>
      <c r="Y264" s="532"/>
      <c r="Z264" s="532"/>
      <c r="AA264" s="532"/>
      <c r="AB264" s="532"/>
      <c r="AC264" s="532"/>
      <c r="AD264" s="532"/>
      <c r="AE264" s="532"/>
      <c r="AF264" s="532"/>
      <c r="AG264" s="532"/>
      <c r="AH264" s="532"/>
      <c r="AI264" s="532"/>
      <c r="AJ264" s="244"/>
      <c r="AK264" s="460"/>
      <c r="AL264" s="460"/>
      <c r="AM264" s="306" t="s">
        <v>1327</v>
      </c>
      <c r="AN264" s="306" t="s">
        <v>1328</v>
      </c>
    </row>
    <row r="265" spans="1:40">
      <c r="A265" s="454" t="s">
        <v>1871</v>
      </c>
      <c r="B265" s="1490" t="s">
        <v>1872</v>
      </c>
      <c r="C265" s="1490"/>
      <c r="D265" s="1490"/>
      <c r="E265" s="1490"/>
      <c r="F265" s="1490"/>
      <c r="G265" s="1490"/>
      <c r="H265" s="244">
        <v>615.57000000000005</v>
      </c>
      <c r="I265" s="257">
        <v>1.18</v>
      </c>
      <c r="J265" s="257">
        <f>H265/I265</f>
        <v>521.66949152542384</v>
      </c>
      <c r="K265" s="244">
        <v>615.57000000000005</v>
      </c>
      <c r="L265" s="532"/>
      <c r="M265" s="532"/>
      <c r="N265" s="532"/>
      <c r="O265" s="532"/>
      <c r="P265" s="532"/>
      <c r="Q265" s="354">
        <f>266.22531+615.56777</f>
        <v>881.79307999999992</v>
      </c>
      <c r="R265" s="354"/>
      <c r="S265" s="354"/>
      <c r="T265" s="354"/>
      <c r="U265" s="354"/>
      <c r="V265" s="354"/>
      <c r="W265" s="354"/>
      <c r="X265" s="354"/>
      <c r="Y265" s="354"/>
      <c r="Z265" s="354"/>
      <c r="AA265" s="354"/>
      <c r="AB265" s="354"/>
      <c r="AC265" s="354"/>
      <c r="AD265" s="354"/>
      <c r="AE265" s="354"/>
      <c r="AF265" s="354"/>
      <c r="AG265" s="354"/>
      <c r="AH265" s="532"/>
      <c r="AI265" s="532"/>
      <c r="AJ265" s="244"/>
      <c r="AK265" s="460"/>
      <c r="AL265" s="460"/>
      <c r="AM265" s="306" t="s">
        <v>1327</v>
      </c>
      <c r="AN265" s="306" t="s">
        <v>1328</v>
      </c>
    </row>
    <row r="266" spans="1:40">
      <c r="A266" s="476" t="s">
        <v>569</v>
      </c>
      <c r="B266" s="1490" t="s">
        <v>1873</v>
      </c>
      <c r="C266" s="1490"/>
      <c r="D266" s="1490"/>
      <c r="E266" s="1490"/>
      <c r="F266" s="1490"/>
      <c r="G266" s="1490"/>
      <c r="H266" s="477">
        <v>226.23</v>
      </c>
      <c r="I266" s="257">
        <v>1.18</v>
      </c>
      <c r="J266" s="257">
        <f>H266/I266</f>
        <v>191.72033898305085</v>
      </c>
      <c r="K266" s="508">
        <v>266.23</v>
      </c>
      <c r="L266" s="479"/>
      <c r="M266" s="479"/>
      <c r="N266" s="479"/>
      <c r="O266" s="479"/>
      <c r="P266" s="479"/>
      <c r="Q266" s="479"/>
      <c r="R266" s="479"/>
      <c r="S266" s="479"/>
      <c r="T266" s="479"/>
      <c r="U266" s="479"/>
      <c r="V266" s="479"/>
      <c r="W266" s="479"/>
      <c r="X266" s="479"/>
      <c r="Y266" s="479"/>
      <c r="Z266" s="479"/>
      <c r="AA266" s="454"/>
      <c r="AB266" s="473"/>
      <c r="AC266" s="473"/>
      <c r="AD266" s="473"/>
      <c r="AE266" s="473"/>
      <c r="AF266" s="473"/>
      <c r="AG266" s="473"/>
      <c r="AH266" s="532"/>
      <c r="AI266" s="532"/>
      <c r="AJ266" s="244"/>
      <c r="AK266" s="460"/>
      <c r="AL266" s="460"/>
      <c r="AM266" s="306" t="s">
        <v>1327</v>
      </c>
      <c r="AN266" s="306" t="s">
        <v>1328</v>
      </c>
    </row>
    <row r="267" spans="1:40">
      <c r="A267" s="1488" t="s">
        <v>113</v>
      </c>
      <c r="B267" s="1489"/>
      <c r="C267" s="1489"/>
      <c r="D267" s="1489"/>
      <c r="E267" s="1489"/>
      <c r="F267" s="1489"/>
      <c r="G267" s="1489"/>
      <c r="H267" s="442">
        <f>SUM(H268:H271)</f>
        <v>10499.9</v>
      </c>
      <c r="I267" s="534"/>
      <c r="J267" s="532">
        <f>SUM(J268:J271)</f>
        <v>8898.220338983052</v>
      </c>
      <c r="K267" s="532">
        <f>SUM(K268:K271)</f>
        <v>9827.8825732203386</v>
      </c>
      <c r="L267" s="532"/>
      <c r="M267" s="532"/>
      <c r="N267" s="532"/>
      <c r="O267" s="532"/>
      <c r="P267" s="532"/>
      <c r="Q267" s="532"/>
      <c r="R267" s="532"/>
      <c r="S267" s="532"/>
      <c r="T267" s="532"/>
      <c r="U267" s="532"/>
      <c r="V267" s="532"/>
      <c r="W267" s="532"/>
      <c r="X267" s="532"/>
      <c r="Y267" s="532"/>
      <c r="Z267" s="532"/>
      <c r="AA267" s="532"/>
      <c r="AB267" s="532"/>
      <c r="AC267" s="532"/>
      <c r="AD267" s="532"/>
      <c r="AE267" s="532"/>
      <c r="AF267" s="532"/>
      <c r="AG267" s="532"/>
      <c r="AH267" s="532"/>
      <c r="AI267" s="532"/>
      <c r="AJ267" s="244"/>
      <c r="AK267" s="460"/>
      <c r="AL267" s="460"/>
      <c r="AM267" s="306"/>
      <c r="AN267" s="306"/>
    </row>
    <row r="268" spans="1:40">
      <c r="A268" s="307" t="s">
        <v>244</v>
      </c>
      <c r="B268" s="1477" t="s">
        <v>114</v>
      </c>
      <c r="C268" s="1478"/>
      <c r="D268" s="1478"/>
      <c r="E268" s="1478"/>
      <c r="F268" s="1478"/>
      <c r="G268" s="1479"/>
      <c r="H268" s="244">
        <v>2500</v>
      </c>
      <c r="I268" s="257">
        <v>1.18</v>
      </c>
      <c r="J268" s="257">
        <f>H268/I268</f>
        <v>2118.6440677966102</v>
      </c>
      <c r="K268" s="244">
        <f t="shared" ref="K268:K285" si="7">SUM(L268:AI268)</f>
        <v>2023.3580932203392</v>
      </c>
      <c r="L268" s="532"/>
      <c r="M268" s="532"/>
      <c r="N268" s="532"/>
      <c r="O268" s="532"/>
      <c r="P268" s="532"/>
      <c r="Q268" s="532"/>
      <c r="R268" s="532"/>
      <c r="S268" s="532"/>
      <c r="T268" s="532"/>
      <c r="U268" s="532"/>
      <c r="V268" s="532"/>
      <c r="W268" s="532"/>
      <c r="X268" s="532"/>
      <c r="Y268" s="532"/>
      <c r="Z268" s="532"/>
      <c r="AA268" s="532"/>
      <c r="AB268" s="532"/>
      <c r="AC268" s="532">
        <f>797.88455/1.18</f>
        <v>676.17334745762719</v>
      </c>
      <c r="AD268" s="532"/>
      <c r="AE268" s="532"/>
      <c r="AF268" s="532"/>
      <c r="AG268" s="532">
        <f>519.15281/1.18</f>
        <v>439.96000847457634</v>
      </c>
      <c r="AH268" s="532"/>
      <c r="AI268" s="532">
        <f>(426.64353+643.88166)/1.18</f>
        <v>907.22473728813566</v>
      </c>
      <c r="AJ268" s="244"/>
      <c r="AK268" s="460"/>
      <c r="AL268" s="460"/>
      <c r="AM268" s="306" t="s">
        <v>1327</v>
      </c>
      <c r="AN268" s="306" t="s">
        <v>1328</v>
      </c>
    </row>
    <row r="269" spans="1:40">
      <c r="A269" s="307" t="s">
        <v>245</v>
      </c>
      <c r="B269" s="1477" t="s">
        <v>115</v>
      </c>
      <c r="C269" s="1478"/>
      <c r="D269" s="1478"/>
      <c r="E269" s="1478"/>
      <c r="F269" s="1478"/>
      <c r="G269" s="1479"/>
      <c r="H269" s="244">
        <v>1043.4100000000001</v>
      </c>
      <c r="I269" s="257">
        <v>1.18</v>
      </c>
      <c r="J269" s="257">
        <f>H269/I269</f>
        <v>884.24576271186447</v>
      </c>
      <c r="K269" s="244">
        <f t="shared" si="7"/>
        <v>711.90499999999997</v>
      </c>
      <c r="L269" s="460"/>
      <c r="M269" s="460"/>
      <c r="N269" s="460"/>
      <c r="O269" s="460"/>
      <c r="P269" s="460"/>
      <c r="Q269" s="460"/>
      <c r="R269" s="460"/>
      <c r="S269" s="460"/>
      <c r="T269" s="460"/>
      <c r="U269" s="460"/>
      <c r="V269" s="460"/>
      <c r="W269" s="460"/>
      <c r="X269" s="482"/>
      <c r="Y269" s="482"/>
      <c r="Z269" s="482"/>
      <c r="AA269" s="482"/>
      <c r="AB269" s="482"/>
      <c r="AC269" s="482"/>
      <c r="AD269" s="244"/>
      <c r="AE269" s="244"/>
      <c r="AF269" s="354"/>
      <c r="AG269" s="354">
        <f>140.483</f>
        <v>140.483</v>
      </c>
      <c r="AH269" s="354"/>
      <c r="AI269" s="354">
        <f>571.422</f>
        <v>571.42200000000003</v>
      </c>
      <c r="AJ269" s="244"/>
      <c r="AK269" s="460"/>
      <c r="AL269" s="460"/>
      <c r="AM269" s="306" t="s">
        <v>1327</v>
      </c>
      <c r="AN269" s="306" t="s">
        <v>1328</v>
      </c>
    </row>
    <row r="270" spans="1:40">
      <c r="A270" s="307" t="s">
        <v>246</v>
      </c>
      <c r="B270" s="1477" t="s">
        <v>116</v>
      </c>
      <c r="C270" s="1478"/>
      <c r="D270" s="1478"/>
      <c r="E270" s="1478"/>
      <c r="F270" s="1478"/>
      <c r="G270" s="1479"/>
      <c r="H270" s="244">
        <v>5109.84</v>
      </c>
      <c r="I270" s="257">
        <v>1.18</v>
      </c>
      <c r="J270" s="257">
        <f>H270/I270</f>
        <v>4330.3728813559328</v>
      </c>
      <c r="K270" s="244">
        <f t="shared" si="7"/>
        <v>5045.9293099999995</v>
      </c>
      <c r="L270" s="479"/>
      <c r="M270" s="479"/>
      <c r="N270" s="479"/>
      <c r="O270" s="479"/>
      <c r="P270" s="479"/>
      <c r="Q270" s="479"/>
      <c r="R270" s="479"/>
      <c r="S270" s="479"/>
      <c r="T270" s="479"/>
      <c r="U270" s="479"/>
      <c r="V270" s="479"/>
      <c r="W270" s="479"/>
      <c r="X270" s="479"/>
      <c r="Y270" s="479"/>
      <c r="Z270" s="479"/>
      <c r="AA270" s="479"/>
      <c r="AB270" s="479"/>
      <c r="AC270" s="532">
        <v>1293.49731</v>
      </c>
      <c r="AD270" s="479"/>
      <c r="AE270" s="479"/>
      <c r="AF270" s="535"/>
      <c r="AG270" s="535">
        <f>1487.817</f>
        <v>1487.817</v>
      </c>
      <c r="AH270" s="535"/>
      <c r="AI270" s="535">
        <f>(2439.4553+11.0389+221.7515)/1.18</f>
        <v>2264.6150000000002</v>
      </c>
      <c r="AJ270" s="479"/>
      <c r="AK270" s="479"/>
      <c r="AL270" s="479"/>
      <c r="AM270" s="306" t="s">
        <v>1327</v>
      </c>
      <c r="AN270" s="306" t="s">
        <v>1328</v>
      </c>
    </row>
    <row r="271" spans="1:40">
      <c r="A271" s="307" t="s">
        <v>247</v>
      </c>
      <c r="B271" s="1477" t="s">
        <v>117</v>
      </c>
      <c r="C271" s="1478"/>
      <c r="D271" s="1478"/>
      <c r="E271" s="1478"/>
      <c r="F271" s="1478"/>
      <c r="G271" s="1479"/>
      <c r="H271" s="244">
        <v>1846.65</v>
      </c>
      <c r="I271" s="257">
        <v>1.18</v>
      </c>
      <c r="J271" s="257">
        <f>H271/I271</f>
        <v>1564.9576271186443</v>
      </c>
      <c r="K271" s="244">
        <f t="shared" si="7"/>
        <v>2046.6901699999999</v>
      </c>
      <c r="L271" s="532"/>
      <c r="M271" s="532"/>
      <c r="N271" s="532"/>
      <c r="O271" s="532"/>
      <c r="P271" s="532"/>
      <c r="Q271" s="532"/>
      <c r="R271" s="532"/>
      <c r="S271" s="532"/>
      <c r="T271" s="532"/>
      <c r="U271" s="532"/>
      <c r="V271" s="532"/>
      <c r="W271" s="532"/>
      <c r="X271" s="532"/>
      <c r="Y271" s="532"/>
      <c r="Z271" s="532"/>
      <c r="AA271" s="532"/>
      <c r="AB271" s="532"/>
      <c r="AC271" s="532">
        <v>587.96999000000005</v>
      </c>
      <c r="AD271" s="532"/>
      <c r="AE271" s="532"/>
      <c r="AF271" s="532"/>
      <c r="AG271" s="532">
        <f>648.29218</f>
        <v>648.29218000000003</v>
      </c>
      <c r="AH271" s="532"/>
      <c r="AI271" s="532">
        <f>810.428</f>
        <v>810.428</v>
      </c>
      <c r="AJ271" s="244"/>
      <c r="AK271" s="460"/>
      <c r="AL271" s="460"/>
      <c r="AM271" s="306" t="s">
        <v>1327</v>
      </c>
      <c r="AN271" s="306" t="s">
        <v>1328</v>
      </c>
    </row>
    <row r="272" spans="1:40">
      <c r="A272" s="1480" t="s">
        <v>118</v>
      </c>
      <c r="B272" s="1481"/>
      <c r="C272" s="1481"/>
      <c r="D272" s="1481"/>
      <c r="E272" s="1481"/>
      <c r="F272" s="1481"/>
      <c r="G272" s="1481"/>
      <c r="H272" s="442">
        <f>SUM(H273:H285)</f>
        <v>13681.57</v>
      </c>
      <c r="I272" s="442"/>
      <c r="J272" s="442">
        <f>SUM(J273:J285)</f>
        <v>11594.550847457629</v>
      </c>
      <c r="K272" s="442">
        <f>SUM(K273:K285)</f>
        <v>15229.475943220339</v>
      </c>
      <c r="L272" s="460"/>
      <c r="M272" s="460"/>
      <c r="N272" s="460"/>
      <c r="O272" s="460"/>
      <c r="P272" s="460"/>
      <c r="Q272" s="460"/>
      <c r="R272" s="460"/>
      <c r="S272" s="460"/>
      <c r="T272" s="460"/>
      <c r="U272" s="460"/>
      <c r="V272" s="460"/>
      <c r="W272" s="460"/>
      <c r="X272" s="482"/>
      <c r="Y272" s="482"/>
      <c r="Z272" s="482"/>
      <c r="AA272" s="482"/>
      <c r="AB272" s="482"/>
      <c r="AC272" s="482"/>
      <c r="AD272" s="244"/>
      <c r="AE272" s="244"/>
      <c r="AF272" s="244"/>
      <c r="AG272" s="244"/>
      <c r="AH272" s="244"/>
      <c r="AI272" s="244"/>
      <c r="AJ272" s="244"/>
      <c r="AK272" s="316"/>
      <c r="AL272" s="316"/>
      <c r="AM272" s="307"/>
      <c r="AN272" s="306"/>
    </row>
    <row r="273" spans="1:40">
      <c r="A273" s="307" t="s">
        <v>248</v>
      </c>
      <c r="B273" s="1482" t="s">
        <v>119</v>
      </c>
      <c r="C273" s="1483"/>
      <c r="D273" s="1483"/>
      <c r="E273" s="1483"/>
      <c r="F273" s="1483"/>
      <c r="G273" s="1484"/>
      <c r="H273" s="257">
        <v>300</v>
      </c>
      <c r="I273" s="257">
        <v>1.18</v>
      </c>
      <c r="J273" s="257">
        <f t="shared" ref="J273:J285" si="8">H273/I273</f>
        <v>254.23728813559325</v>
      </c>
      <c r="K273" s="244">
        <v>231.78</v>
      </c>
      <c r="L273" s="460"/>
      <c r="M273" s="460"/>
      <c r="N273" s="460"/>
      <c r="O273" s="460"/>
      <c r="P273" s="460"/>
      <c r="Q273" s="460"/>
      <c r="R273" s="460"/>
      <c r="S273" s="460"/>
      <c r="T273" s="460"/>
      <c r="U273" s="460"/>
      <c r="V273" s="460"/>
      <c r="W273" s="460"/>
      <c r="X273" s="482"/>
      <c r="Y273" s="482"/>
      <c r="Z273" s="482"/>
      <c r="AA273" s="482"/>
      <c r="AB273" s="482"/>
      <c r="AC273" s="482"/>
      <c r="AD273" s="244"/>
      <c r="AE273" s="244"/>
      <c r="AF273" s="244"/>
      <c r="AG273" s="244"/>
      <c r="AH273" s="354"/>
      <c r="AI273" s="354"/>
      <c r="AJ273" s="244"/>
      <c r="AK273" s="451"/>
      <c r="AL273" s="316"/>
      <c r="AM273" s="306" t="s">
        <v>1327</v>
      </c>
      <c r="AN273" s="306" t="s">
        <v>1328</v>
      </c>
    </row>
    <row r="274" spans="1:40">
      <c r="A274" s="307" t="s">
        <v>249</v>
      </c>
      <c r="B274" s="1482" t="s">
        <v>120</v>
      </c>
      <c r="C274" s="1483"/>
      <c r="D274" s="1483"/>
      <c r="E274" s="1483"/>
      <c r="F274" s="1483"/>
      <c r="G274" s="1484"/>
      <c r="H274" s="257">
        <v>720.5</v>
      </c>
      <c r="I274" s="257">
        <v>1.18</v>
      </c>
      <c r="J274" s="257">
        <f t="shared" si="8"/>
        <v>610.59322033898309</v>
      </c>
      <c r="K274" s="244">
        <f t="shared" si="7"/>
        <v>611.32489999999996</v>
      </c>
      <c r="L274" s="460"/>
      <c r="M274" s="460"/>
      <c r="N274" s="460"/>
      <c r="O274" s="460"/>
      <c r="P274" s="460"/>
      <c r="Q274" s="460"/>
      <c r="R274" s="460"/>
      <c r="S274" s="460"/>
      <c r="T274" s="460"/>
      <c r="U274" s="460"/>
      <c r="V274" s="460"/>
      <c r="W274" s="460"/>
      <c r="X274" s="482"/>
      <c r="Y274" s="482"/>
      <c r="Z274" s="482"/>
      <c r="AA274" s="482"/>
      <c r="AB274" s="482"/>
      <c r="AC274" s="482"/>
      <c r="AD274" s="244"/>
      <c r="AE274" s="244"/>
      <c r="AF274" s="244"/>
      <c r="AG274" s="244"/>
      <c r="AH274" s="244"/>
      <c r="AI274" s="354">
        <f>611.3249</f>
        <v>611.32489999999996</v>
      </c>
      <c r="AJ274" s="244"/>
      <c r="AK274" s="460"/>
      <c r="AL274" s="460"/>
      <c r="AM274" s="306" t="s">
        <v>1327</v>
      </c>
      <c r="AN274" s="306" t="s">
        <v>1328</v>
      </c>
    </row>
    <row r="275" spans="1:40">
      <c r="A275" s="307" t="s">
        <v>250</v>
      </c>
      <c r="B275" s="1482" t="s">
        <v>121</v>
      </c>
      <c r="C275" s="1483"/>
      <c r="D275" s="1483"/>
      <c r="E275" s="1483"/>
      <c r="F275" s="1483"/>
      <c r="G275" s="1484"/>
      <c r="H275" s="257">
        <v>636.5</v>
      </c>
      <c r="I275" s="257">
        <v>1.18</v>
      </c>
      <c r="J275" s="257">
        <f t="shared" si="8"/>
        <v>539.40677966101703</v>
      </c>
      <c r="K275" s="244">
        <f t="shared" si="7"/>
        <v>540.28809999999999</v>
      </c>
      <c r="L275" s="460"/>
      <c r="M275" s="460"/>
      <c r="N275" s="460"/>
      <c r="O275" s="460"/>
      <c r="P275" s="460"/>
      <c r="Q275" s="460"/>
      <c r="R275" s="460"/>
      <c r="S275" s="257"/>
      <c r="T275" s="460"/>
      <c r="U275" s="460"/>
      <c r="V275" s="460"/>
      <c r="W275" s="460"/>
      <c r="X275" s="482"/>
      <c r="Y275" s="482"/>
      <c r="Z275" s="482"/>
      <c r="AA275" s="482"/>
      <c r="AB275" s="482"/>
      <c r="AC275" s="482"/>
      <c r="AD275" s="244"/>
      <c r="AE275" s="244"/>
      <c r="AF275" s="244"/>
      <c r="AG275" s="244"/>
      <c r="AH275" s="244"/>
      <c r="AI275" s="354">
        <f>540.2881</f>
        <v>540.28809999999999</v>
      </c>
      <c r="AJ275" s="244"/>
      <c r="AK275" s="316"/>
      <c r="AL275" s="316"/>
      <c r="AM275" s="306" t="s">
        <v>1327</v>
      </c>
      <c r="AN275" s="306" t="s">
        <v>1328</v>
      </c>
    </row>
    <row r="276" spans="1:40">
      <c r="A276" s="307" t="s">
        <v>251</v>
      </c>
      <c r="B276" s="1482" t="s">
        <v>1874</v>
      </c>
      <c r="C276" s="1483"/>
      <c r="D276" s="1483"/>
      <c r="E276" s="1483"/>
      <c r="F276" s="1483"/>
      <c r="G276" s="1484"/>
      <c r="H276" s="455">
        <v>1120</v>
      </c>
      <c r="I276" s="257">
        <v>1.18</v>
      </c>
      <c r="J276" s="257">
        <f t="shared" si="8"/>
        <v>949.15254237288138</v>
      </c>
      <c r="K276" s="244">
        <f t="shared" si="7"/>
        <v>1120</v>
      </c>
      <c r="L276" s="460"/>
      <c r="M276" s="460"/>
      <c r="N276" s="460"/>
      <c r="O276" s="460"/>
      <c r="P276" s="460"/>
      <c r="Q276" s="460"/>
      <c r="R276" s="460"/>
      <c r="S276" s="460"/>
      <c r="T276" s="460"/>
      <c r="U276" s="460"/>
      <c r="V276" s="460"/>
      <c r="W276" s="460"/>
      <c r="X276" s="482"/>
      <c r="Y276" s="244"/>
      <c r="Z276" s="482"/>
      <c r="AA276" s="258"/>
      <c r="AB276" s="482"/>
      <c r="AC276" s="354">
        <v>1120</v>
      </c>
      <c r="AD276" s="244"/>
      <c r="AE276" s="244"/>
      <c r="AF276" s="244"/>
      <c r="AG276" s="244"/>
      <c r="AH276" s="244"/>
      <c r="AI276" s="244"/>
      <c r="AJ276" s="244"/>
      <c r="AK276" s="316"/>
      <c r="AL276" s="316"/>
      <c r="AM276" s="306" t="s">
        <v>1327</v>
      </c>
      <c r="AN276" s="306" t="s">
        <v>1328</v>
      </c>
    </row>
    <row r="277" spans="1:40">
      <c r="A277" s="512" t="s">
        <v>252</v>
      </c>
      <c r="B277" s="1469" t="s">
        <v>122</v>
      </c>
      <c r="C277" s="1470"/>
      <c r="D277" s="1470"/>
      <c r="E277" s="1470"/>
      <c r="F277" s="1470"/>
      <c r="G277" s="1471"/>
      <c r="H277" s="513">
        <v>450</v>
      </c>
      <c r="I277" s="257">
        <v>1.18</v>
      </c>
      <c r="J277" s="257">
        <f t="shared" si="8"/>
        <v>381.35593220338984</v>
      </c>
      <c r="K277" s="244">
        <f>SUM(L277:AI277)</f>
        <v>219.88284999999999</v>
      </c>
      <c r="L277" s="460"/>
      <c r="M277" s="460"/>
      <c r="N277" s="460"/>
      <c r="O277" s="460"/>
      <c r="P277" s="460"/>
      <c r="Q277" s="460"/>
      <c r="R277" s="460"/>
      <c r="S277" s="460"/>
      <c r="T277" s="460"/>
      <c r="U277" s="257"/>
      <c r="V277" s="460"/>
      <c r="W277" s="460"/>
      <c r="X277" s="482"/>
      <c r="Y277" s="482"/>
      <c r="Z277" s="482"/>
      <c r="AA277" s="482"/>
      <c r="AB277" s="482"/>
      <c r="AC277" s="482"/>
      <c r="AD277" s="244"/>
      <c r="AE277" s="244"/>
      <c r="AF277" s="244"/>
      <c r="AG277" s="244"/>
      <c r="AH277" s="354"/>
      <c r="AI277" s="354">
        <f>219.88285</f>
        <v>219.88284999999999</v>
      </c>
      <c r="AJ277" s="244"/>
      <c r="AK277" s="316"/>
      <c r="AL277" s="316"/>
      <c r="AM277" s="306" t="s">
        <v>1327</v>
      </c>
      <c r="AN277" s="306" t="s">
        <v>1328</v>
      </c>
    </row>
    <row r="278" spans="1:40">
      <c r="A278" s="307" t="s">
        <v>253</v>
      </c>
      <c r="B278" s="1456" t="s">
        <v>123</v>
      </c>
      <c r="C278" s="1457"/>
      <c r="D278" s="1457"/>
      <c r="E278" s="1457"/>
      <c r="F278" s="1457"/>
      <c r="G278" s="1458"/>
      <c r="H278" s="455">
        <v>588.69000000000005</v>
      </c>
      <c r="I278" s="257">
        <v>1.18</v>
      </c>
      <c r="J278" s="257">
        <f t="shared" si="8"/>
        <v>498.88983050847463</v>
      </c>
      <c r="K278" s="244">
        <f t="shared" si="7"/>
        <v>498.89227118644078</v>
      </c>
      <c r="L278" s="460"/>
      <c r="M278" s="460"/>
      <c r="N278" s="460"/>
      <c r="O278" s="460"/>
      <c r="P278" s="460"/>
      <c r="Q278" s="460"/>
      <c r="R278" s="460"/>
      <c r="S278" s="460"/>
      <c r="T278" s="460"/>
      <c r="U278" s="460"/>
      <c r="V278" s="460"/>
      <c r="W278" s="460"/>
      <c r="X278" s="482"/>
      <c r="Y278" s="482"/>
      <c r="Z278" s="482"/>
      <c r="AA278" s="482"/>
      <c r="AB278" s="482"/>
      <c r="AC278" s="354">
        <f>(372.27026+216.42262)/1.18</f>
        <v>498.89227118644078</v>
      </c>
      <c r="AD278" s="244"/>
      <c r="AE278" s="244"/>
      <c r="AF278" s="244"/>
      <c r="AG278" s="244"/>
      <c r="AH278" s="244"/>
      <c r="AI278" s="244"/>
      <c r="AJ278" s="244"/>
      <c r="AK278" s="451"/>
      <c r="AL278" s="316"/>
      <c r="AM278" s="306" t="s">
        <v>1327</v>
      </c>
      <c r="AN278" s="306" t="s">
        <v>1328</v>
      </c>
    </row>
    <row r="279" spans="1:40">
      <c r="A279" s="512" t="s">
        <v>254</v>
      </c>
      <c r="B279" s="1469" t="s">
        <v>1875</v>
      </c>
      <c r="C279" s="1470"/>
      <c r="D279" s="1470"/>
      <c r="E279" s="1470"/>
      <c r="F279" s="1470"/>
      <c r="G279" s="1471"/>
      <c r="H279" s="513">
        <v>21.37</v>
      </c>
      <c r="I279" s="257">
        <v>1.18</v>
      </c>
      <c r="J279" s="257">
        <f t="shared" si="8"/>
        <v>18.110169491525426</v>
      </c>
      <c r="K279" s="244">
        <v>17.850000000000001</v>
      </c>
      <c r="L279" s="460"/>
      <c r="M279" s="460"/>
      <c r="N279" s="460"/>
      <c r="O279" s="460"/>
      <c r="P279" s="460"/>
      <c r="Q279" s="460"/>
      <c r="R279" s="460"/>
      <c r="S279" s="460"/>
      <c r="T279" s="460"/>
      <c r="U279" s="460"/>
      <c r="V279" s="460"/>
      <c r="W279" s="460"/>
      <c r="X279" s="482"/>
      <c r="Y279" s="482"/>
      <c r="Z279" s="482"/>
      <c r="AA279" s="482"/>
      <c r="AB279" s="482"/>
      <c r="AC279" s="482"/>
      <c r="AD279" s="244"/>
      <c r="AE279" s="244"/>
      <c r="AF279" s="244"/>
      <c r="AG279" s="244"/>
      <c r="AH279" s="244"/>
      <c r="AI279" s="244"/>
      <c r="AJ279" s="244"/>
      <c r="AK279" s="451"/>
      <c r="AL279" s="316"/>
      <c r="AM279" s="306" t="s">
        <v>1327</v>
      </c>
      <c r="AN279" s="306" t="s">
        <v>1328</v>
      </c>
    </row>
    <row r="280" spans="1:40">
      <c r="A280" s="307" t="s">
        <v>255</v>
      </c>
      <c r="B280" s="1472" t="s">
        <v>1285</v>
      </c>
      <c r="C280" s="1473"/>
      <c r="D280" s="1473"/>
      <c r="E280" s="1473"/>
      <c r="F280" s="1473"/>
      <c r="G280" s="1474"/>
      <c r="H280" s="472">
        <v>2300</v>
      </c>
      <c r="I280" s="257">
        <v>1.18</v>
      </c>
      <c r="J280" s="257">
        <f t="shared" si="8"/>
        <v>1949.1525423728815</v>
      </c>
      <c r="K280" s="244">
        <f>SUM(L280:AN280)</f>
        <v>2693.7030084745766</v>
      </c>
      <c r="L280" s="457"/>
      <c r="M280" s="460"/>
      <c r="N280" s="460"/>
      <c r="O280" s="460"/>
      <c r="P280" s="460"/>
      <c r="Q280" s="460"/>
      <c r="R280" s="460"/>
      <c r="S280" s="460"/>
      <c r="T280" s="460"/>
      <c r="U280" s="536">
        <f>152.98412/1.18</f>
        <v>129.64755932203389</v>
      </c>
      <c r="V280" s="460"/>
      <c r="W280" s="259">
        <f>146.84725/1.18</f>
        <v>124.44682203389831</v>
      </c>
      <c r="X280" s="266"/>
      <c r="Y280" s="354">
        <f>(48.59333+81.35364+104.43917)/1.18</f>
        <v>198.63232203389833</v>
      </c>
      <c r="Z280" s="266"/>
      <c r="AA280" s="354">
        <f>199.3692/1.18</f>
        <v>168.95694915254239</v>
      </c>
      <c r="AB280" s="266"/>
      <c r="AC280" s="354">
        <f>(105.40728+82.87357)/1.18</f>
        <v>159.56004237288136</v>
      </c>
      <c r="AD280" s="354"/>
      <c r="AE280" s="354">
        <f>121.91391/1.18</f>
        <v>103.31687288135593</v>
      </c>
      <c r="AF280" s="244"/>
      <c r="AG280" s="244"/>
      <c r="AH280" s="354"/>
      <c r="AI280" s="354">
        <f>(276.52411+178.14373+1680.12024)/1.18</f>
        <v>1809.1424406779661</v>
      </c>
      <c r="AJ280" s="244"/>
      <c r="AK280" s="316"/>
      <c r="AL280" s="316"/>
      <c r="AM280" s="306" t="s">
        <v>1327</v>
      </c>
      <c r="AN280" s="306" t="s">
        <v>1328</v>
      </c>
    </row>
    <row r="281" spans="1:40">
      <c r="A281" s="307" t="s">
        <v>256</v>
      </c>
      <c r="B281" s="1472" t="s">
        <v>1876</v>
      </c>
      <c r="C281" s="1473"/>
      <c r="D281" s="1473"/>
      <c r="E281" s="1473"/>
      <c r="F281" s="1473"/>
      <c r="G281" s="1474"/>
      <c r="H281" s="537">
        <v>0</v>
      </c>
      <c r="I281" s="257">
        <v>1.18</v>
      </c>
      <c r="J281" s="257">
        <f t="shared" si="8"/>
        <v>0</v>
      </c>
      <c r="K281" s="244">
        <f>SUM(L281:AN281)</f>
        <v>278</v>
      </c>
      <c r="L281" s="457"/>
      <c r="M281" s="460"/>
      <c r="N281" s="460"/>
      <c r="O281" s="460"/>
      <c r="P281" s="460"/>
      <c r="Q281" s="460"/>
      <c r="R281" s="460"/>
      <c r="S281" s="460"/>
      <c r="T281" s="460"/>
      <c r="U281" s="460"/>
      <c r="V281" s="460"/>
      <c r="W281" s="257"/>
      <c r="X281" s="266"/>
      <c r="Y281" s="266"/>
      <c r="Z281" s="266"/>
      <c r="AA281" s="266"/>
      <c r="AB281" s="266"/>
      <c r="AC281" s="266"/>
      <c r="AD281" s="354"/>
      <c r="AE281" s="354"/>
      <c r="AF281" s="354"/>
      <c r="AG281" s="354"/>
      <c r="AH281" s="354"/>
      <c r="AI281" s="354">
        <v>278</v>
      </c>
      <c r="AJ281" s="244"/>
      <c r="AK281" s="316"/>
      <c r="AL281" s="316"/>
      <c r="AM281" s="306" t="s">
        <v>1327</v>
      </c>
      <c r="AN281" s="306" t="s">
        <v>1328</v>
      </c>
    </row>
    <row r="282" spans="1:40">
      <c r="A282" s="512" t="s">
        <v>257</v>
      </c>
      <c r="B282" s="1469" t="s">
        <v>1877</v>
      </c>
      <c r="C282" s="1470"/>
      <c r="D282" s="1470"/>
      <c r="E282" s="1470"/>
      <c r="F282" s="1470"/>
      <c r="G282" s="1471"/>
      <c r="H282" s="513">
        <v>1300</v>
      </c>
      <c r="I282" s="257">
        <v>1.18</v>
      </c>
      <c r="J282" s="257">
        <f t="shared" si="8"/>
        <v>1101.6949152542375</v>
      </c>
      <c r="K282" s="244">
        <f>SUM(L282:AI282)</f>
        <v>1963.885</v>
      </c>
      <c r="L282" s="460"/>
      <c r="M282" s="460"/>
      <c r="N282" s="460"/>
      <c r="O282" s="460"/>
      <c r="P282" s="460"/>
      <c r="Q282" s="460"/>
      <c r="R282" s="460"/>
      <c r="S282" s="460"/>
      <c r="T282" s="460"/>
      <c r="U282" s="257"/>
      <c r="V282" s="538"/>
      <c r="W282" s="460"/>
      <c r="X282" s="482"/>
      <c r="Y282" s="482"/>
      <c r="Z282" s="482"/>
      <c r="AA282" s="482"/>
      <c r="AB282" s="482"/>
      <c r="AC282" s="482"/>
      <c r="AD282" s="244"/>
      <c r="AE282" s="244"/>
      <c r="AF282" s="244"/>
      <c r="AG282" s="244"/>
      <c r="AH282" s="354"/>
      <c r="AI282" s="354">
        <f>1963.885</f>
        <v>1963.885</v>
      </c>
      <c r="AJ282" s="244"/>
      <c r="AK282" s="460"/>
      <c r="AL282" s="460"/>
      <c r="AM282" s="306" t="s">
        <v>1327</v>
      </c>
      <c r="AN282" s="306" t="s">
        <v>1328</v>
      </c>
    </row>
    <row r="283" spans="1:40">
      <c r="A283" s="514" t="s">
        <v>258</v>
      </c>
      <c r="B283" s="1456" t="s">
        <v>1878</v>
      </c>
      <c r="C283" s="1457"/>
      <c r="D283" s="1457"/>
      <c r="E283" s="1457"/>
      <c r="F283" s="1457"/>
      <c r="G283" s="1458"/>
      <c r="H283" s="1475">
        <v>3670</v>
      </c>
      <c r="I283" s="257">
        <v>1.18</v>
      </c>
      <c r="J283" s="257">
        <f t="shared" si="8"/>
        <v>3110.1694915254238</v>
      </c>
      <c r="K283" s="244">
        <f t="shared" si="7"/>
        <v>213.447</v>
      </c>
      <c r="L283" s="460"/>
      <c r="M283" s="460"/>
      <c r="N283" s="460"/>
      <c r="O283" s="460"/>
      <c r="P283" s="460"/>
      <c r="Q283" s="460"/>
      <c r="R283" s="460"/>
      <c r="S283" s="460"/>
      <c r="T283" s="460"/>
      <c r="U283" s="257"/>
      <c r="V283" s="538"/>
      <c r="W283" s="460"/>
      <c r="X283" s="482"/>
      <c r="Y283" s="482"/>
      <c r="Z283" s="482"/>
      <c r="AA283" s="482"/>
      <c r="AB283" s="482"/>
      <c r="AC283" s="482"/>
      <c r="AD283" s="244"/>
      <c r="AE283" s="244"/>
      <c r="AF283" s="244"/>
      <c r="AG283" s="244"/>
      <c r="AH283" s="354"/>
      <c r="AI283" s="354">
        <f>213.447</f>
        <v>213.447</v>
      </c>
      <c r="AJ283" s="281"/>
      <c r="AK283" s="316"/>
      <c r="AL283" s="316"/>
      <c r="AM283" s="306" t="s">
        <v>1327</v>
      </c>
      <c r="AN283" s="306" t="s">
        <v>1328</v>
      </c>
    </row>
    <row r="284" spans="1:40">
      <c r="A284" s="514" t="s">
        <v>1879</v>
      </c>
      <c r="B284" s="1456" t="s">
        <v>1878</v>
      </c>
      <c r="C284" s="1457"/>
      <c r="D284" s="1457"/>
      <c r="E284" s="1457"/>
      <c r="F284" s="1457"/>
      <c r="G284" s="1458"/>
      <c r="H284" s="1476"/>
      <c r="I284" s="257">
        <v>1.18</v>
      </c>
      <c r="J284" s="257">
        <f t="shared" si="8"/>
        <v>0</v>
      </c>
      <c r="K284" s="244">
        <f t="shared" si="7"/>
        <v>4798.2370000000001</v>
      </c>
      <c r="L284" s="460"/>
      <c r="M284" s="460"/>
      <c r="N284" s="460"/>
      <c r="O284" s="460"/>
      <c r="P284" s="460"/>
      <c r="Q284" s="460"/>
      <c r="R284" s="460"/>
      <c r="S284" s="460"/>
      <c r="T284" s="460"/>
      <c r="U284" s="257"/>
      <c r="V284" s="460"/>
      <c r="W284" s="460"/>
      <c r="X284" s="482"/>
      <c r="Y284" s="482"/>
      <c r="Z284" s="482"/>
      <c r="AA284" s="482"/>
      <c r="AB284" s="482"/>
      <c r="AC284" s="482"/>
      <c r="AD284" s="244"/>
      <c r="AE284" s="244"/>
      <c r="AF284" s="244"/>
      <c r="AG284" s="244"/>
      <c r="AH284" s="354"/>
      <c r="AI284" s="354">
        <f>(3994.74486+1667.1748)/1.18</f>
        <v>4798.2370000000001</v>
      </c>
      <c r="AJ284" s="281"/>
      <c r="AK284" s="316"/>
      <c r="AL284" s="316"/>
      <c r="AM284" s="306" t="s">
        <v>1327</v>
      </c>
      <c r="AN284" s="306" t="s">
        <v>1328</v>
      </c>
    </row>
    <row r="285" spans="1:40">
      <c r="A285" s="514" t="s">
        <v>1880</v>
      </c>
      <c r="B285" s="1456" t="s">
        <v>1288</v>
      </c>
      <c r="C285" s="1457"/>
      <c r="D285" s="1457"/>
      <c r="E285" s="1457"/>
      <c r="F285" s="1457"/>
      <c r="G285" s="1458"/>
      <c r="H285" s="257">
        <v>2574.5100000000002</v>
      </c>
      <c r="I285" s="257">
        <v>1.18</v>
      </c>
      <c r="J285" s="257">
        <f t="shared" si="8"/>
        <v>2181.7881355932204</v>
      </c>
      <c r="K285" s="244">
        <f t="shared" si="7"/>
        <v>2042.185813559322</v>
      </c>
      <c r="L285" s="460"/>
      <c r="M285" s="460"/>
      <c r="N285" s="460"/>
      <c r="O285" s="460"/>
      <c r="P285" s="460"/>
      <c r="Q285" s="460"/>
      <c r="R285" s="460"/>
      <c r="S285" s="460"/>
      <c r="T285" s="460"/>
      <c r="U285" s="257"/>
      <c r="V285" s="460"/>
      <c r="W285" s="460"/>
      <c r="X285" s="482"/>
      <c r="Y285" s="482"/>
      <c r="Z285" s="482"/>
      <c r="AA285" s="482"/>
      <c r="AB285" s="482"/>
      <c r="AC285" s="482"/>
      <c r="AD285" s="244"/>
      <c r="AE285" s="244"/>
      <c r="AF285" s="244"/>
      <c r="AG285" s="244"/>
      <c r="AH285" s="354"/>
      <c r="AI285" s="354">
        <f>2409.77926/1.18</f>
        <v>2042.185813559322</v>
      </c>
      <c r="AJ285" s="281"/>
      <c r="AK285" s="316"/>
      <c r="AL285" s="316"/>
      <c r="AM285" s="306" t="s">
        <v>1327</v>
      </c>
      <c r="AN285" s="306" t="s">
        <v>1328</v>
      </c>
    </row>
    <row r="286" spans="1:40" ht="18.75">
      <c r="A286" s="1459" t="s">
        <v>134</v>
      </c>
      <c r="B286" s="1460"/>
      <c r="C286" s="1460"/>
      <c r="D286" s="1460"/>
      <c r="E286" s="1460"/>
      <c r="F286" s="1460"/>
      <c r="G286" s="1460"/>
      <c r="H286" s="259">
        <f>SUM(H287:H301)</f>
        <v>26100.45</v>
      </c>
      <c r="I286" s="259"/>
      <c r="J286" s="259">
        <f>SUM(J287:J301)</f>
        <v>22119.025423728814</v>
      </c>
      <c r="K286" s="259">
        <f>SUM(K287:K301)</f>
        <v>11674.42</v>
      </c>
      <c r="L286" s="460"/>
      <c r="M286" s="460"/>
      <c r="N286" s="460"/>
      <c r="O286" s="460"/>
      <c r="P286" s="460"/>
      <c r="Q286" s="460"/>
      <c r="R286" s="460"/>
      <c r="S286" s="460"/>
      <c r="T286" s="460"/>
      <c r="U286" s="257"/>
      <c r="V286" s="460"/>
      <c r="W286" s="460"/>
      <c r="X286" s="482"/>
      <c r="Y286" s="482"/>
      <c r="Z286" s="482"/>
      <c r="AA286" s="482"/>
      <c r="AB286" s="482"/>
      <c r="AC286" s="482"/>
      <c r="AD286" s="244"/>
      <c r="AE286" s="244"/>
      <c r="AF286" s="244"/>
      <c r="AG286" s="244"/>
      <c r="AH286" s="354"/>
      <c r="AI286" s="354"/>
      <c r="AJ286" s="281"/>
      <c r="AK286" s="316"/>
      <c r="AL286" s="316"/>
      <c r="AM286" s="307"/>
      <c r="AN286" s="306"/>
    </row>
    <row r="287" spans="1:40" ht="30" customHeight="1">
      <c r="A287" s="514" t="s">
        <v>259</v>
      </c>
      <c r="B287" s="1451" t="s">
        <v>125</v>
      </c>
      <c r="C287" s="1452"/>
      <c r="D287" s="1452"/>
      <c r="E287" s="1452"/>
      <c r="F287" s="1452"/>
      <c r="G287" s="1452"/>
      <c r="H287" s="257">
        <v>2861.33</v>
      </c>
      <c r="I287" s="257">
        <v>1.18</v>
      </c>
      <c r="J287" s="257">
        <f t="shared" ref="J287:J299" si="9">H287/I287</f>
        <v>2424.8559322033898</v>
      </c>
      <c r="K287" s="244">
        <v>2050</v>
      </c>
      <c r="L287" s="460"/>
      <c r="M287" s="460"/>
      <c r="N287" s="460"/>
      <c r="O287" s="460"/>
      <c r="P287" s="460"/>
      <c r="Q287" s="460"/>
      <c r="R287" s="460"/>
      <c r="S287" s="460"/>
      <c r="T287" s="460"/>
      <c r="U287" s="257"/>
      <c r="V287" s="460"/>
      <c r="W287" s="460"/>
      <c r="X287" s="482"/>
      <c r="Y287" s="482"/>
      <c r="Z287" s="482"/>
      <c r="AA287" s="482"/>
      <c r="AB287" s="482"/>
      <c r="AC287" s="482"/>
      <c r="AD287" s="244"/>
      <c r="AE287" s="244"/>
      <c r="AF287" s="244"/>
      <c r="AG287" s="244"/>
      <c r="AH287" s="354"/>
      <c r="AI287" s="354"/>
      <c r="AJ287" s="281"/>
      <c r="AK287" s="316"/>
      <c r="AL287" s="316"/>
      <c r="AM287" s="306" t="s">
        <v>1327</v>
      </c>
      <c r="AN287" s="306" t="s">
        <v>1328</v>
      </c>
    </row>
    <row r="288" spans="1:40" ht="61.5" customHeight="1">
      <c r="A288" s="514" t="s">
        <v>260</v>
      </c>
      <c r="B288" s="1451" t="s">
        <v>1881</v>
      </c>
      <c r="C288" s="1452"/>
      <c r="D288" s="1452"/>
      <c r="E288" s="1452"/>
      <c r="F288" s="1452"/>
      <c r="G288" s="1452"/>
      <c r="H288" s="257">
        <v>3433.8</v>
      </c>
      <c r="I288" s="257">
        <v>1.18</v>
      </c>
      <c r="J288" s="257">
        <f t="shared" si="9"/>
        <v>2910.0000000000005</v>
      </c>
      <c r="K288" s="244">
        <v>2350</v>
      </c>
      <c r="L288" s="460"/>
      <c r="M288" s="460"/>
      <c r="N288" s="460"/>
      <c r="O288" s="460"/>
      <c r="P288" s="460"/>
      <c r="Q288" s="460"/>
      <c r="R288" s="460"/>
      <c r="S288" s="460"/>
      <c r="T288" s="460"/>
      <c r="U288" s="257"/>
      <c r="V288" s="460"/>
      <c r="W288" s="460"/>
      <c r="X288" s="482"/>
      <c r="Y288" s="482"/>
      <c r="Z288" s="482"/>
      <c r="AA288" s="482"/>
      <c r="AB288" s="482"/>
      <c r="AC288" s="482"/>
      <c r="AD288" s="244"/>
      <c r="AE288" s="244"/>
      <c r="AF288" s="244"/>
      <c r="AG288" s="244"/>
      <c r="AH288" s="354"/>
      <c r="AI288" s="354"/>
      <c r="AJ288" s="281"/>
      <c r="AK288" s="316"/>
      <c r="AL288" s="316"/>
      <c r="AM288" s="306" t="s">
        <v>1327</v>
      </c>
      <c r="AN288" s="306" t="s">
        <v>1328</v>
      </c>
    </row>
    <row r="289" spans="1:40" ht="60.75" customHeight="1">
      <c r="A289" s="514" t="s">
        <v>261</v>
      </c>
      <c r="B289" s="1461" t="s">
        <v>1882</v>
      </c>
      <c r="C289" s="1462"/>
      <c r="D289" s="1462"/>
      <c r="E289" s="1462"/>
      <c r="F289" s="1462"/>
      <c r="G289" s="1463"/>
      <c r="H289" s="257">
        <v>1200</v>
      </c>
      <c r="I289" s="257">
        <v>1.18</v>
      </c>
      <c r="J289" s="257">
        <f t="shared" si="9"/>
        <v>1016.949152542373</v>
      </c>
      <c r="K289" s="244">
        <v>1200</v>
      </c>
      <c r="L289" s="460"/>
      <c r="M289" s="460"/>
      <c r="N289" s="460"/>
      <c r="O289" s="460"/>
      <c r="P289" s="460"/>
      <c r="Q289" s="460"/>
      <c r="R289" s="460"/>
      <c r="S289" s="460"/>
      <c r="T289" s="460"/>
      <c r="U289" s="257"/>
      <c r="V289" s="460"/>
      <c r="W289" s="460"/>
      <c r="X289" s="482"/>
      <c r="Y289" s="482"/>
      <c r="Z289" s="482"/>
      <c r="AA289" s="482"/>
      <c r="AB289" s="482"/>
      <c r="AC289" s="482"/>
      <c r="AD289" s="244"/>
      <c r="AE289" s="244"/>
      <c r="AF289" s="244"/>
      <c r="AG289" s="244"/>
      <c r="AH289" s="354"/>
      <c r="AI289" s="354"/>
      <c r="AJ289" s="281"/>
      <c r="AK289" s="316"/>
      <c r="AL289" s="316"/>
      <c r="AM289" s="306" t="s">
        <v>1327</v>
      </c>
      <c r="AN289" s="306" t="s">
        <v>1328</v>
      </c>
    </row>
    <row r="290" spans="1:40" ht="44.25" customHeight="1">
      <c r="A290" s="514" t="s">
        <v>262</v>
      </c>
      <c r="B290" s="1451" t="s">
        <v>1883</v>
      </c>
      <c r="C290" s="1464"/>
      <c r="D290" s="1464"/>
      <c r="E290" s="1464"/>
      <c r="F290" s="1464"/>
      <c r="G290" s="1464"/>
      <c r="H290" s="257">
        <v>3763.12</v>
      </c>
      <c r="I290" s="257">
        <v>1.18</v>
      </c>
      <c r="J290" s="257">
        <f t="shared" si="9"/>
        <v>3189.0847457627119</v>
      </c>
      <c r="K290" s="244"/>
      <c r="L290" s="460"/>
      <c r="M290" s="460"/>
      <c r="N290" s="460"/>
      <c r="O290" s="460"/>
      <c r="P290" s="460"/>
      <c r="Q290" s="460"/>
      <c r="R290" s="460"/>
      <c r="S290" s="460"/>
      <c r="T290" s="460"/>
      <c r="U290" s="257"/>
      <c r="V290" s="460"/>
      <c r="W290" s="460"/>
      <c r="X290" s="482"/>
      <c r="Y290" s="482"/>
      <c r="Z290" s="482"/>
      <c r="AA290" s="482"/>
      <c r="AB290" s="482"/>
      <c r="AC290" s="482"/>
      <c r="AD290" s="244"/>
      <c r="AE290" s="244"/>
      <c r="AF290" s="244"/>
      <c r="AG290" s="244"/>
      <c r="AH290" s="354"/>
      <c r="AI290" s="354"/>
      <c r="AJ290" s="281"/>
      <c r="AK290" s="316"/>
      <c r="AL290" s="316"/>
      <c r="AM290" s="306" t="s">
        <v>1327</v>
      </c>
      <c r="AN290" s="306" t="s">
        <v>1328</v>
      </c>
    </row>
    <row r="291" spans="1:40" ht="30.75" customHeight="1">
      <c r="A291" s="514" t="s">
        <v>263</v>
      </c>
      <c r="B291" s="1451" t="s">
        <v>1884</v>
      </c>
      <c r="C291" s="1452"/>
      <c r="D291" s="1452"/>
      <c r="E291" s="1452"/>
      <c r="F291" s="1452"/>
      <c r="G291" s="1452"/>
      <c r="H291" s="257">
        <v>800</v>
      </c>
      <c r="I291" s="257">
        <v>1.18</v>
      </c>
      <c r="J291" s="257">
        <f t="shared" si="9"/>
        <v>677.96610169491532</v>
      </c>
      <c r="K291" s="244">
        <v>800</v>
      </c>
      <c r="L291" s="460"/>
      <c r="M291" s="460"/>
      <c r="N291" s="460"/>
      <c r="O291" s="460"/>
      <c r="P291" s="460"/>
      <c r="Q291" s="460"/>
      <c r="R291" s="460"/>
      <c r="S291" s="460"/>
      <c r="T291" s="460"/>
      <c r="U291" s="257"/>
      <c r="V291" s="460"/>
      <c r="W291" s="460"/>
      <c r="X291" s="482"/>
      <c r="Y291" s="482"/>
      <c r="Z291" s="482"/>
      <c r="AA291" s="482"/>
      <c r="AB291" s="482"/>
      <c r="AC291" s="482"/>
      <c r="AD291" s="244"/>
      <c r="AE291" s="244"/>
      <c r="AF291" s="244"/>
      <c r="AG291" s="244"/>
      <c r="AH291" s="354"/>
      <c r="AI291" s="354"/>
      <c r="AJ291" s="281"/>
      <c r="AK291" s="316"/>
      <c r="AL291" s="316"/>
      <c r="AM291" s="306" t="s">
        <v>1327</v>
      </c>
      <c r="AN291" s="306" t="s">
        <v>1328</v>
      </c>
    </row>
    <row r="292" spans="1:40" ht="75" customHeight="1">
      <c r="A292" s="514" t="s">
        <v>264</v>
      </c>
      <c r="B292" s="1451" t="s">
        <v>1885</v>
      </c>
      <c r="C292" s="1452"/>
      <c r="D292" s="1452"/>
      <c r="E292" s="1452"/>
      <c r="F292" s="1452"/>
      <c r="G292" s="1452"/>
      <c r="H292" s="257">
        <v>400</v>
      </c>
      <c r="I292" s="257">
        <v>1.18</v>
      </c>
      <c r="J292" s="257">
        <f t="shared" si="9"/>
        <v>338.98305084745766</v>
      </c>
      <c r="K292" s="244">
        <v>400</v>
      </c>
      <c r="L292" s="460"/>
      <c r="M292" s="460"/>
      <c r="N292" s="460"/>
      <c r="O292" s="460"/>
      <c r="P292" s="460"/>
      <c r="Q292" s="460"/>
      <c r="R292" s="460"/>
      <c r="S292" s="460"/>
      <c r="T292" s="460"/>
      <c r="U292" s="257"/>
      <c r="V292" s="460"/>
      <c r="W292" s="460"/>
      <c r="X292" s="482"/>
      <c r="Y292" s="482"/>
      <c r="Z292" s="482"/>
      <c r="AA292" s="482"/>
      <c r="AB292" s="482"/>
      <c r="AC292" s="482"/>
      <c r="AD292" s="244"/>
      <c r="AE292" s="244"/>
      <c r="AF292" s="244"/>
      <c r="AG292" s="244"/>
      <c r="AH292" s="354"/>
      <c r="AI292" s="354"/>
      <c r="AJ292" s="281"/>
      <c r="AK292" s="316"/>
      <c r="AL292" s="316"/>
      <c r="AM292" s="306" t="s">
        <v>1327</v>
      </c>
      <c r="AN292" s="306" t="s">
        <v>1328</v>
      </c>
    </row>
    <row r="293" spans="1:40" ht="45" customHeight="1">
      <c r="A293" s="514" t="s">
        <v>265</v>
      </c>
      <c r="B293" s="1461" t="s">
        <v>1886</v>
      </c>
      <c r="C293" s="1462"/>
      <c r="D293" s="1462"/>
      <c r="E293" s="1462"/>
      <c r="F293" s="1462"/>
      <c r="G293" s="1463"/>
      <c r="H293" s="257">
        <v>6412.5</v>
      </c>
      <c r="I293" s="257">
        <v>1.18</v>
      </c>
      <c r="J293" s="257">
        <f t="shared" si="9"/>
        <v>5434.3220338983056</v>
      </c>
      <c r="K293" s="244"/>
      <c r="L293" s="460"/>
      <c r="M293" s="460"/>
      <c r="N293" s="460"/>
      <c r="O293" s="460"/>
      <c r="P293" s="460"/>
      <c r="Q293" s="460"/>
      <c r="R293" s="460"/>
      <c r="S293" s="460"/>
      <c r="T293" s="460"/>
      <c r="U293" s="257"/>
      <c r="V293" s="460"/>
      <c r="W293" s="460"/>
      <c r="X293" s="482"/>
      <c r="Y293" s="482"/>
      <c r="Z293" s="482"/>
      <c r="AA293" s="482"/>
      <c r="AB293" s="482"/>
      <c r="AC293" s="482"/>
      <c r="AD293" s="244"/>
      <c r="AE293" s="244"/>
      <c r="AF293" s="244"/>
      <c r="AG293" s="244"/>
      <c r="AH293" s="354"/>
      <c r="AI293" s="354"/>
      <c r="AJ293" s="281"/>
      <c r="AK293" s="316"/>
      <c r="AL293" s="316"/>
      <c r="AM293" s="306" t="s">
        <v>1327</v>
      </c>
      <c r="AN293" s="306" t="s">
        <v>1328</v>
      </c>
    </row>
    <row r="294" spans="1:40" ht="45" customHeight="1">
      <c r="A294" s="514" t="s">
        <v>266</v>
      </c>
      <c r="B294" s="1456" t="s">
        <v>1887</v>
      </c>
      <c r="C294" s="1467"/>
      <c r="D294" s="1467"/>
      <c r="E294" s="1467"/>
      <c r="F294" s="1467"/>
      <c r="G294" s="1468"/>
      <c r="H294" s="257">
        <v>2200</v>
      </c>
      <c r="I294" s="257">
        <v>1.18</v>
      </c>
      <c r="J294" s="257">
        <f t="shared" si="9"/>
        <v>1864.406779661017</v>
      </c>
      <c r="K294" s="244"/>
      <c r="L294" s="460"/>
      <c r="M294" s="460"/>
      <c r="N294" s="460"/>
      <c r="O294" s="460"/>
      <c r="P294" s="460"/>
      <c r="Q294" s="460"/>
      <c r="R294" s="460"/>
      <c r="S294" s="460"/>
      <c r="T294" s="460"/>
      <c r="U294" s="257"/>
      <c r="V294" s="460"/>
      <c r="W294" s="460"/>
      <c r="X294" s="482"/>
      <c r="Y294" s="482"/>
      <c r="Z294" s="482"/>
      <c r="AA294" s="482"/>
      <c r="AB294" s="482"/>
      <c r="AC294" s="482"/>
      <c r="AD294" s="244"/>
      <c r="AE294" s="244"/>
      <c r="AF294" s="244"/>
      <c r="AG294" s="244"/>
      <c r="AH294" s="354"/>
      <c r="AI294" s="354"/>
      <c r="AJ294" s="281"/>
      <c r="AK294" s="316"/>
      <c r="AL294" s="316"/>
      <c r="AM294" s="306" t="s">
        <v>1327</v>
      </c>
      <c r="AN294" s="306" t="s">
        <v>1328</v>
      </c>
    </row>
    <row r="295" spans="1:40" ht="45.75" customHeight="1">
      <c r="A295" s="514" t="s">
        <v>267</v>
      </c>
      <c r="B295" s="1461" t="s">
        <v>1888</v>
      </c>
      <c r="C295" s="1462"/>
      <c r="D295" s="1462"/>
      <c r="E295" s="1462"/>
      <c r="F295" s="1462"/>
      <c r="G295" s="1463"/>
      <c r="H295" s="257">
        <v>1800</v>
      </c>
      <c r="I295" s="257">
        <v>1.18</v>
      </c>
      <c r="J295" s="257">
        <f t="shared" si="9"/>
        <v>1525.4237288135594</v>
      </c>
      <c r="K295" s="244">
        <v>286</v>
      </c>
      <c r="L295" s="460"/>
      <c r="M295" s="460"/>
      <c r="N295" s="460"/>
      <c r="O295" s="460"/>
      <c r="P295" s="460"/>
      <c r="Q295" s="460"/>
      <c r="R295" s="460"/>
      <c r="S295" s="460"/>
      <c r="T295" s="460"/>
      <c r="U295" s="257"/>
      <c r="V295" s="460"/>
      <c r="W295" s="460"/>
      <c r="X295" s="482"/>
      <c r="Y295" s="482"/>
      <c r="Z295" s="482"/>
      <c r="AA295" s="482"/>
      <c r="AB295" s="482"/>
      <c r="AC295" s="482"/>
      <c r="AD295" s="244"/>
      <c r="AE295" s="244"/>
      <c r="AF295" s="244"/>
      <c r="AG295" s="244"/>
      <c r="AH295" s="354"/>
      <c r="AI295" s="354"/>
      <c r="AJ295" s="281"/>
      <c r="AK295" s="316"/>
      <c r="AL295" s="316"/>
      <c r="AM295" s="306" t="s">
        <v>1327</v>
      </c>
      <c r="AN295" s="306" t="s">
        <v>1328</v>
      </c>
    </row>
    <row r="296" spans="1:40" ht="45.75" customHeight="1">
      <c r="A296" s="514" t="s">
        <v>268</v>
      </c>
      <c r="B296" s="1451" t="s">
        <v>1889</v>
      </c>
      <c r="C296" s="1452"/>
      <c r="D296" s="1452"/>
      <c r="E296" s="1452"/>
      <c r="F296" s="1452"/>
      <c r="G296" s="1452"/>
      <c r="H296" s="257">
        <v>800.04</v>
      </c>
      <c r="I296" s="257">
        <v>1.18</v>
      </c>
      <c r="J296" s="257">
        <f t="shared" si="9"/>
        <v>678</v>
      </c>
      <c r="K296" s="244"/>
      <c r="L296" s="460"/>
      <c r="M296" s="460"/>
      <c r="N296" s="460"/>
      <c r="O296" s="460"/>
      <c r="P296" s="460"/>
      <c r="Q296" s="460"/>
      <c r="R296" s="460"/>
      <c r="S296" s="460"/>
      <c r="T296" s="460"/>
      <c r="U296" s="257"/>
      <c r="V296" s="460"/>
      <c r="W296" s="460"/>
      <c r="X296" s="482"/>
      <c r="Y296" s="482"/>
      <c r="Z296" s="482"/>
      <c r="AA296" s="482"/>
      <c r="AB296" s="482"/>
      <c r="AC296" s="482"/>
      <c r="AD296" s="244"/>
      <c r="AE296" s="244"/>
      <c r="AF296" s="244"/>
      <c r="AG296" s="244"/>
      <c r="AH296" s="354"/>
      <c r="AI296" s="354"/>
      <c r="AJ296" s="281"/>
      <c r="AK296" s="316"/>
      <c r="AL296" s="316"/>
      <c r="AM296" s="306" t="s">
        <v>1327</v>
      </c>
      <c r="AN296" s="306" t="s">
        <v>1328</v>
      </c>
    </row>
    <row r="297" spans="1:40" ht="45" customHeight="1">
      <c r="A297" s="514" t="s">
        <v>269</v>
      </c>
      <c r="B297" s="1451" t="s">
        <v>131</v>
      </c>
      <c r="C297" s="1452"/>
      <c r="D297" s="1452"/>
      <c r="E297" s="1452"/>
      <c r="F297" s="1452"/>
      <c r="G297" s="1452"/>
      <c r="H297" s="257">
        <v>1200</v>
      </c>
      <c r="I297" s="257">
        <v>1.18</v>
      </c>
      <c r="J297" s="257">
        <f t="shared" si="9"/>
        <v>1016.949152542373</v>
      </c>
      <c r="K297" s="244">
        <v>475.42</v>
      </c>
      <c r="L297" s="460"/>
      <c r="M297" s="460"/>
      <c r="N297" s="460"/>
      <c r="O297" s="460"/>
      <c r="P297" s="460"/>
      <c r="Q297" s="460"/>
      <c r="R297" s="460"/>
      <c r="S297" s="460"/>
      <c r="T297" s="460"/>
      <c r="U297" s="257"/>
      <c r="V297" s="460"/>
      <c r="W297" s="460"/>
      <c r="X297" s="482"/>
      <c r="Y297" s="482"/>
      <c r="Z297" s="482"/>
      <c r="AA297" s="482"/>
      <c r="AB297" s="482"/>
      <c r="AC297" s="482"/>
      <c r="AD297" s="244"/>
      <c r="AE297" s="244"/>
      <c r="AF297" s="244"/>
      <c r="AG297" s="244"/>
      <c r="AH297" s="354"/>
      <c r="AI297" s="354"/>
      <c r="AJ297" s="281"/>
      <c r="AK297" s="316"/>
      <c r="AL297" s="316"/>
      <c r="AM297" s="306" t="s">
        <v>1327</v>
      </c>
      <c r="AN297" s="306" t="s">
        <v>1328</v>
      </c>
    </row>
    <row r="298" spans="1:40" ht="45.75" customHeight="1">
      <c r="A298" s="514" t="s">
        <v>1298</v>
      </c>
      <c r="B298" s="1451" t="s">
        <v>1890</v>
      </c>
      <c r="C298" s="1452"/>
      <c r="D298" s="1452"/>
      <c r="E298" s="1452"/>
      <c r="F298" s="1452"/>
      <c r="G298" s="1452"/>
      <c r="H298" s="257">
        <v>750</v>
      </c>
      <c r="I298" s="257">
        <v>1.18</v>
      </c>
      <c r="J298" s="257">
        <f t="shared" si="9"/>
        <v>635.59322033898309</v>
      </c>
      <c r="K298" s="244">
        <v>750</v>
      </c>
      <c r="L298" s="460"/>
      <c r="M298" s="460"/>
      <c r="N298" s="460"/>
      <c r="O298" s="460"/>
      <c r="P298" s="460"/>
      <c r="Q298" s="460"/>
      <c r="R298" s="460"/>
      <c r="S298" s="460"/>
      <c r="T298" s="460"/>
      <c r="U298" s="257"/>
      <c r="V298" s="460"/>
      <c r="W298" s="460"/>
      <c r="X298" s="482"/>
      <c r="Y298" s="482"/>
      <c r="Z298" s="482"/>
      <c r="AA298" s="482"/>
      <c r="AB298" s="482"/>
      <c r="AC298" s="482"/>
      <c r="AD298" s="244"/>
      <c r="AE298" s="244"/>
      <c r="AF298" s="244"/>
      <c r="AG298" s="244"/>
      <c r="AH298" s="354"/>
      <c r="AI298" s="354"/>
      <c r="AJ298" s="281"/>
      <c r="AK298" s="316"/>
      <c r="AL298" s="316"/>
      <c r="AM298" s="306" t="s">
        <v>1327</v>
      </c>
      <c r="AN298" s="306" t="s">
        <v>1328</v>
      </c>
    </row>
    <row r="299" spans="1:40" ht="75.75" customHeight="1">
      <c r="A299" s="514" t="s">
        <v>1299</v>
      </c>
      <c r="B299" s="1451" t="s">
        <v>1891</v>
      </c>
      <c r="C299" s="1452"/>
      <c r="D299" s="1452"/>
      <c r="E299" s="1452"/>
      <c r="F299" s="1452"/>
      <c r="G299" s="1452"/>
      <c r="H299" s="257">
        <v>479.66</v>
      </c>
      <c r="I299" s="257">
        <v>1.18</v>
      </c>
      <c r="J299" s="257">
        <f t="shared" si="9"/>
        <v>406.49152542372883</v>
      </c>
      <c r="K299" s="244"/>
      <c r="L299" s="460"/>
      <c r="M299" s="460"/>
      <c r="N299" s="460"/>
      <c r="O299" s="460"/>
      <c r="P299" s="460"/>
      <c r="Q299" s="460"/>
      <c r="R299" s="460"/>
      <c r="S299" s="460"/>
      <c r="T299" s="460"/>
      <c r="U299" s="257"/>
      <c r="V299" s="460"/>
      <c r="W299" s="460"/>
      <c r="X299" s="482"/>
      <c r="Y299" s="482"/>
      <c r="Z299" s="482"/>
      <c r="AA299" s="482"/>
      <c r="AB299" s="482"/>
      <c r="AC299" s="482"/>
      <c r="AD299" s="244"/>
      <c r="AE299" s="244"/>
      <c r="AF299" s="244"/>
      <c r="AG299" s="244"/>
      <c r="AH299" s="354"/>
      <c r="AI299" s="354"/>
      <c r="AJ299" s="281"/>
      <c r="AK299" s="316"/>
      <c r="AL299" s="316"/>
      <c r="AM299" s="306" t="s">
        <v>1327</v>
      </c>
      <c r="AN299" s="306" t="s">
        <v>1328</v>
      </c>
    </row>
    <row r="300" spans="1:40" ht="60.75" customHeight="1">
      <c r="A300" s="514" t="s">
        <v>1376</v>
      </c>
      <c r="B300" s="1451" t="s">
        <v>1892</v>
      </c>
      <c r="C300" s="1452"/>
      <c r="D300" s="1452"/>
      <c r="E300" s="1452"/>
      <c r="F300" s="1452"/>
      <c r="G300" s="1452"/>
      <c r="H300" s="257"/>
      <c r="I300" s="257"/>
      <c r="J300" s="257"/>
      <c r="K300" s="244">
        <v>3300</v>
      </c>
      <c r="L300" s="460"/>
      <c r="M300" s="460"/>
      <c r="N300" s="460"/>
      <c r="O300" s="460"/>
      <c r="P300" s="460"/>
      <c r="Q300" s="460"/>
      <c r="R300" s="460"/>
      <c r="S300" s="460"/>
      <c r="T300" s="460"/>
      <c r="U300" s="257"/>
      <c r="V300" s="460"/>
      <c r="W300" s="460"/>
      <c r="X300" s="482"/>
      <c r="Y300" s="482"/>
      <c r="Z300" s="482"/>
      <c r="AA300" s="482"/>
      <c r="AB300" s="482"/>
      <c r="AC300" s="482"/>
      <c r="AD300" s="244"/>
      <c r="AE300" s="244"/>
      <c r="AF300" s="244"/>
      <c r="AG300" s="244"/>
      <c r="AH300" s="354"/>
      <c r="AI300" s="354"/>
      <c r="AJ300" s="281"/>
      <c r="AK300" s="316"/>
      <c r="AL300" s="316"/>
      <c r="AM300" s="306" t="s">
        <v>1327</v>
      </c>
      <c r="AN300" s="306" t="s">
        <v>1328</v>
      </c>
    </row>
    <row r="301" spans="1:40" ht="30.75" customHeight="1">
      <c r="A301" s="514" t="s">
        <v>1377</v>
      </c>
      <c r="B301" s="1451" t="s">
        <v>1893</v>
      </c>
      <c r="C301" s="1452"/>
      <c r="D301" s="1452"/>
      <c r="E301" s="1452"/>
      <c r="F301" s="1452"/>
      <c r="G301" s="1452"/>
      <c r="H301" s="257"/>
      <c r="I301" s="257"/>
      <c r="J301" s="257"/>
      <c r="K301" s="244">
        <v>63</v>
      </c>
      <c r="L301" s="460"/>
      <c r="M301" s="460"/>
      <c r="N301" s="460"/>
      <c r="O301" s="460"/>
      <c r="P301" s="460"/>
      <c r="Q301" s="460"/>
      <c r="R301" s="460"/>
      <c r="S301" s="460"/>
      <c r="T301" s="460"/>
      <c r="U301" s="257"/>
      <c r="V301" s="460"/>
      <c r="W301" s="460"/>
      <c r="X301" s="482"/>
      <c r="Y301" s="482"/>
      <c r="Z301" s="482"/>
      <c r="AA301" s="482"/>
      <c r="AB301" s="482"/>
      <c r="AC301" s="482"/>
      <c r="AD301" s="244"/>
      <c r="AE301" s="244"/>
      <c r="AF301" s="244"/>
      <c r="AG301" s="244"/>
      <c r="AH301" s="354"/>
      <c r="AI301" s="354"/>
      <c r="AJ301" s="281"/>
      <c r="AK301" s="316"/>
      <c r="AL301" s="316"/>
      <c r="AM301" s="306" t="s">
        <v>1327</v>
      </c>
      <c r="AN301" s="306" t="s">
        <v>1328</v>
      </c>
    </row>
    <row r="302" spans="1:40">
      <c r="A302" s="1453" t="s">
        <v>1894</v>
      </c>
      <c r="B302" s="1454"/>
      <c r="C302" s="1454"/>
      <c r="D302" s="1454"/>
      <c r="E302" s="1454"/>
      <c r="F302" s="1454"/>
      <c r="G302" s="1455"/>
      <c r="H302" s="442">
        <f>H272+H267+H261+H257+H241+H236+H209+H171+H161+H12+H286</f>
        <v>121623.323</v>
      </c>
      <c r="I302" s="442"/>
      <c r="J302" s="442">
        <f>J272+J267+J261+J257+J241+J236+J209+J171+J161+J12+J286</f>
        <v>103070.61271186444</v>
      </c>
      <c r="K302" s="442">
        <f>K272+K267+K261+K257+K241+K236+K209+K171+K161+K12+K286</f>
        <v>103117.32313</v>
      </c>
      <c r="L302" s="460"/>
      <c r="M302" s="460"/>
      <c r="N302" s="460"/>
      <c r="O302" s="460"/>
      <c r="P302" s="460"/>
      <c r="Q302" s="460"/>
      <c r="R302" s="460"/>
      <c r="S302" s="257"/>
      <c r="T302" s="460"/>
      <c r="U302" s="460"/>
      <c r="V302" s="460"/>
      <c r="W302" s="460"/>
      <c r="X302" s="482"/>
      <c r="Y302" s="482"/>
      <c r="Z302" s="482"/>
      <c r="AA302" s="482"/>
      <c r="AB302" s="482"/>
      <c r="AC302" s="482"/>
      <c r="AD302" s="244"/>
      <c r="AE302" s="244"/>
      <c r="AF302" s="244"/>
      <c r="AG302" s="244"/>
      <c r="AH302" s="244"/>
      <c r="AI302" s="244"/>
      <c r="AJ302" s="244"/>
      <c r="AK302" s="316"/>
      <c r="AL302" s="316"/>
      <c r="AM302" s="307"/>
      <c r="AN302" s="306"/>
    </row>
    <row r="304" spans="1:40">
      <c r="A304" s="466"/>
      <c r="B304" s="466"/>
      <c r="C304" s="466"/>
      <c r="D304" s="466"/>
      <c r="E304" s="466"/>
      <c r="F304" s="466"/>
      <c r="G304" s="466"/>
      <c r="H304" s="466"/>
      <c r="I304" s="466"/>
      <c r="J304" s="466"/>
      <c r="K304" s="466"/>
      <c r="L304" s="466"/>
      <c r="M304" s="466"/>
      <c r="N304" s="466"/>
      <c r="O304" s="466"/>
      <c r="P304" s="466"/>
      <c r="Q304" s="466"/>
      <c r="R304" s="466"/>
      <c r="S304" s="466"/>
      <c r="T304" s="466"/>
      <c r="U304" s="466"/>
      <c r="V304" s="466"/>
      <c r="W304" s="466"/>
      <c r="X304" s="466"/>
      <c r="Y304" s="1465"/>
      <c r="Z304" s="1466"/>
      <c r="AA304" s="1466"/>
      <c r="AB304" s="1466"/>
      <c r="AC304" s="1466"/>
      <c r="AD304" s="1466"/>
      <c r="AE304" s="1466"/>
      <c r="AF304" s="466"/>
      <c r="AG304" s="466"/>
      <c r="AH304" s="466"/>
      <c r="AI304" s="467"/>
      <c r="AJ304" s="468"/>
      <c r="AK304" s="468"/>
      <c r="AL304" s="1449"/>
      <c r="AM304" s="1448"/>
      <c r="AN304" s="1450"/>
    </row>
    <row r="305" spans="1:40">
      <c r="A305" s="466"/>
      <c r="B305" s="466"/>
      <c r="C305" s="466"/>
      <c r="D305" s="466"/>
      <c r="E305" s="466"/>
      <c r="F305" s="466"/>
      <c r="G305" s="466"/>
      <c r="H305" s="466"/>
      <c r="I305" s="466"/>
      <c r="J305" s="466"/>
      <c r="K305" s="466"/>
      <c r="L305" s="466"/>
      <c r="M305" s="466"/>
      <c r="N305" s="466"/>
      <c r="O305" s="466"/>
      <c r="P305" s="466"/>
      <c r="Q305" s="466"/>
      <c r="R305" s="466"/>
      <c r="S305" s="466"/>
      <c r="T305" s="466"/>
      <c r="U305" s="466"/>
      <c r="V305" s="466"/>
      <c r="W305" s="466"/>
      <c r="X305" s="466"/>
      <c r="Y305" s="469"/>
      <c r="Z305" s="469"/>
      <c r="AA305" s="469"/>
      <c r="AB305" s="469"/>
      <c r="AC305" s="469"/>
      <c r="AD305" s="469"/>
      <c r="AE305" s="466"/>
      <c r="AF305" s="466"/>
      <c r="AG305" s="466"/>
      <c r="AH305" s="466"/>
      <c r="AI305" s="467"/>
      <c r="AJ305" s="468"/>
      <c r="AK305" s="468"/>
      <c r="AL305" s="468"/>
      <c r="AM305" s="470"/>
    </row>
    <row r="306" spans="1:40">
      <c r="A306" s="466"/>
      <c r="B306" s="466"/>
      <c r="C306" s="466"/>
      <c r="D306" s="466"/>
      <c r="E306" s="466"/>
      <c r="F306" s="466"/>
      <c r="G306" s="466"/>
      <c r="H306" s="466"/>
      <c r="I306" s="466"/>
      <c r="J306" s="466"/>
      <c r="K306" s="466"/>
      <c r="L306" s="466"/>
      <c r="M306" s="466"/>
      <c r="N306" s="466"/>
      <c r="O306" s="466"/>
      <c r="P306" s="466"/>
      <c r="Q306" s="466"/>
      <c r="R306" s="466"/>
      <c r="S306" s="466"/>
      <c r="T306" s="466"/>
      <c r="U306" s="466"/>
      <c r="V306" s="466"/>
      <c r="W306" s="466"/>
      <c r="X306" s="466"/>
      <c r="Y306" s="469"/>
      <c r="Z306" s="469"/>
      <c r="AA306" s="469"/>
      <c r="AB306" s="469"/>
      <c r="AC306" s="469"/>
      <c r="AD306" s="469"/>
      <c r="AE306" s="466"/>
      <c r="AF306" s="466"/>
      <c r="AG306" s="466"/>
      <c r="AH306" s="466"/>
      <c r="AI306" s="467"/>
      <c r="AJ306" s="468"/>
      <c r="AK306" s="468"/>
      <c r="AL306" s="468"/>
      <c r="AM306" s="470"/>
    </row>
    <row r="307" spans="1:40">
      <c r="A307" s="466"/>
      <c r="B307" s="466"/>
      <c r="C307" s="466"/>
      <c r="D307" s="466"/>
      <c r="E307" s="466"/>
      <c r="F307" s="466"/>
      <c r="G307" s="466"/>
      <c r="H307" s="466"/>
      <c r="I307" s="466"/>
      <c r="J307" s="466"/>
      <c r="K307" s="466"/>
      <c r="L307" s="466"/>
      <c r="M307" s="466"/>
      <c r="N307" s="466"/>
      <c r="O307" s="466"/>
      <c r="P307" s="466"/>
      <c r="Q307" s="466"/>
      <c r="R307" s="466"/>
      <c r="S307" s="466"/>
      <c r="T307" s="466"/>
      <c r="U307" s="466"/>
      <c r="V307" s="466"/>
      <c r="W307" s="466"/>
      <c r="X307" s="466"/>
      <c r="Y307" s="1447"/>
      <c r="Z307" s="1448"/>
      <c r="AA307" s="1448"/>
      <c r="AB307" s="1448"/>
      <c r="AC307" s="1448"/>
      <c r="AD307" s="1448"/>
      <c r="AE307" s="1448"/>
      <c r="AF307" s="466"/>
      <c r="AG307" s="466"/>
      <c r="AH307" s="466"/>
      <c r="AI307" s="467"/>
      <c r="AJ307" s="468"/>
      <c r="AK307" s="468"/>
      <c r="AL307" s="1449"/>
      <c r="AM307" s="1448"/>
      <c r="AN307" s="1450"/>
    </row>
    <row r="308" spans="1:40">
      <c r="A308" s="466"/>
      <c r="B308" s="466"/>
      <c r="C308" s="466"/>
      <c r="D308" s="466"/>
      <c r="E308" s="466"/>
      <c r="F308" s="466"/>
      <c r="G308" s="466"/>
      <c r="H308" s="466"/>
      <c r="I308" s="466"/>
      <c r="J308" s="466"/>
      <c r="K308" s="466"/>
      <c r="L308" s="466"/>
      <c r="M308" s="466"/>
      <c r="N308" s="466"/>
      <c r="O308" s="466"/>
      <c r="P308" s="466"/>
      <c r="Q308" s="466"/>
      <c r="R308" s="466"/>
      <c r="S308" s="466"/>
      <c r="T308" s="466"/>
      <c r="U308" s="466"/>
      <c r="V308" s="466"/>
      <c r="W308" s="466"/>
      <c r="X308" s="466"/>
      <c r="Y308" s="469"/>
      <c r="Z308" s="469"/>
      <c r="AA308" s="469"/>
      <c r="AB308" s="469"/>
      <c r="AC308" s="469"/>
      <c r="AD308" s="469"/>
      <c r="AE308" s="466"/>
      <c r="AF308" s="466"/>
      <c r="AG308" s="466"/>
      <c r="AH308" s="466"/>
      <c r="AI308" s="281"/>
      <c r="AJ308" s="468"/>
      <c r="AK308" s="468"/>
      <c r="AL308" s="468"/>
      <c r="AM308" s="470"/>
    </row>
    <row r="309" spans="1:40">
      <c r="A309" s="466"/>
      <c r="B309" s="466"/>
      <c r="C309" s="466"/>
      <c r="D309" s="466"/>
      <c r="E309" s="466"/>
      <c r="F309" s="466"/>
      <c r="G309" s="466"/>
      <c r="H309" s="466"/>
      <c r="I309" s="466"/>
      <c r="J309" s="466"/>
      <c r="K309" s="466"/>
      <c r="L309" s="466"/>
      <c r="M309" s="466"/>
      <c r="N309" s="466"/>
      <c r="O309" s="466"/>
      <c r="P309" s="466"/>
      <c r="Q309" s="466"/>
      <c r="R309" s="466"/>
      <c r="S309" s="466"/>
      <c r="T309" s="466"/>
      <c r="U309" s="466"/>
      <c r="V309" s="466"/>
      <c r="W309" s="466"/>
      <c r="X309" s="466"/>
      <c r="Y309" s="469"/>
      <c r="Z309" s="469"/>
      <c r="AA309" s="469"/>
      <c r="AB309" s="469"/>
      <c r="AC309" s="469"/>
      <c r="AD309" s="469"/>
      <c r="AE309" s="466"/>
      <c r="AF309" s="466"/>
      <c r="AG309" s="466"/>
      <c r="AH309" s="466"/>
      <c r="AI309" s="281"/>
      <c r="AJ309" s="468"/>
      <c r="AK309" s="468"/>
      <c r="AL309" s="468"/>
      <c r="AM309" s="470"/>
    </row>
    <row r="310" spans="1:40">
      <c r="A310" s="466"/>
      <c r="B310" s="466"/>
      <c r="C310" s="466"/>
      <c r="D310" s="466"/>
      <c r="E310" s="466"/>
      <c r="F310" s="466"/>
      <c r="G310" s="466"/>
      <c r="H310" s="466"/>
      <c r="I310" s="466"/>
      <c r="J310" s="466"/>
      <c r="K310" s="466"/>
      <c r="L310" s="466"/>
      <c r="M310" s="466"/>
      <c r="N310" s="466"/>
      <c r="O310" s="466"/>
      <c r="P310" s="466"/>
      <c r="Q310" s="466"/>
      <c r="R310" s="466"/>
      <c r="S310" s="466"/>
      <c r="T310" s="466"/>
      <c r="U310" s="466"/>
      <c r="V310" s="466"/>
      <c r="W310" s="466"/>
      <c r="X310" s="466"/>
      <c r="Y310" s="1447"/>
      <c r="Z310" s="1448"/>
      <c r="AA310" s="1448"/>
      <c r="AB310" s="1448"/>
      <c r="AC310" s="1448"/>
      <c r="AD310" s="1448"/>
      <c r="AE310" s="1448"/>
      <c r="AF310" s="466"/>
      <c r="AG310" s="466"/>
      <c r="AH310" s="466"/>
      <c r="AI310" s="467"/>
      <c r="AJ310" s="468"/>
      <c r="AK310" s="468"/>
      <c r="AL310" s="1449"/>
      <c r="AM310" s="1448"/>
      <c r="AN310" s="1450"/>
    </row>
  </sheetData>
  <mergeCells count="766">
    <mergeCell ref="B10:G10"/>
    <mergeCell ref="A11:G11"/>
    <mergeCell ref="A12:G12"/>
    <mergeCell ref="A13:A14"/>
    <mergeCell ref="B13:G13"/>
    <mergeCell ref="H13:H14"/>
    <mergeCell ref="I13:I14"/>
    <mergeCell ref="A59:A60"/>
    <mergeCell ref="B59:G59"/>
    <mergeCell ref="A49:A50"/>
    <mergeCell ref="B49:G49"/>
    <mergeCell ref="H49:H50"/>
    <mergeCell ref="I49:I50"/>
    <mergeCell ref="A53:A54"/>
    <mergeCell ref="B53:G53"/>
    <mergeCell ref="H53:H54"/>
    <mergeCell ref="I53:I54"/>
    <mergeCell ref="H57:H58"/>
    <mergeCell ref="I57:I58"/>
    <mergeCell ref="A57:A58"/>
    <mergeCell ref="B57:G57"/>
    <mergeCell ref="A71:A72"/>
    <mergeCell ref="B71:G71"/>
    <mergeCell ref="A73:A74"/>
    <mergeCell ref="B73:G73"/>
    <mergeCell ref="A67:A68"/>
    <mergeCell ref="B67:G67"/>
    <mergeCell ref="A69:A70"/>
    <mergeCell ref="B69:G69"/>
    <mergeCell ref="A65:A66"/>
    <mergeCell ref="B65:G65"/>
    <mergeCell ref="A119:A120"/>
    <mergeCell ref="B119:G119"/>
    <mergeCell ref="A121:A122"/>
    <mergeCell ref="B121:G121"/>
    <mergeCell ref="B100:G100"/>
    <mergeCell ref="B86:G86"/>
    <mergeCell ref="A87:A88"/>
    <mergeCell ref="B87:G87"/>
    <mergeCell ref="B88:G88"/>
    <mergeCell ref="A89:A90"/>
    <mergeCell ref="A85:A86"/>
    <mergeCell ref="B85:G85"/>
    <mergeCell ref="B89:G89"/>
    <mergeCell ref="A93:A94"/>
    <mergeCell ref="B93:G93"/>
    <mergeCell ref="A97:A98"/>
    <mergeCell ref="B97:G97"/>
    <mergeCell ref="A101:A102"/>
    <mergeCell ref="B101:G101"/>
    <mergeCell ref="B105:G105"/>
    <mergeCell ref="A106:A107"/>
    <mergeCell ref="B106:G106"/>
    <mergeCell ref="A111:A112"/>
    <mergeCell ref="B111:G111"/>
    <mergeCell ref="B203:G203"/>
    <mergeCell ref="B204:G204"/>
    <mergeCell ref="B205:G205"/>
    <mergeCell ref="B206:G206"/>
    <mergeCell ref="B207:G207"/>
    <mergeCell ref="B208:G208"/>
    <mergeCell ref="A209:G209"/>
    <mergeCell ref="A139:A140"/>
    <mergeCell ref="B139:G139"/>
    <mergeCell ref="A141:A142"/>
    <mergeCell ref="B141:G141"/>
    <mergeCell ref="A143:A144"/>
    <mergeCell ref="B143:G143"/>
    <mergeCell ref="B163:G163"/>
    <mergeCell ref="B164:G164"/>
    <mergeCell ref="B165:G165"/>
    <mergeCell ref="A151:A152"/>
    <mergeCell ref="B151:G151"/>
    <mergeCell ref="A153:A154"/>
    <mergeCell ref="B153:G153"/>
    <mergeCell ref="A155:A156"/>
    <mergeCell ref="B155:G155"/>
    <mergeCell ref="A157:A158"/>
    <mergeCell ref="B157:G157"/>
    <mergeCell ref="B210:G210"/>
    <mergeCell ref="B211:G211"/>
    <mergeCell ref="B212:G212"/>
    <mergeCell ref="B213:G213"/>
    <mergeCell ref="B222:G222"/>
    <mergeCell ref="B223:G223"/>
    <mergeCell ref="B224:G224"/>
    <mergeCell ref="B225:G225"/>
    <mergeCell ref="B227:G227"/>
    <mergeCell ref="B214:G214"/>
    <mergeCell ref="A1:AN1"/>
    <mergeCell ref="A2:AD2"/>
    <mergeCell ref="A4:AN4"/>
    <mergeCell ref="A5:AD5"/>
    <mergeCell ref="A7:A9"/>
    <mergeCell ref="B7:G9"/>
    <mergeCell ref="H7:H8"/>
    <mergeCell ref="J7:K8"/>
    <mergeCell ref="T7:U8"/>
    <mergeCell ref="AB7:AC8"/>
    <mergeCell ref="V7:W8"/>
    <mergeCell ref="AL7:AL8"/>
    <mergeCell ref="AM7:AN8"/>
    <mergeCell ref="L7:M8"/>
    <mergeCell ref="N7:O8"/>
    <mergeCell ref="P7:Q8"/>
    <mergeCell ref="R7:S8"/>
    <mergeCell ref="X7:Y8"/>
    <mergeCell ref="Z7:AA8"/>
    <mergeCell ref="AK7:AK8"/>
    <mergeCell ref="AD7:AE8"/>
    <mergeCell ref="AF7:AG8"/>
    <mergeCell ref="AH7:AI8"/>
    <mergeCell ref="AJ7:AJ8"/>
    <mergeCell ref="K13:K14"/>
    <mergeCell ref="AM13:AM14"/>
    <mergeCell ref="AN13:AN14"/>
    <mergeCell ref="AN15:AN16"/>
    <mergeCell ref="AM17:AM18"/>
    <mergeCell ref="AN17:AN18"/>
    <mergeCell ref="A15:A16"/>
    <mergeCell ref="B15:G15"/>
    <mergeCell ref="H15:H16"/>
    <mergeCell ref="I15:I16"/>
    <mergeCell ref="J15:J16"/>
    <mergeCell ref="K15:K16"/>
    <mergeCell ref="J13:J14"/>
    <mergeCell ref="AM15:AM16"/>
    <mergeCell ref="AM19:AM20"/>
    <mergeCell ref="AN19:AN20"/>
    <mergeCell ref="A17:A18"/>
    <mergeCell ref="B17:G17"/>
    <mergeCell ref="H17:H18"/>
    <mergeCell ref="I17:I18"/>
    <mergeCell ref="J17:J18"/>
    <mergeCell ref="B21:G21"/>
    <mergeCell ref="H21:H22"/>
    <mergeCell ref="I21:I22"/>
    <mergeCell ref="J21:J22"/>
    <mergeCell ref="K21:K22"/>
    <mergeCell ref="B19:G19"/>
    <mergeCell ref="H19:H20"/>
    <mergeCell ref="I19:I20"/>
    <mergeCell ref="J19:J20"/>
    <mergeCell ref="K19:K20"/>
    <mergeCell ref="AN21:AN22"/>
    <mergeCell ref="A19:A20"/>
    <mergeCell ref="K17:K18"/>
    <mergeCell ref="AM21:AM22"/>
    <mergeCell ref="AN23:AN24"/>
    <mergeCell ref="A21:A22"/>
    <mergeCell ref="AN27:AN28"/>
    <mergeCell ref="H25:H26"/>
    <mergeCell ref="I25:I26"/>
    <mergeCell ref="J25:J26"/>
    <mergeCell ref="K25:K26"/>
    <mergeCell ref="AM25:AM26"/>
    <mergeCell ref="AN25:AN26"/>
    <mergeCell ref="B25:G25"/>
    <mergeCell ref="B27:G27"/>
    <mergeCell ref="H27:H28"/>
    <mergeCell ref="I27:I28"/>
    <mergeCell ref="J27:J28"/>
    <mergeCell ref="K27:K28"/>
    <mergeCell ref="AM27:AM28"/>
    <mergeCell ref="B23:G23"/>
    <mergeCell ref="H23:H24"/>
    <mergeCell ref="I23:I24"/>
    <mergeCell ref="J23:J24"/>
    <mergeCell ref="K23:K24"/>
    <mergeCell ref="AM23:AM24"/>
    <mergeCell ref="AN29:AN30"/>
    <mergeCell ref="B31:G31"/>
    <mergeCell ref="H31:H32"/>
    <mergeCell ref="I31:I32"/>
    <mergeCell ref="J31:J32"/>
    <mergeCell ref="K31:K32"/>
    <mergeCell ref="AM31:AM32"/>
    <mergeCell ref="AN31:AN32"/>
    <mergeCell ref="B29:G29"/>
    <mergeCell ref="H29:H30"/>
    <mergeCell ref="I29:I30"/>
    <mergeCell ref="J29:J30"/>
    <mergeCell ref="K29:K30"/>
    <mergeCell ref="AM29:AM30"/>
    <mergeCell ref="K33:K34"/>
    <mergeCell ref="AM33:AM34"/>
    <mergeCell ref="AN33:AN34"/>
    <mergeCell ref="A35:A36"/>
    <mergeCell ref="B35:G35"/>
    <mergeCell ref="H35:H36"/>
    <mergeCell ref="I35:I36"/>
    <mergeCell ref="J35:J36"/>
    <mergeCell ref="K35:K36"/>
    <mergeCell ref="AM35:AM36"/>
    <mergeCell ref="AN35:AN36"/>
    <mergeCell ref="A33:A34"/>
    <mergeCell ref="B33:G33"/>
    <mergeCell ref="H33:H34"/>
    <mergeCell ref="I33:I34"/>
    <mergeCell ref="J33:J34"/>
    <mergeCell ref="J37:J38"/>
    <mergeCell ref="K37:K38"/>
    <mergeCell ref="AM37:AM38"/>
    <mergeCell ref="AN37:AN38"/>
    <mergeCell ref="J39:J40"/>
    <mergeCell ref="K39:K40"/>
    <mergeCell ref="AM39:AM40"/>
    <mergeCell ref="AN39:AN40"/>
    <mergeCell ref="A41:A42"/>
    <mergeCell ref="B41:G41"/>
    <mergeCell ref="H41:H42"/>
    <mergeCell ref="I41:I42"/>
    <mergeCell ref="J41:J42"/>
    <mergeCell ref="K41:K42"/>
    <mergeCell ref="AM41:AM42"/>
    <mergeCell ref="AN41:AN42"/>
    <mergeCell ref="A39:A40"/>
    <mergeCell ref="B39:G39"/>
    <mergeCell ref="H39:H40"/>
    <mergeCell ref="I39:I40"/>
    <mergeCell ref="A37:A38"/>
    <mergeCell ref="B37:G37"/>
    <mergeCell ref="H37:H38"/>
    <mergeCell ref="I37:I38"/>
    <mergeCell ref="J43:J44"/>
    <mergeCell ref="K43:K44"/>
    <mergeCell ref="AM43:AM44"/>
    <mergeCell ref="AN43:AN44"/>
    <mergeCell ref="J45:J46"/>
    <mergeCell ref="K45:K46"/>
    <mergeCell ref="AM45:AM46"/>
    <mergeCell ref="AN45:AN46"/>
    <mergeCell ref="A47:A48"/>
    <mergeCell ref="B47:G47"/>
    <mergeCell ref="H47:H48"/>
    <mergeCell ref="I47:I48"/>
    <mergeCell ref="J47:J48"/>
    <mergeCell ref="K47:K48"/>
    <mergeCell ref="AM47:AM48"/>
    <mergeCell ref="AN47:AN48"/>
    <mergeCell ref="A45:A46"/>
    <mergeCell ref="B45:G45"/>
    <mergeCell ref="H45:H46"/>
    <mergeCell ref="I45:I46"/>
    <mergeCell ref="A43:A44"/>
    <mergeCell ref="B43:G43"/>
    <mergeCell ref="H43:H44"/>
    <mergeCell ref="I43:I44"/>
    <mergeCell ref="J49:J50"/>
    <mergeCell ref="K49:K50"/>
    <mergeCell ref="AM49:AM50"/>
    <mergeCell ref="AN49:AN50"/>
    <mergeCell ref="J51:J52"/>
    <mergeCell ref="K51:K52"/>
    <mergeCell ref="AM51:AM52"/>
    <mergeCell ref="AN51:AN52"/>
    <mergeCell ref="A51:A52"/>
    <mergeCell ref="B51:G51"/>
    <mergeCell ref="H51:H52"/>
    <mergeCell ref="I51:I52"/>
    <mergeCell ref="J53:J54"/>
    <mergeCell ref="K53:K54"/>
    <mergeCell ref="AM53:AM54"/>
    <mergeCell ref="AN53:AN54"/>
    <mergeCell ref="A55:A56"/>
    <mergeCell ref="B55:G55"/>
    <mergeCell ref="H55:H56"/>
    <mergeCell ref="I55:I56"/>
    <mergeCell ref="J55:J56"/>
    <mergeCell ref="K55:K56"/>
    <mergeCell ref="AM55:AM56"/>
    <mergeCell ref="AN55:AN56"/>
    <mergeCell ref="J57:J58"/>
    <mergeCell ref="K57:K58"/>
    <mergeCell ref="AM57:AM58"/>
    <mergeCell ref="AN57:AN58"/>
    <mergeCell ref="H59:H60"/>
    <mergeCell ref="I59:I60"/>
    <mergeCell ref="J59:J60"/>
    <mergeCell ref="K59:K60"/>
    <mergeCell ref="AM59:AM60"/>
    <mergeCell ref="AN59:AN60"/>
    <mergeCell ref="H61:H62"/>
    <mergeCell ref="I61:I62"/>
    <mergeCell ref="J61:J62"/>
    <mergeCell ref="K61:K62"/>
    <mergeCell ref="AM61:AM62"/>
    <mergeCell ref="AN61:AN62"/>
    <mergeCell ref="A63:A64"/>
    <mergeCell ref="B63:G63"/>
    <mergeCell ref="H63:H64"/>
    <mergeCell ref="I63:I64"/>
    <mergeCell ref="J63:J64"/>
    <mergeCell ref="K63:K64"/>
    <mergeCell ref="AM63:AM64"/>
    <mergeCell ref="AN63:AN64"/>
    <mergeCell ref="A61:A62"/>
    <mergeCell ref="B61:G61"/>
    <mergeCell ref="H65:H66"/>
    <mergeCell ref="I65:I66"/>
    <mergeCell ref="J65:J66"/>
    <mergeCell ref="K65:K66"/>
    <mergeCell ref="AM65:AM66"/>
    <mergeCell ref="AN65:AN66"/>
    <mergeCell ref="H67:H68"/>
    <mergeCell ref="I67:I68"/>
    <mergeCell ref="J67:J68"/>
    <mergeCell ref="K67:K68"/>
    <mergeCell ref="AM67:AM68"/>
    <mergeCell ref="AN67:AN68"/>
    <mergeCell ref="H69:H70"/>
    <mergeCell ref="I69:I70"/>
    <mergeCell ref="J69:J70"/>
    <mergeCell ref="K69:K70"/>
    <mergeCell ref="AM69:AM70"/>
    <mergeCell ref="AN69:AN70"/>
    <mergeCell ref="H71:H72"/>
    <mergeCell ref="I71:I72"/>
    <mergeCell ref="J71:J72"/>
    <mergeCell ref="K71:K72"/>
    <mergeCell ref="AM71:AM72"/>
    <mergeCell ref="AN71:AN72"/>
    <mergeCell ref="H73:H74"/>
    <mergeCell ref="I73:I74"/>
    <mergeCell ref="J73:J74"/>
    <mergeCell ref="K73:K74"/>
    <mergeCell ref="AM73:AM74"/>
    <mergeCell ref="AN73:AN74"/>
    <mergeCell ref="A75:A76"/>
    <mergeCell ref="B75:G75"/>
    <mergeCell ref="H75:H76"/>
    <mergeCell ref="I75:I76"/>
    <mergeCell ref="J75:J76"/>
    <mergeCell ref="K75:K76"/>
    <mergeCell ref="AM75:AM76"/>
    <mergeCell ref="AN75:AN76"/>
    <mergeCell ref="A77:A78"/>
    <mergeCell ref="B77:G77"/>
    <mergeCell ref="H77:H78"/>
    <mergeCell ref="I77:I78"/>
    <mergeCell ref="J77:J78"/>
    <mergeCell ref="K77:K78"/>
    <mergeCell ref="AM77:AM78"/>
    <mergeCell ref="AN77:AN78"/>
    <mergeCell ref="A79:A80"/>
    <mergeCell ref="B79:G79"/>
    <mergeCell ref="H79:H80"/>
    <mergeCell ref="I79:I80"/>
    <mergeCell ref="J79:J80"/>
    <mergeCell ref="K79:K80"/>
    <mergeCell ref="AM79:AM80"/>
    <mergeCell ref="AN79:AN80"/>
    <mergeCell ref="A81:A82"/>
    <mergeCell ref="B81:G81"/>
    <mergeCell ref="H81:H82"/>
    <mergeCell ref="I81:I82"/>
    <mergeCell ref="J81:J82"/>
    <mergeCell ref="K81:K82"/>
    <mergeCell ref="AM81:AM82"/>
    <mergeCell ref="AN81:AN82"/>
    <mergeCell ref="A83:A84"/>
    <mergeCell ref="B83:G83"/>
    <mergeCell ref="H83:H84"/>
    <mergeCell ref="I83:I84"/>
    <mergeCell ref="J83:J84"/>
    <mergeCell ref="K83:K84"/>
    <mergeCell ref="AM83:AM84"/>
    <mergeCell ref="AN83:AN84"/>
    <mergeCell ref="H85:H86"/>
    <mergeCell ref="I85:I86"/>
    <mergeCell ref="J85:J86"/>
    <mergeCell ref="K85:K86"/>
    <mergeCell ref="AM85:AM86"/>
    <mergeCell ref="AN85:AN86"/>
    <mergeCell ref="H87:H88"/>
    <mergeCell ref="I87:I88"/>
    <mergeCell ref="J87:J88"/>
    <mergeCell ref="K87:K88"/>
    <mergeCell ref="AM87:AM88"/>
    <mergeCell ref="AN87:AN88"/>
    <mergeCell ref="H89:H90"/>
    <mergeCell ref="I89:I90"/>
    <mergeCell ref="J89:J90"/>
    <mergeCell ref="K89:K90"/>
    <mergeCell ref="AM89:AM90"/>
    <mergeCell ref="AN89:AN90"/>
    <mergeCell ref="A91:A92"/>
    <mergeCell ref="B91:G91"/>
    <mergeCell ref="H91:H92"/>
    <mergeCell ref="I91:I92"/>
    <mergeCell ref="J91:J92"/>
    <mergeCell ref="K91:K92"/>
    <mergeCell ref="AM91:AM92"/>
    <mergeCell ref="AN91:AN92"/>
    <mergeCell ref="B92:G92"/>
    <mergeCell ref="H93:H94"/>
    <mergeCell ref="I93:I94"/>
    <mergeCell ref="J93:J94"/>
    <mergeCell ref="K93:K94"/>
    <mergeCell ref="AM93:AM94"/>
    <mergeCell ref="AN93:AN94"/>
    <mergeCell ref="A95:A96"/>
    <mergeCell ref="B95:G95"/>
    <mergeCell ref="H95:H96"/>
    <mergeCell ref="I95:I96"/>
    <mergeCell ref="J95:J96"/>
    <mergeCell ref="K95:K96"/>
    <mergeCell ref="AM95:AM96"/>
    <mergeCell ref="AN95:AN96"/>
    <mergeCell ref="H97:H98"/>
    <mergeCell ref="I97:I98"/>
    <mergeCell ref="J97:J98"/>
    <mergeCell ref="K97:K98"/>
    <mergeCell ref="AM97:AM98"/>
    <mergeCell ref="AN97:AN98"/>
    <mergeCell ref="A99:A100"/>
    <mergeCell ref="B99:G99"/>
    <mergeCell ref="H99:H100"/>
    <mergeCell ref="I99:I100"/>
    <mergeCell ref="J99:J100"/>
    <mergeCell ref="K99:K100"/>
    <mergeCell ref="AM99:AM100"/>
    <mergeCell ref="AN99:AN100"/>
    <mergeCell ref="H101:H102"/>
    <mergeCell ref="I101:I102"/>
    <mergeCell ref="J101:J102"/>
    <mergeCell ref="K101:K102"/>
    <mergeCell ref="AM101:AM102"/>
    <mergeCell ref="AN101:AN102"/>
    <mergeCell ref="B102:G102"/>
    <mergeCell ref="A103:A104"/>
    <mergeCell ref="B103:G103"/>
    <mergeCell ref="H103:H104"/>
    <mergeCell ref="I103:I104"/>
    <mergeCell ref="J103:J104"/>
    <mergeCell ref="K103:K104"/>
    <mergeCell ref="AM103:AM104"/>
    <mergeCell ref="AN103:AN104"/>
    <mergeCell ref="B104:G104"/>
    <mergeCell ref="H106:H107"/>
    <mergeCell ref="I106:I107"/>
    <mergeCell ref="J106:J107"/>
    <mergeCell ref="K106:K107"/>
    <mergeCell ref="AM106:AM107"/>
    <mergeCell ref="AN106:AN107"/>
    <mergeCell ref="B108:G108"/>
    <mergeCell ref="A109:A110"/>
    <mergeCell ref="B109:G109"/>
    <mergeCell ref="H109:H110"/>
    <mergeCell ref="I109:I110"/>
    <mergeCell ref="J109:J110"/>
    <mergeCell ref="K109:K110"/>
    <mergeCell ref="AM109:AM110"/>
    <mergeCell ref="AN109:AN110"/>
    <mergeCell ref="H111:H112"/>
    <mergeCell ref="I111:I112"/>
    <mergeCell ref="J111:J112"/>
    <mergeCell ref="K111:K112"/>
    <mergeCell ref="AM111:AM112"/>
    <mergeCell ref="AN111:AN112"/>
    <mergeCell ref="A113:A114"/>
    <mergeCell ref="B113:G113"/>
    <mergeCell ref="H113:H114"/>
    <mergeCell ref="I113:I114"/>
    <mergeCell ref="J113:J114"/>
    <mergeCell ref="K113:K114"/>
    <mergeCell ref="AM113:AM114"/>
    <mergeCell ref="AN113:AN114"/>
    <mergeCell ref="A115:A116"/>
    <mergeCell ref="B115:G115"/>
    <mergeCell ref="H115:H116"/>
    <mergeCell ref="I115:I116"/>
    <mergeCell ref="J115:J116"/>
    <mergeCell ref="K115:K116"/>
    <mergeCell ref="AM115:AM116"/>
    <mergeCell ref="AN115:AN116"/>
    <mergeCell ref="A117:A118"/>
    <mergeCell ref="B117:G117"/>
    <mergeCell ref="H117:H118"/>
    <mergeCell ref="I117:I118"/>
    <mergeCell ref="J117:J118"/>
    <mergeCell ref="K117:K118"/>
    <mergeCell ref="AM117:AM118"/>
    <mergeCell ref="AN117:AN118"/>
    <mergeCell ref="H119:H120"/>
    <mergeCell ref="I119:I120"/>
    <mergeCell ref="J119:J120"/>
    <mergeCell ref="K119:K120"/>
    <mergeCell ref="AM119:AM120"/>
    <mergeCell ref="AN119:AN120"/>
    <mergeCell ref="H121:H122"/>
    <mergeCell ref="I121:I122"/>
    <mergeCell ref="J121:J122"/>
    <mergeCell ref="K121:K122"/>
    <mergeCell ref="AM121:AM122"/>
    <mergeCell ref="AN121:AN122"/>
    <mergeCell ref="A123:A124"/>
    <mergeCell ref="B123:G123"/>
    <mergeCell ref="H123:H124"/>
    <mergeCell ref="I123:I124"/>
    <mergeCell ref="J123:J124"/>
    <mergeCell ref="K123:K124"/>
    <mergeCell ref="AM123:AM124"/>
    <mergeCell ref="AN123:AN124"/>
    <mergeCell ref="A125:A126"/>
    <mergeCell ref="B125:G125"/>
    <mergeCell ref="H125:H126"/>
    <mergeCell ref="I125:I126"/>
    <mergeCell ref="J125:J126"/>
    <mergeCell ref="K125:K126"/>
    <mergeCell ref="AM125:AM126"/>
    <mergeCell ref="AN125:AN126"/>
    <mergeCell ref="A127:A128"/>
    <mergeCell ref="B127:G127"/>
    <mergeCell ref="H127:H128"/>
    <mergeCell ref="I127:I128"/>
    <mergeCell ref="J127:J128"/>
    <mergeCell ref="K127:K128"/>
    <mergeCell ref="AM127:AM128"/>
    <mergeCell ref="AN127:AN128"/>
    <mergeCell ref="A129:A130"/>
    <mergeCell ref="B129:G129"/>
    <mergeCell ref="H129:H130"/>
    <mergeCell ref="I129:I130"/>
    <mergeCell ref="J129:J130"/>
    <mergeCell ref="K129:K130"/>
    <mergeCell ref="AM129:AM130"/>
    <mergeCell ref="AN129:AN130"/>
    <mergeCell ref="A131:A132"/>
    <mergeCell ref="B131:G131"/>
    <mergeCell ref="H131:H132"/>
    <mergeCell ref="I131:I132"/>
    <mergeCell ref="J131:J132"/>
    <mergeCell ref="K131:K132"/>
    <mergeCell ref="AM131:AM132"/>
    <mergeCell ref="AN131:AN132"/>
    <mergeCell ref="A133:A134"/>
    <mergeCell ref="B133:G133"/>
    <mergeCell ref="H133:H134"/>
    <mergeCell ref="I133:I134"/>
    <mergeCell ref="J133:J134"/>
    <mergeCell ref="K133:K134"/>
    <mergeCell ref="AM133:AM134"/>
    <mergeCell ref="AN133:AN134"/>
    <mergeCell ref="A135:A136"/>
    <mergeCell ref="B135:G135"/>
    <mergeCell ref="H135:H136"/>
    <mergeCell ref="I135:I136"/>
    <mergeCell ref="J135:J136"/>
    <mergeCell ref="K135:K136"/>
    <mergeCell ref="AM135:AM136"/>
    <mergeCell ref="AN135:AN136"/>
    <mergeCell ref="A137:A138"/>
    <mergeCell ref="B137:G137"/>
    <mergeCell ref="H137:H138"/>
    <mergeCell ref="I137:I138"/>
    <mergeCell ref="J137:J138"/>
    <mergeCell ref="K137:K138"/>
    <mergeCell ref="AM137:AM138"/>
    <mergeCell ref="AN137:AN138"/>
    <mergeCell ref="H139:H140"/>
    <mergeCell ref="I139:I140"/>
    <mergeCell ref="J139:J140"/>
    <mergeCell ref="K139:K140"/>
    <mergeCell ref="AM139:AM140"/>
    <mergeCell ref="AN139:AN140"/>
    <mergeCell ref="H141:H142"/>
    <mergeCell ref="I141:I142"/>
    <mergeCell ref="J141:J142"/>
    <mergeCell ref="K141:K142"/>
    <mergeCell ref="AM141:AM142"/>
    <mergeCell ref="AN141:AN142"/>
    <mergeCell ref="H143:H144"/>
    <mergeCell ref="I143:I144"/>
    <mergeCell ref="J143:J144"/>
    <mergeCell ref="K143:K144"/>
    <mergeCell ref="AM143:AM144"/>
    <mergeCell ref="AN143:AN144"/>
    <mergeCell ref="A145:A146"/>
    <mergeCell ref="B145:G145"/>
    <mergeCell ref="H145:H146"/>
    <mergeCell ref="I145:I146"/>
    <mergeCell ref="J145:J146"/>
    <mergeCell ref="K145:K146"/>
    <mergeCell ref="AM145:AM146"/>
    <mergeCell ref="AN145:AN146"/>
    <mergeCell ref="H147:H148"/>
    <mergeCell ref="I147:I148"/>
    <mergeCell ref="J147:J148"/>
    <mergeCell ref="K147:K148"/>
    <mergeCell ref="AM147:AM148"/>
    <mergeCell ref="AN147:AN148"/>
    <mergeCell ref="A149:A150"/>
    <mergeCell ref="B149:G149"/>
    <mergeCell ref="H149:H150"/>
    <mergeCell ref="I149:I150"/>
    <mergeCell ref="J149:J150"/>
    <mergeCell ref="K149:K150"/>
    <mergeCell ref="AM149:AM150"/>
    <mergeCell ref="AN149:AN150"/>
    <mergeCell ref="A147:A148"/>
    <mergeCell ref="B147:G147"/>
    <mergeCell ref="H151:H152"/>
    <mergeCell ref="I151:I152"/>
    <mergeCell ref="J151:J152"/>
    <mergeCell ref="K151:K152"/>
    <mergeCell ref="AM151:AM152"/>
    <mergeCell ref="AN151:AN152"/>
    <mergeCell ref="H153:H154"/>
    <mergeCell ref="I153:I154"/>
    <mergeCell ref="J153:J154"/>
    <mergeCell ref="K153:K154"/>
    <mergeCell ref="AM153:AM154"/>
    <mergeCell ref="AN153:AN154"/>
    <mergeCell ref="H155:H156"/>
    <mergeCell ref="I155:I156"/>
    <mergeCell ref="J155:J156"/>
    <mergeCell ref="K155:K156"/>
    <mergeCell ref="AM155:AM156"/>
    <mergeCell ref="AN155:AN156"/>
    <mergeCell ref="H157:H158"/>
    <mergeCell ref="I157:I158"/>
    <mergeCell ref="J157:J158"/>
    <mergeCell ref="K157:K158"/>
    <mergeCell ref="AM157:AM158"/>
    <mergeCell ref="AN157:AN158"/>
    <mergeCell ref="H159:H160"/>
    <mergeCell ref="I159:I160"/>
    <mergeCell ref="J159:J160"/>
    <mergeCell ref="K159:K160"/>
    <mergeCell ref="A161:G161"/>
    <mergeCell ref="B162:G162"/>
    <mergeCell ref="B166:G166"/>
    <mergeCell ref="B172:G172"/>
    <mergeCell ref="B168:G168"/>
    <mergeCell ref="B169:G169"/>
    <mergeCell ref="B170:G170"/>
    <mergeCell ref="A171:G171"/>
    <mergeCell ref="B167:G167"/>
    <mergeCell ref="A159:A160"/>
    <mergeCell ref="B159:G159"/>
    <mergeCell ref="B173:G173"/>
    <mergeCell ref="B174:G174"/>
    <mergeCell ref="B175:G175"/>
    <mergeCell ref="B176:G176"/>
    <mergeCell ref="B177:G177"/>
    <mergeCell ref="B184:G184"/>
    <mergeCell ref="B178:G178"/>
    <mergeCell ref="B179:G179"/>
    <mergeCell ref="K187:K188"/>
    <mergeCell ref="B188:G188"/>
    <mergeCell ref="B180:G180"/>
    <mergeCell ref="B181:G181"/>
    <mergeCell ref="B182:G182"/>
    <mergeCell ref="B183:G183"/>
    <mergeCell ref="B185:G185"/>
    <mergeCell ref="B186:G186"/>
    <mergeCell ref="K189:K190"/>
    <mergeCell ref="B190:G190"/>
    <mergeCell ref="B191:G191"/>
    <mergeCell ref="B192:G192"/>
    <mergeCell ref="B187:G187"/>
    <mergeCell ref="B193:G193"/>
    <mergeCell ref="B194:G194"/>
    <mergeCell ref="B189:G189"/>
    <mergeCell ref="B202:G202"/>
    <mergeCell ref="B198:G198"/>
    <mergeCell ref="B199:G199"/>
    <mergeCell ref="B200:G200"/>
    <mergeCell ref="B201:G201"/>
    <mergeCell ref="B195:G195"/>
    <mergeCell ref="B196:G196"/>
    <mergeCell ref="B197:G197"/>
    <mergeCell ref="K214:K235"/>
    <mergeCell ref="U214:U235"/>
    <mergeCell ref="W214:W235"/>
    <mergeCell ref="B215:G215"/>
    <mergeCell ref="B216:G216"/>
    <mergeCell ref="B217:G217"/>
    <mergeCell ref="B218:G218"/>
    <mergeCell ref="B219:G219"/>
    <mergeCell ref="B220:G220"/>
    <mergeCell ref="B226:G226"/>
    <mergeCell ref="B231:G231"/>
    <mergeCell ref="B221:G221"/>
    <mergeCell ref="B228:G228"/>
    <mergeCell ref="B229:G229"/>
    <mergeCell ref="B230:G230"/>
    <mergeCell ref="B237:G237"/>
    <mergeCell ref="B238:G238"/>
    <mergeCell ref="B234:G234"/>
    <mergeCell ref="B235:G235"/>
    <mergeCell ref="A236:G236"/>
    <mergeCell ref="B232:G232"/>
    <mergeCell ref="B233:G233"/>
    <mergeCell ref="B239:G239"/>
    <mergeCell ref="B240:G240"/>
    <mergeCell ref="A241:G241"/>
    <mergeCell ref="B242:G242"/>
    <mergeCell ref="B243:G243"/>
    <mergeCell ref="B244:G244"/>
    <mergeCell ref="B245:G245"/>
    <mergeCell ref="B246:G246"/>
    <mergeCell ref="B247:G247"/>
    <mergeCell ref="B248:G248"/>
    <mergeCell ref="B249:G249"/>
    <mergeCell ref="B250:G250"/>
    <mergeCell ref="B251:G251"/>
    <mergeCell ref="B252:G252"/>
    <mergeCell ref="B253:G253"/>
    <mergeCell ref="B254:G254"/>
    <mergeCell ref="B255:G255"/>
    <mergeCell ref="B256:G256"/>
    <mergeCell ref="A257:G257"/>
    <mergeCell ref="B258:G258"/>
    <mergeCell ref="B259:G259"/>
    <mergeCell ref="B260:G260"/>
    <mergeCell ref="A261:G261"/>
    <mergeCell ref="B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B275:G275"/>
    <mergeCell ref="B276:G276"/>
    <mergeCell ref="B277:G277"/>
    <mergeCell ref="B278:G278"/>
    <mergeCell ref="B279:G279"/>
    <mergeCell ref="B280:G280"/>
    <mergeCell ref="B281:G281"/>
    <mergeCell ref="B282:G282"/>
    <mergeCell ref="B283:G283"/>
    <mergeCell ref="H283:H284"/>
    <mergeCell ref="B284:G284"/>
    <mergeCell ref="B285:G285"/>
    <mergeCell ref="A286:G286"/>
    <mergeCell ref="B287:G287"/>
    <mergeCell ref="B288:G288"/>
    <mergeCell ref="B289:G289"/>
    <mergeCell ref="B290:G290"/>
    <mergeCell ref="B291:G291"/>
    <mergeCell ref="Y304:AE304"/>
    <mergeCell ref="B292:G292"/>
    <mergeCell ref="B293:G293"/>
    <mergeCell ref="B294:G294"/>
    <mergeCell ref="B295:G295"/>
    <mergeCell ref="B296:G296"/>
    <mergeCell ref="B297:G297"/>
    <mergeCell ref="Y307:AE307"/>
    <mergeCell ref="Y310:AE310"/>
    <mergeCell ref="AL304:AN304"/>
    <mergeCell ref="AL307:AN307"/>
    <mergeCell ref="AL310:AN310"/>
    <mergeCell ref="B298:G298"/>
    <mergeCell ref="B299:G299"/>
    <mergeCell ref="B300:G300"/>
    <mergeCell ref="B301:G301"/>
    <mergeCell ref="A302:G302"/>
  </mergeCells>
  <pageMargins left="0.70866141732283472" right="0.70866141732283472" top="0.74803149606299213" bottom="0.74803149606299213" header="0.31496062992125984" footer="0.31496062992125984"/>
  <pageSetup paperSize="9" scale="80" orientation="portrait" r:id="rId1"/>
  <legacyDrawing r:id="rId2"/>
</worksheet>
</file>

<file path=xl/worksheets/sheet13.xml><?xml version="1.0" encoding="utf-8"?>
<worksheet xmlns="http://schemas.openxmlformats.org/spreadsheetml/2006/main" xmlns:r="http://schemas.openxmlformats.org/officeDocument/2006/relationships">
  <dimension ref="A1:O42"/>
  <sheetViews>
    <sheetView view="pageBreakPreview" zoomScale="95" zoomScaleSheetLayoutView="95" workbookViewId="0">
      <selection activeCell="J7" sqref="J7"/>
    </sheetView>
  </sheetViews>
  <sheetFormatPr defaultRowHeight="15"/>
  <cols>
    <col min="1" max="1" width="7.85546875" customWidth="1"/>
    <col min="2" max="2" width="45.140625" bestFit="1" customWidth="1"/>
    <col min="3" max="3" width="11.42578125" customWidth="1"/>
    <col min="4" max="4" width="11.7109375" customWidth="1"/>
    <col min="5" max="10" width="11.28515625" bestFit="1" customWidth="1"/>
    <col min="11" max="11" width="10.5703125" customWidth="1"/>
    <col min="12" max="12" width="14" customWidth="1"/>
    <col min="13" max="13" width="10.5703125" bestFit="1" customWidth="1"/>
  </cols>
  <sheetData>
    <row r="1" spans="1:15" ht="15.75" customHeight="1">
      <c r="A1" s="981" t="s">
        <v>1399</v>
      </c>
      <c r="B1" s="981"/>
      <c r="C1" s="981"/>
      <c r="D1" s="981"/>
      <c r="E1" s="981"/>
      <c r="F1" s="981"/>
      <c r="G1" s="981"/>
      <c r="H1" s="981"/>
      <c r="I1" s="981"/>
      <c r="J1" s="981"/>
      <c r="K1" s="551"/>
    </row>
    <row r="2" spans="1:15" ht="16.5" customHeight="1" thickBot="1">
      <c r="A2" s="1597" t="s">
        <v>845</v>
      </c>
      <c r="B2" s="1597"/>
      <c r="C2" s="1597"/>
      <c r="D2" s="1597"/>
      <c r="E2" s="1597"/>
      <c r="F2" s="1597"/>
      <c r="G2" s="1597"/>
      <c r="H2" s="1597"/>
      <c r="I2" s="1597"/>
      <c r="J2" s="1597"/>
      <c r="K2" s="552"/>
    </row>
    <row r="3" spans="1:15" s="685" customFormat="1" ht="15" customHeight="1">
      <c r="A3" s="983" t="s">
        <v>7</v>
      </c>
      <c r="B3" s="983" t="s">
        <v>1964</v>
      </c>
      <c r="C3" s="983" t="s">
        <v>846</v>
      </c>
      <c r="D3" s="986">
        <v>2015</v>
      </c>
      <c r="E3" s="987"/>
      <c r="F3" s="986">
        <v>2016</v>
      </c>
      <c r="G3" s="987"/>
      <c r="H3" s="613" t="s">
        <v>1965</v>
      </c>
      <c r="I3" s="613" t="s">
        <v>1966</v>
      </c>
      <c r="J3" s="613" t="s">
        <v>1967</v>
      </c>
      <c r="L3" s="686"/>
      <c r="N3" s="687"/>
      <c r="O3" s="686"/>
    </row>
    <row r="4" spans="1:15" s="685" customFormat="1" ht="36" customHeight="1" thickBot="1">
      <c r="A4" s="984"/>
      <c r="B4" s="985"/>
      <c r="C4" s="984"/>
      <c r="D4" s="614" t="s">
        <v>1968</v>
      </c>
      <c r="E4" s="615" t="s">
        <v>1969</v>
      </c>
      <c r="F4" s="614" t="s">
        <v>1968</v>
      </c>
      <c r="G4" s="616" t="s">
        <v>1970</v>
      </c>
      <c r="H4" s="617" t="s">
        <v>1968</v>
      </c>
      <c r="I4" s="617" t="s">
        <v>1968</v>
      </c>
      <c r="J4" s="617" t="s">
        <v>1968</v>
      </c>
    </row>
    <row r="5" spans="1:15" s="685" customFormat="1" ht="15.75">
      <c r="A5" s="688">
        <v>1</v>
      </c>
      <c r="B5" s="689">
        <v>2</v>
      </c>
      <c r="C5" s="688">
        <v>3</v>
      </c>
      <c r="D5" s="690">
        <v>4</v>
      </c>
      <c r="E5" s="691">
        <v>5</v>
      </c>
      <c r="F5" s="690">
        <v>6</v>
      </c>
      <c r="G5" s="692">
        <v>7</v>
      </c>
      <c r="H5" s="693">
        <v>8</v>
      </c>
      <c r="I5" s="693">
        <v>9</v>
      </c>
      <c r="J5" s="693">
        <v>10</v>
      </c>
    </row>
    <row r="6" spans="1:15" s="685" customFormat="1" ht="15.75">
      <c r="A6" s="624">
        <v>1</v>
      </c>
      <c r="B6" s="625" t="s">
        <v>2060</v>
      </c>
      <c r="C6" s="626"/>
      <c r="D6" s="627"/>
      <c r="E6" s="628"/>
      <c r="F6" s="629"/>
      <c r="G6" s="630"/>
      <c r="H6" s="730"/>
      <c r="I6" s="730"/>
      <c r="J6" s="730"/>
    </row>
    <row r="7" spans="1:15" s="685" customFormat="1" ht="15.75">
      <c r="A7" s="632" t="s">
        <v>634</v>
      </c>
      <c r="B7" s="633" t="s">
        <v>847</v>
      </c>
      <c r="C7" s="683" t="s">
        <v>2061</v>
      </c>
      <c r="D7" s="731">
        <v>50868.4</v>
      </c>
      <c r="E7" s="732">
        <v>53894.06</v>
      </c>
      <c r="F7" s="733">
        <f>F26</f>
        <v>50989.30999999999</v>
      </c>
      <c r="G7" s="734">
        <f>G26</f>
        <v>50989.30999999999</v>
      </c>
      <c r="H7" s="735">
        <f>H26</f>
        <v>52080.99911079849</v>
      </c>
      <c r="I7" s="735">
        <f>I26</f>
        <v>52080.99911079849</v>
      </c>
      <c r="J7" s="735">
        <f>J26</f>
        <v>52080.99911079849</v>
      </c>
    </row>
    <row r="8" spans="1:15" s="685" customFormat="1" ht="15.75">
      <c r="A8" s="632" t="s">
        <v>137</v>
      </c>
      <c r="B8" s="633" t="s">
        <v>2062</v>
      </c>
      <c r="C8" s="683" t="s">
        <v>2061</v>
      </c>
      <c r="D8" s="736"/>
      <c r="E8" s="737"/>
      <c r="F8" s="738"/>
      <c r="G8" s="739"/>
      <c r="H8" s="740"/>
      <c r="I8" s="740"/>
      <c r="J8" s="740"/>
    </row>
    <row r="9" spans="1:15" s="685" customFormat="1" ht="15.75">
      <c r="A9" s="632" t="s">
        <v>138</v>
      </c>
      <c r="B9" s="633" t="s">
        <v>2063</v>
      </c>
      <c r="C9" s="683" t="s">
        <v>2061</v>
      </c>
      <c r="D9" s="736"/>
      <c r="E9" s="737"/>
      <c r="F9" s="738"/>
      <c r="G9" s="739"/>
      <c r="H9" s="740"/>
      <c r="I9" s="740"/>
      <c r="J9" s="740"/>
    </row>
    <row r="10" spans="1:15" s="685" customFormat="1" ht="15.75">
      <c r="A10" s="632" t="s">
        <v>636</v>
      </c>
      <c r="B10" s="633" t="s">
        <v>2064</v>
      </c>
      <c r="C10" s="683" t="s">
        <v>2061</v>
      </c>
      <c r="D10" s="741"/>
      <c r="E10" s="742"/>
      <c r="F10" s="741"/>
      <c r="G10" s="743"/>
      <c r="H10" s="744"/>
      <c r="I10" s="744"/>
      <c r="J10" s="744"/>
    </row>
    <row r="11" spans="1:15" s="685" customFormat="1" ht="15.75">
      <c r="A11" s="632" t="s">
        <v>176</v>
      </c>
      <c r="B11" s="633" t="s">
        <v>2065</v>
      </c>
      <c r="C11" s="683" t="s">
        <v>2061</v>
      </c>
      <c r="D11" s="741"/>
      <c r="E11" s="737"/>
      <c r="F11" s="745"/>
      <c r="G11" s="743"/>
      <c r="H11" s="744"/>
      <c r="I11" s="744"/>
      <c r="J11" s="744"/>
    </row>
    <row r="12" spans="1:15" s="685" customFormat="1" ht="15.75">
      <c r="A12" s="632" t="s">
        <v>177</v>
      </c>
      <c r="B12" s="633" t="s">
        <v>2066</v>
      </c>
      <c r="C12" s="683" t="s">
        <v>2061</v>
      </c>
      <c r="D12" s="736"/>
      <c r="E12" s="742"/>
      <c r="F12" s="738"/>
      <c r="G12" s="743"/>
      <c r="H12" s="744"/>
      <c r="I12" s="744"/>
      <c r="J12" s="744"/>
    </row>
    <row r="13" spans="1:15" s="685" customFormat="1" ht="31.5">
      <c r="A13" s="632" t="s">
        <v>2067</v>
      </c>
      <c r="B13" s="633" t="s">
        <v>2068</v>
      </c>
      <c r="C13" s="683" t="s">
        <v>2061</v>
      </c>
      <c r="D13" s="736"/>
      <c r="E13" s="742"/>
      <c r="F13" s="738"/>
      <c r="G13" s="743"/>
      <c r="H13" s="744"/>
      <c r="I13" s="744"/>
      <c r="J13" s="744"/>
    </row>
    <row r="14" spans="1:15" s="685" customFormat="1" ht="15.75">
      <c r="A14" s="646" t="s">
        <v>2069</v>
      </c>
      <c r="B14" s="647" t="s">
        <v>2070</v>
      </c>
      <c r="C14" s="683" t="s">
        <v>2061</v>
      </c>
      <c r="D14" s="741"/>
      <c r="E14" s="742"/>
      <c r="F14" s="741"/>
      <c r="G14" s="743"/>
      <c r="H14" s="744"/>
      <c r="I14" s="744"/>
      <c r="J14" s="744"/>
    </row>
    <row r="15" spans="1:15" s="685" customFormat="1" ht="15.75">
      <c r="A15" s="632" t="s">
        <v>178</v>
      </c>
      <c r="B15" s="633" t="s">
        <v>2071</v>
      </c>
      <c r="C15" s="683" t="s">
        <v>2061</v>
      </c>
      <c r="D15" s="741"/>
      <c r="E15" s="742"/>
      <c r="F15" s="741"/>
      <c r="G15" s="743"/>
      <c r="H15" s="744"/>
      <c r="I15" s="744"/>
      <c r="J15" s="744"/>
    </row>
    <row r="16" spans="1:15" s="685" customFormat="1" ht="31.5">
      <c r="A16" s="632" t="s">
        <v>179</v>
      </c>
      <c r="B16" s="633" t="s">
        <v>2072</v>
      </c>
      <c r="C16" s="683" t="s">
        <v>2061</v>
      </c>
      <c r="D16" s="741"/>
      <c r="E16" s="742"/>
      <c r="F16" s="741"/>
      <c r="G16" s="743"/>
      <c r="H16" s="744"/>
      <c r="I16" s="744"/>
      <c r="J16" s="744"/>
    </row>
    <row r="17" spans="1:11" s="685" customFormat="1" ht="15.75">
      <c r="A17" s="632" t="s">
        <v>180</v>
      </c>
      <c r="B17" s="633" t="s">
        <v>2073</v>
      </c>
      <c r="C17" s="683" t="s">
        <v>2061</v>
      </c>
      <c r="D17" s="741"/>
      <c r="E17" s="742"/>
      <c r="F17" s="741"/>
      <c r="G17" s="743"/>
      <c r="H17" s="744"/>
      <c r="I17" s="744"/>
      <c r="J17" s="744"/>
    </row>
    <row r="18" spans="1:11" s="685" customFormat="1" ht="15.75">
      <c r="A18" s="646" t="s">
        <v>2074</v>
      </c>
      <c r="B18" s="647" t="s">
        <v>2075</v>
      </c>
      <c r="C18" s="683" t="s">
        <v>2061</v>
      </c>
      <c r="D18" s="736"/>
      <c r="E18" s="732"/>
      <c r="F18" s="736"/>
      <c r="G18" s="739"/>
      <c r="H18" s="740"/>
      <c r="I18" s="740"/>
      <c r="J18" s="735"/>
    </row>
    <row r="19" spans="1:11" s="685" customFormat="1" ht="15.75">
      <c r="A19" s="632" t="s">
        <v>2076</v>
      </c>
      <c r="B19" s="633" t="s">
        <v>2077</v>
      </c>
      <c r="C19" s="683" t="s">
        <v>2061</v>
      </c>
      <c r="D19" s="736"/>
      <c r="E19" s="732"/>
      <c r="F19" s="738"/>
      <c r="G19" s="739"/>
      <c r="H19" s="740"/>
      <c r="I19" s="740"/>
      <c r="J19" s="735"/>
    </row>
    <row r="20" spans="1:11" s="685" customFormat="1" ht="15.75">
      <c r="A20" s="632" t="s">
        <v>2078</v>
      </c>
      <c r="B20" s="633" t="s">
        <v>2079</v>
      </c>
      <c r="C20" s="683" t="s">
        <v>2061</v>
      </c>
      <c r="D20" s="736"/>
      <c r="E20" s="732"/>
      <c r="F20" s="746"/>
      <c r="G20" s="747"/>
      <c r="H20" s="748"/>
      <c r="I20" s="748"/>
      <c r="J20" s="735"/>
    </row>
    <row r="21" spans="1:11" s="685" customFormat="1" ht="15.75">
      <c r="A21" s="632" t="s">
        <v>638</v>
      </c>
      <c r="B21" s="633" t="s">
        <v>2015</v>
      </c>
      <c r="C21" s="683" t="s">
        <v>2061</v>
      </c>
      <c r="D21" s="741"/>
      <c r="E21" s="742"/>
      <c r="F21" s="741"/>
      <c r="G21" s="743"/>
      <c r="H21" s="744"/>
      <c r="I21" s="744"/>
      <c r="J21" s="744"/>
    </row>
    <row r="22" spans="1:11" s="685" customFormat="1" ht="31.5">
      <c r="A22" s="632" t="s">
        <v>185</v>
      </c>
      <c r="B22" s="633" t="s">
        <v>2080</v>
      </c>
      <c r="C22" s="683" t="s">
        <v>2061</v>
      </c>
      <c r="D22" s="741"/>
      <c r="E22" s="742"/>
      <c r="F22" s="741"/>
      <c r="G22" s="743"/>
      <c r="H22" s="744"/>
      <c r="I22" s="744"/>
      <c r="J22" s="744"/>
    </row>
    <row r="23" spans="1:11" s="685" customFormat="1" ht="15.75">
      <c r="A23" s="632" t="s">
        <v>2081</v>
      </c>
      <c r="B23" s="633" t="s">
        <v>2019</v>
      </c>
      <c r="C23" s="683" t="s">
        <v>2061</v>
      </c>
      <c r="D23" s="736"/>
      <c r="E23" s="737"/>
      <c r="F23" s="738"/>
      <c r="G23" s="739"/>
      <c r="H23" s="740"/>
      <c r="I23" s="740"/>
      <c r="J23" s="735"/>
    </row>
    <row r="24" spans="1:11" s="685" customFormat="1" ht="15.75">
      <c r="A24" s="632" t="s">
        <v>2082</v>
      </c>
      <c r="B24" s="633" t="s">
        <v>2021</v>
      </c>
      <c r="C24" s="683" t="s">
        <v>2061</v>
      </c>
      <c r="D24" s="736"/>
      <c r="E24" s="737"/>
      <c r="F24" s="738"/>
      <c r="G24" s="739"/>
      <c r="H24" s="740"/>
      <c r="I24" s="740"/>
      <c r="J24" s="735"/>
      <c r="K24" s="694"/>
    </row>
    <row r="25" spans="1:11" s="685" customFormat="1" ht="15.75">
      <c r="A25" s="632" t="s">
        <v>2083</v>
      </c>
      <c r="B25" s="633" t="s">
        <v>2023</v>
      </c>
      <c r="C25" s="683" t="s">
        <v>2061</v>
      </c>
      <c r="D25" s="736"/>
      <c r="E25" s="737"/>
      <c r="F25" s="736"/>
      <c r="G25" s="739"/>
      <c r="H25" s="740"/>
      <c r="I25" s="740"/>
      <c r="J25" s="735"/>
    </row>
    <row r="26" spans="1:11" s="685" customFormat="1" ht="15.75">
      <c r="A26" s="632" t="s">
        <v>186</v>
      </c>
      <c r="B26" s="633" t="s">
        <v>2084</v>
      </c>
      <c r="C26" s="683" t="s">
        <v>2061</v>
      </c>
      <c r="D26" s="731">
        <f>SUM(D27:D29)</f>
        <v>50868.4</v>
      </c>
      <c r="E26" s="731">
        <f>SUM(E27:E29)</f>
        <v>53894.06</v>
      </c>
      <c r="F26" s="733">
        <f>SUM(F27:F29)</f>
        <v>50989.30999999999</v>
      </c>
      <c r="G26" s="749">
        <f>SUM(G27:G29)</f>
        <v>50989.30999999999</v>
      </c>
      <c r="H26" s="735">
        <v>52080.99911079849</v>
      </c>
      <c r="I26" s="735">
        <v>52080.99911079849</v>
      </c>
      <c r="J26" s="735">
        <v>52080.99911079849</v>
      </c>
    </row>
    <row r="27" spans="1:11" s="685" customFormat="1" ht="15.75">
      <c r="A27" s="632" t="s">
        <v>2085</v>
      </c>
      <c r="B27" s="633" t="s">
        <v>2027</v>
      </c>
      <c r="C27" s="683"/>
      <c r="D27" s="731">
        <v>8797.2000000000007</v>
      </c>
      <c r="E27" s="732">
        <v>8912.06</v>
      </c>
      <c r="F27" s="733">
        <v>7233.92</v>
      </c>
      <c r="G27" s="749">
        <v>7233.92</v>
      </c>
      <c r="H27" s="735">
        <v>8853.7698488357437</v>
      </c>
      <c r="I27" s="735">
        <v>8853.7698488357437</v>
      </c>
      <c r="J27" s="735">
        <v>8853.7698488357437</v>
      </c>
    </row>
    <row r="28" spans="1:11" s="685" customFormat="1" ht="15.75">
      <c r="A28" s="632" t="s">
        <v>2086</v>
      </c>
      <c r="B28" s="633" t="s">
        <v>2029</v>
      </c>
      <c r="C28" s="683"/>
      <c r="D28" s="731">
        <v>5524.4</v>
      </c>
      <c r="E28" s="732">
        <v>5283.4</v>
      </c>
      <c r="F28" s="733">
        <v>5326.09</v>
      </c>
      <c r="G28" s="750">
        <v>5326.09</v>
      </c>
      <c r="H28" s="735">
        <v>4687.289919971864</v>
      </c>
      <c r="I28" s="735">
        <v>4687.289919971864</v>
      </c>
      <c r="J28" s="735">
        <v>4687.289919971864</v>
      </c>
    </row>
    <row r="29" spans="1:11" s="685" customFormat="1" ht="15.75">
      <c r="A29" s="632" t="s">
        <v>2087</v>
      </c>
      <c r="B29" s="633" t="s">
        <v>2031</v>
      </c>
      <c r="C29" s="683"/>
      <c r="D29" s="731">
        <v>36546.800000000003</v>
      </c>
      <c r="E29" s="732">
        <v>39698.6</v>
      </c>
      <c r="F29" s="751">
        <v>38429.299999999988</v>
      </c>
      <c r="G29" s="752">
        <v>38429.299999999988</v>
      </c>
      <c r="H29" s="735">
        <v>38539.939341990881</v>
      </c>
      <c r="I29" s="735">
        <v>38539.939341990881</v>
      </c>
      <c r="J29" s="735">
        <v>38539.939341990881</v>
      </c>
    </row>
    <row r="30" spans="1:11" s="685" customFormat="1" ht="15.75">
      <c r="A30" s="646" t="s">
        <v>640</v>
      </c>
      <c r="B30" s="647" t="s">
        <v>2088</v>
      </c>
      <c r="C30" s="683" t="s">
        <v>2061</v>
      </c>
      <c r="D30" s="736"/>
      <c r="E30" s="737"/>
      <c r="F30" s="736"/>
      <c r="G30" s="739"/>
      <c r="H30" s="740"/>
      <c r="I30" s="740"/>
      <c r="J30" s="740"/>
    </row>
    <row r="31" spans="1:11" s="685" customFormat="1" ht="15.75">
      <c r="A31" s="632" t="s">
        <v>198</v>
      </c>
      <c r="B31" s="633" t="s">
        <v>2089</v>
      </c>
      <c r="C31" s="683" t="s">
        <v>2061</v>
      </c>
      <c r="D31" s="736"/>
      <c r="E31" s="737"/>
      <c r="F31" s="738"/>
      <c r="G31" s="739"/>
      <c r="H31" s="740"/>
      <c r="I31" s="740"/>
      <c r="J31" s="740"/>
    </row>
    <row r="32" spans="1:11" s="685" customFormat="1" ht="15.75">
      <c r="A32" s="632" t="s">
        <v>199</v>
      </c>
      <c r="B32" s="633" t="s">
        <v>2090</v>
      </c>
      <c r="C32" s="683" t="s">
        <v>2061</v>
      </c>
      <c r="D32" s="741">
        <v>24779</v>
      </c>
      <c r="E32" s="742">
        <v>28168</v>
      </c>
      <c r="F32" s="741">
        <v>27613</v>
      </c>
      <c r="G32" s="743">
        <v>27613</v>
      </c>
      <c r="H32" s="753">
        <v>27798.00088920151</v>
      </c>
      <c r="I32" s="753">
        <v>27554.00088920151</v>
      </c>
      <c r="J32" s="753">
        <v>27310.00088920151</v>
      </c>
    </row>
    <row r="33" spans="1:11" s="685" customFormat="1" ht="31.5">
      <c r="A33" s="632" t="s">
        <v>642</v>
      </c>
      <c r="B33" s="633" t="s">
        <v>2091</v>
      </c>
      <c r="C33" s="683" t="s">
        <v>2061</v>
      </c>
      <c r="D33" s="741"/>
      <c r="E33" s="742"/>
      <c r="F33" s="741"/>
      <c r="G33" s="743"/>
      <c r="H33" s="744"/>
      <c r="I33" s="744"/>
      <c r="J33" s="744"/>
    </row>
    <row r="34" spans="1:11" s="685" customFormat="1" ht="15.75">
      <c r="A34" s="632">
        <v>2</v>
      </c>
      <c r="B34" s="633" t="s">
        <v>2092</v>
      </c>
      <c r="C34" s="683" t="s">
        <v>2061</v>
      </c>
      <c r="D34" s="741">
        <v>75647</v>
      </c>
      <c r="E34" s="742">
        <v>82062</v>
      </c>
      <c r="F34" s="741">
        <v>78602</v>
      </c>
      <c r="G34" s="743">
        <v>78602</v>
      </c>
      <c r="H34" s="744">
        <v>79879</v>
      </c>
      <c r="I34" s="744">
        <v>79635</v>
      </c>
      <c r="J34" s="744">
        <v>79391</v>
      </c>
    </row>
    <row r="35" spans="1:11" s="685" customFormat="1" ht="15.75">
      <c r="A35" s="646" t="s">
        <v>248</v>
      </c>
      <c r="B35" s="647" t="s">
        <v>2093</v>
      </c>
      <c r="C35" s="683" t="s">
        <v>2061</v>
      </c>
      <c r="D35" s="741">
        <v>75647</v>
      </c>
      <c r="E35" s="742">
        <v>82062</v>
      </c>
      <c r="F35" s="741">
        <v>78602</v>
      </c>
      <c r="G35" s="743">
        <v>78602</v>
      </c>
      <c r="H35" s="744">
        <f>H34</f>
        <v>79879</v>
      </c>
      <c r="I35" s="744">
        <f>I34</f>
        <v>79635</v>
      </c>
      <c r="J35" s="744">
        <f>J34</f>
        <v>79391</v>
      </c>
    </row>
    <row r="36" spans="1:11" s="685" customFormat="1" ht="15.75">
      <c r="A36" s="632" t="s">
        <v>249</v>
      </c>
      <c r="B36" s="633" t="s">
        <v>2094</v>
      </c>
      <c r="C36" s="683" t="s">
        <v>2061</v>
      </c>
      <c r="D36" s="741"/>
      <c r="E36" s="742"/>
      <c r="F36" s="741"/>
      <c r="G36" s="743"/>
      <c r="H36" s="744"/>
      <c r="I36" s="744"/>
      <c r="J36" s="744"/>
    </row>
    <row r="37" spans="1:11" s="685" customFormat="1" ht="31.5">
      <c r="A37" s="632" t="s">
        <v>670</v>
      </c>
      <c r="B37" s="633" t="s">
        <v>2095</v>
      </c>
      <c r="C37" s="683" t="s">
        <v>2061</v>
      </c>
      <c r="D37" s="741">
        <v>75647</v>
      </c>
      <c r="E37" s="742">
        <v>82062</v>
      </c>
      <c r="F37" s="741">
        <v>78602</v>
      </c>
      <c r="G37" s="743">
        <v>78602</v>
      </c>
      <c r="H37" s="744">
        <f>H34</f>
        <v>79879</v>
      </c>
      <c r="I37" s="744">
        <f>I34</f>
        <v>79635</v>
      </c>
      <c r="J37" s="744">
        <f>J34</f>
        <v>79391</v>
      </c>
    </row>
    <row r="38" spans="1:11" s="685" customFormat="1" ht="15.75">
      <c r="A38" s="632" t="s">
        <v>259</v>
      </c>
      <c r="B38" s="633" t="s">
        <v>2096</v>
      </c>
      <c r="C38" s="683" t="s">
        <v>2061</v>
      </c>
      <c r="D38" s="741">
        <v>75647</v>
      </c>
      <c r="E38" s="742">
        <v>82062</v>
      </c>
      <c r="F38" s="741">
        <v>78602</v>
      </c>
      <c r="G38" s="743">
        <v>78602</v>
      </c>
      <c r="H38" s="744">
        <f>H34</f>
        <v>79879</v>
      </c>
      <c r="I38" s="744">
        <f>I34</f>
        <v>79635</v>
      </c>
      <c r="J38" s="744">
        <f>J34</f>
        <v>79391</v>
      </c>
    </row>
    <row r="39" spans="1:11" s="685" customFormat="1" ht="31.5">
      <c r="A39" s="632" t="s">
        <v>260</v>
      </c>
      <c r="B39" s="633" t="s">
        <v>2097</v>
      </c>
      <c r="C39" s="683" t="s">
        <v>2061</v>
      </c>
      <c r="D39" s="741">
        <v>75647</v>
      </c>
      <c r="E39" s="742">
        <v>82062</v>
      </c>
      <c r="F39" s="741">
        <v>78602</v>
      </c>
      <c r="G39" s="743">
        <v>78602</v>
      </c>
      <c r="H39" s="744">
        <f>H34</f>
        <v>79879</v>
      </c>
      <c r="I39" s="744">
        <v>73070</v>
      </c>
      <c r="J39" s="744">
        <v>78328</v>
      </c>
    </row>
    <row r="40" spans="1:11" s="685" customFormat="1" ht="31.5">
      <c r="A40" s="646">
        <v>4</v>
      </c>
      <c r="B40" s="647" t="s">
        <v>848</v>
      </c>
      <c r="C40" s="683" t="s">
        <v>2061</v>
      </c>
      <c r="D40" s="754">
        <v>45.84</v>
      </c>
      <c r="E40" s="755">
        <v>46.2</v>
      </c>
      <c r="F40" s="754">
        <v>45.88</v>
      </c>
      <c r="G40" s="756">
        <v>45.88</v>
      </c>
      <c r="H40" s="757">
        <v>45.95</v>
      </c>
      <c r="I40" s="757">
        <v>45.5</v>
      </c>
      <c r="J40" s="757">
        <v>45.86</v>
      </c>
    </row>
    <row r="41" spans="1:11" s="685" customFormat="1" ht="32.25" thickBot="1">
      <c r="A41" s="695">
        <v>5</v>
      </c>
      <c r="B41" s="696" t="s">
        <v>849</v>
      </c>
      <c r="C41" s="699" t="s">
        <v>10</v>
      </c>
      <c r="D41" s="758"/>
      <c r="E41" s="759"/>
      <c r="F41" s="760"/>
      <c r="G41" s="761"/>
      <c r="H41" s="762">
        <v>-2.0400000000000001E-2</v>
      </c>
      <c r="I41" s="762">
        <v>0</v>
      </c>
      <c r="J41" s="762">
        <v>0</v>
      </c>
    </row>
    <row r="42" spans="1:11" s="685" customFormat="1" ht="15.75">
      <c r="A42" s="697"/>
      <c r="K42" s="698"/>
    </row>
  </sheetData>
  <mergeCells count="7">
    <mergeCell ref="A1:J1"/>
    <mergeCell ref="A2:J2"/>
    <mergeCell ref="A3:A4"/>
    <mergeCell ref="B3:B4"/>
    <mergeCell ref="C3:C4"/>
    <mergeCell ref="D3:E3"/>
    <mergeCell ref="F3:G3"/>
  </mergeCells>
  <pageMargins left="0.79" right="0.39370078740157483" top="0.85" bottom="0.39370078740157483" header="0.31496062992125984" footer="0.31496062992125984"/>
  <pageSetup paperSize="9" scale="93" orientation="landscape" r:id="rId1"/>
</worksheet>
</file>

<file path=xl/worksheets/sheet14.xml><?xml version="1.0" encoding="utf-8"?>
<worksheet xmlns="http://schemas.openxmlformats.org/spreadsheetml/2006/main" xmlns:r="http://schemas.openxmlformats.org/officeDocument/2006/relationships">
  <dimension ref="A1:Q73"/>
  <sheetViews>
    <sheetView view="pageBreakPreview" zoomScale="90" zoomScaleSheetLayoutView="90" workbookViewId="0">
      <selection activeCell="G9" sqref="G9"/>
    </sheetView>
  </sheetViews>
  <sheetFormatPr defaultRowHeight="15"/>
  <cols>
    <col min="1" max="1" width="4.5703125" customWidth="1"/>
    <col min="2" max="2" width="3.85546875" customWidth="1"/>
    <col min="3" max="3" width="4.42578125" customWidth="1"/>
    <col min="4" max="4" width="3.85546875" customWidth="1"/>
    <col min="5" max="5" width="4.42578125" customWidth="1"/>
    <col min="6" max="6" width="24.5703125" customWidth="1"/>
    <col min="7" max="7" width="13.42578125" customWidth="1"/>
    <col min="8" max="9" width="11.5703125" customWidth="1"/>
    <col min="12" max="12" width="12.28515625" customWidth="1"/>
  </cols>
  <sheetData>
    <row r="1" spans="1:11" ht="14.25" customHeight="1">
      <c r="A1" s="988" t="s">
        <v>819</v>
      </c>
      <c r="B1" s="1627"/>
      <c r="C1" s="1627"/>
      <c r="D1" s="1627"/>
      <c r="E1" s="1627"/>
      <c r="F1" s="1627"/>
      <c r="G1" s="1627"/>
      <c r="H1" s="1627"/>
      <c r="I1" s="1627"/>
    </row>
    <row r="2" spans="1:11" ht="15" customHeight="1">
      <c r="A2" s="1628" t="s">
        <v>820</v>
      </c>
      <c r="B2" s="1628"/>
      <c r="C2" s="1628"/>
      <c r="D2" s="1628"/>
      <c r="E2" s="1628"/>
      <c r="F2" s="1628"/>
      <c r="G2" s="1628"/>
      <c r="H2" s="1628"/>
      <c r="I2" s="1628"/>
    </row>
    <row r="3" spans="1:11" ht="13.5" customHeight="1">
      <c r="A3" s="1629" t="s">
        <v>821</v>
      </c>
      <c r="B3" s="1629"/>
      <c r="C3" s="1629"/>
      <c r="D3" s="1629"/>
      <c r="E3" s="1629"/>
      <c r="F3" s="1629"/>
      <c r="G3" s="1629"/>
      <c r="H3" s="1629"/>
      <c r="I3" s="1629"/>
    </row>
    <row r="4" spans="1:11" ht="18" customHeight="1">
      <c r="A4" s="195"/>
      <c r="B4" s="196"/>
      <c r="C4" s="196"/>
      <c r="D4" s="196"/>
      <c r="E4" s="196"/>
      <c r="F4" s="196"/>
      <c r="G4" s="196"/>
      <c r="H4" s="197"/>
      <c r="I4" s="198"/>
    </row>
    <row r="5" spans="1:11" ht="30" customHeight="1">
      <c r="A5" s="1630" t="s">
        <v>7</v>
      </c>
      <c r="B5" s="1631" t="s">
        <v>8</v>
      </c>
      <c r="C5" s="1632"/>
      <c r="D5" s="1632"/>
      <c r="E5" s="1632"/>
      <c r="F5" s="1632"/>
      <c r="G5" s="1633" t="s">
        <v>489</v>
      </c>
      <c r="H5" s="1630" t="s">
        <v>490</v>
      </c>
      <c r="I5" s="1630"/>
    </row>
    <row r="6" spans="1:11" ht="81" customHeight="1">
      <c r="A6" s="1630"/>
      <c r="B6" s="1632"/>
      <c r="C6" s="1632"/>
      <c r="D6" s="1632"/>
      <c r="E6" s="1632"/>
      <c r="F6" s="1632"/>
      <c r="G6" s="1633"/>
      <c r="H6" s="148" t="s">
        <v>491</v>
      </c>
      <c r="I6" s="148" t="s">
        <v>492</v>
      </c>
    </row>
    <row r="7" spans="1:11">
      <c r="A7" s="199">
        <v>1</v>
      </c>
      <c r="B7" s="1634">
        <v>2</v>
      </c>
      <c r="C7" s="1635"/>
      <c r="D7" s="1635"/>
      <c r="E7" s="1635"/>
      <c r="F7" s="1636"/>
      <c r="G7" s="200">
        <v>4</v>
      </c>
      <c r="H7" s="201">
        <v>5</v>
      </c>
      <c r="I7" s="201">
        <v>6</v>
      </c>
    </row>
    <row r="8" spans="1:11" ht="18.75">
      <c r="A8" s="1017" t="s">
        <v>318</v>
      </c>
      <c r="B8" s="1017"/>
      <c r="C8" s="1017"/>
      <c r="D8" s="1017"/>
      <c r="E8" s="1017"/>
      <c r="F8" s="1017"/>
      <c r="G8" s="1017"/>
      <c r="H8" s="1017"/>
      <c r="I8" s="1017"/>
    </row>
    <row r="9" spans="1:11" ht="20.100000000000001" customHeight="1">
      <c r="A9" s="151">
        <v>1</v>
      </c>
      <c r="B9" s="1623" t="s">
        <v>805</v>
      </c>
      <c r="C9" s="1623"/>
      <c r="D9" s="1623"/>
      <c r="E9" s="1623"/>
      <c r="F9" s="1623"/>
      <c r="G9" s="56">
        <f>SUM(G10:G17)</f>
        <v>56248.590000000004</v>
      </c>
      <c r="H9" s="202"/>
      <c r="I9" s="202"/>
    </row>
    <row r="10" spans="1:11" ht="20.100000000000001" customHeight="1">
      <c r="A10" s="155" t="s">
        <v>634</v>
      </c>
      <c r="B10" s="1624" t="s">
        <v>823</v>
      </c>
      <c r="C10" s="1625"/>
      <c r="D10" s="1625"/>
      <c r="E10" s="1625"/>
      <c r="F10" s="1626"/>
      <c r="G10" s="203">
        <v>20789.810000000001</v>
      </c>
      <c r="H10" s="157">
        <v>42005</v>
      </c>
      <c r="I10" s="158">
        <v>42369</v>
      </c>
      <c r="K10" s="204"/>
    </row>
    <row r="11" spans="1:11" ht="20.100000000000001" customHeight="1">
      <c r="A11" s="152" t="s">
        <v>636</v>
      </c>
      <c r="B11" s="1615" t="s">
        <v>807</v>
      </c>
      <c r="C11" s="1616"/>
      <c r="D11" s="1616"/>
      <c r="E11" s="1616"/>
      <c r="F11" s="1617"/>
      <c r="G11" s="205">
        <v>0</v>
      </c>
      <c r="H11" s="157">
        <v>42005</v>
      </c>
      <c r="I11" s="158">
        <v>42369</v>
      </c>
    </row>
    <row r="12" spans="1:11" ht="20.100000000000001" customHeight="1">
      <c r="A12" s="152" t="s">
        <v>638</v>
      </c>
      <c r="B12" s="1615" t="s">
        <v>808</v>
      </c>
      <c r="C12" s="1616"/>
      <c r="D12" s="1616"/>
      <c r="E12" s="1616"/>
      <c r="F12" s="1617"/>
      <c r="G12" s="205">
        <f>420+1450</f>
        <v>1870</v>
      </c>
      <c r="H12" s="157">
        <v>42005</v>
      </c>
      <c r="I12" s="158">
        <v>42369</v>
      </c>
    </row>
    <row r="13" spans="1:11" ht="20.100000000000001" customHeight="1">
      <c r="A13" s="152" t="s">
        <v>640</v>
      </c>
      <c r="B13" s="1615" t="s">
        <v>809</v>
      </c>
      <c r="C13" s="1616"/>
      <c r="D13" s="1616"/>
      <c r="E13" s="1616"/>
      <c r="F13" s="1617"/>
      <c r="G13" s="205">
        <v>1755</v>
      </c>
      <c r="H13" s="157">
        <v>42005</v>
      </c>
      <c r="I13" s="158">
        <v>42369</v>
      </c>
    </row>
    <row r="14" spans="1:11" ht="20.100000000000001" customHeight="1">
      <c r="A14" s="152" t="s">
        <v>642</v>
      </c>
      <c r="B14" s="1615" t="s">
        <v>810</v>
      </c>
      <c r="C14" s="1616"/>
      <c r="D14" s="1616"/>
      <c r="E14" s="1616"/>
      <c r="F14" s="1617"/>
      <c r="G14" s="205">
        <v>1300</v>
      </c>
      <c r="H14" s="157">
        <v>42005</v>
      </c>
      <c r="I14" s="158">
        <v>42369</v>
      </c>
    </row>
    <row r="15" spans="1:11" ht="20.100000000000001" customHeight="1">
      <c r="A15" s="152" t="s">
        <v>644</v>
      </c>
      <c r="B15" s="1615" t="s">
        <v>639</v>
      </c>
      <c r="C15" s="1616"/>
      <c r="D15" s="1616"/>
      <c r="E15" s="1616"/>
      <c r="F15" s="1617"/>
      <c r="G15" s="205">
        <v>5375</v>
      </c>
      <c r="H15" s="157">
        <v>42005</v>
      </c>
      <c r="I15" s="158">
        <v>42369</v>
      </c>
    </row>
    <row r="16" spans="1:11" ht="50.25" customHeight="1">
      <c r="A16" s="152" t="s">
        <v>646</v>
      </c>
      <c r="B16" s="1615" t="s">
        <v>811</v>
      </c>
      <c r="C16" s="1616"/>
      <c r="D16" s="1616"/>
      <c r="E16" s="1616"/>
      <c r="F16" s="1617"/>
      <c r="G16" s="205">
        <v>10909.09</v>
      </c>
      <c r="H16" s="157">
        <v>42005</v>
      </c>
      <c r="I16" s="158">
        <v>42369</v>
      </c>
    </row>
    <row r="17" spans="1:17" ht="49.5" customHeight="1">
      <c r="A17" s="152" t="s">
        <v>648</v>
      </c>
      <c r="B17" s="1615" t="s">
        <v>812</v>
      </c>
      <c r="C17" s="1616"/>
      <c r="D17" s="1616"/>
      <c r="E17" s="1616"/>
      <c r="F17" s="1617"/>
      <c r="G17" s="205">
        <v>14249.69</v>
      </c>
      <c r="H17" s="157">
        <v>42005</v>
      </c>
      <c r="I17" s="158">
        <v>42369</v>
      </c>
    </row>
    <row r="18" spans="1:17" ht="20.100000000000001" customHeight="1">
      <c r="A18" s="153" t="s">
        <v>667</v>
      </c>
      <c r="B18" s="1601" t="s">
        <v>133</v>
      </c>
      <c r="C18" s="1602"/>
      <c r="D18" s="1602"/>
      <c r="E18" s="1602"/>
      <c r="F18" s="1618"/>
      <c r="G18" s="206">
        <v>9589.2900000000009</v>
      </c>
      <c r="H18" s="207">
        <v>42005</v>
      </c>
      <c r="I18" s="208">
        <v>42369</v>
      </c>
    </row>
    <row r="19" spans="1:17" s="16" customFormat="1" ht="20.100000000000001" customHeight="1">
      <c r="A19" s="209" t="s">
        <v>670</v>
      </c>
      <c r="B19" s="1619" t="s">
        <v>134</v>
      </c>
      <c r="C19" s="1620"/>
      <c r="D19" s="1620"/>
      <c r="E19" s="1620"/>
      <c r="F19" s="1621"/>
      <c r="G19" s="210">
        <v>8441.2000000000007</v>
      </c>
      <c r="H19" s="207">
        <v>42005</v>
      </c>
      <c r="I19" s="208">
        <v>42369</v>
      </c>
    </row>
    <row r="20" spans="1:17" ht="18" customHeight="1">
      <c r="A20" s="1598" t="s">
        <v>722</v>
      </c>
      <c r="B20" s="1622"/>
      <c r="C20" s="1622"/>
      <c r="D20" s="1622"/>
      <c r="E20" s="1622"/>
      <c r="F20" s="1622"/>
      <c r="G20" s="154">
        <f>G9+G18+G19</f>
        <v>74279.08</v>
      </c>
      <c r="H20" s="213"/>
      <c r="I20" s="123"/>
      <c r="L20" s="204"/>
    </row>
    <row r="21" spans="1:17" ht="21.75" customHeight="1">
      <c r="A21" s="1017" t="s">
        <v>319</v>
      </c>
      <c r="B21" s="1017"/>
      <c r="C21" s="1017"/>
      <c r="D21" s="1017"/>
      <c r="E21" s="1017"/>
      <c r="F21" s="1017"/>
      <c r="G21" s="1017"/>
      <c r="H21" s="1017"/>
      <c r="I21" s="1017"/>
      <c r="L21" s="204"/>
    </row>
    <row r="22" spans="1:17" ht="20.100000000000001" customHeight="1">
      <c r="A22" s="151">
        <v>1</v>
      </c>
      <c r="B22" s="1623" t="s">
        <v>805</v>
      </c>
      <c r="C22" s="1623"/>
      <c r="D22" s="1623"/>
      <c r="E22" s="1623"/>
      <c r="F22" s="1623"/>
      <c r="G22" s="56">
        <f>SUM(G23:G30)</f>
        <v>64907.300999999992</v>
      </c>
      <c r="H22" s="202"/>
      <c r="I22" s="202"/>
      <c r="K22" s="1614"/>
      <c r="L22" s="1614"/>
      <c r="M22" s="1614"/>
      <c r="N22" s="1614"/>
      <c r="O22" s="1614"/>
      <c r="P22" s="1614"/>
      <c r="Q22" s="1614"/>
    </row>
    <row r="23" spans="1:17" ht="15.95" customHeight="1">
      <c r="A23" s="155" t="s">
        <v>634</v>
      </c>
      <c r="B23" s="1624" t="s">
        <v>822</v>
      </c>
      <c r="C23" s="1625"/>
      <c r="D23" s="1625"/>
      <c r="E23" s="1625"/>
      <c r="F23" s="1626"/>
      <c r="G23" s="203">
        <v>21611.93</v>
      </c>
      <c r="H23" s="157">
        <v>42370</v>
      </c>
      <c r="I23" s="158">
        <v>42735</v>
      </c>
      <c r="K23" s="1609"/>
      <c r="L23" s="1610"/>
      <c r="M23" s="1610"/>
      <c r="N23" s="1610"/>
      <c r="O23" s="1610"/>
      <c r="P23" s="1610"/>
      <c r="Q23" s="1610"/>
    </row>
    <row r="24" spans="1:17" ht="15.95" customHeight="1">
      <c r="A24" s="152" t="s">
        <v>636</v>
      </c>
      <c r="B24" s="1615" t="s">
        <v>807</v>
      </c>
      <c r="C24" s="1616"/>
      <c r="D24" s="1616"/>
      <c r="E24" s="1616"/>
      <c r="F24" s="1617"/>
      <c r="G24" s="205">
        <v>369.98400000000004</v>
      </c>
      <c r="H24" s="157">
        <v>42370</v>
      </c>
      <c r="I24" s="158">
        <v>42735</v>
      </c>
      <c r="K24" s="1609"/>
      <c r="L24" s="1610"/>
      <c r="M24" s="1610"/>
      <c r="N24" s="1610"/>
      <c r="O24" s="1610"/>
      <c r="P24" s="1610"/>
      <c r="Q24" s="1610"/>
    </row>
    <row r="25" spans="1:17" ht="15.95" customHeight="1">
      <c r="A25" s="152" t="s">
        <v>638</v>
      </c>
      <c r="B25" s="1615" t="s">
        <v>808</v>
      </c>
      <c r="C25" s="1616"/>
      <c r="D25" s="1616"/>
      <c r="E25" s="1616"/>
      <c r="F25" s="1617"/>
      <c r="G25" s="205">
        <v>206.77799999999999</v>
      </c>
      <c r="H25" s="157">
        <v>42370</v>
      </c>
      <c r="I25" s="158">
        <v>42735</v>
      </c>
      <c r="K25" s="1609"/>
      <c r="L25" s="1610"/>
      <c r="M25" s="1610"/>
      <c r="N25" s="1610"/>
      <c r="O25" s="1610"/>
      <c r="P25" s="1610"/>
      <c r="Q25" s="1610"/>
    </row>
    <row r="26" spans="1:17" ht="15.95" customHeight="1">
      <c r="A26" s="152" t="s">
        <v>640</v>
      </c>
      <c r="B26" s="1615" t="s">
        <v>809</v>
      </c>
      <c r="C26" s="1616"/>
      <c r="D26" s="1616"/>
      <c r="E26" s="1616"/>
      <c r="F26" s="1617"/>
      <c r="G26" s="205">
        <v>4154.835</v>
      </c>
      <c r="H26" s="157">
        <v>42370</v>
      </c>
      <c r="I26" s="158">
        <v>42735</v>
      </c>
      <c r="K26" s="1609"/>
      <c r="L26" s="1610"/>
      <c r="M26" s="1610"/>
      <c r="N26" s="1610"/>
      <c r="O26" s="1610"/>
      <c r="P26" s="1610"/>
      <c r="Q26" s="1610"/>
    </row>
    <row r="27" spans="1:17" ht="15.95" customHeight="1">
      <c r="A27" s="152" t="s">
        <v>642</v>
      </c>
      <c r="B27" s="1615" t="s">
        <v>810</v>
      </c>
      <c r="C27" s="1616"/>
      <c r="D27" s="1616"/>
      <c r="E27" s="1616"/>
      <c r="F27" s="1617"/>
      <c r="G27" s="205">
        <v>1454.25</v>
      </c>
      <c r="H27" s="157">
        <v>42370</v>
      </c>
      <c r="I27" s="158">
        <v>42735</v>
      </c>
      <c r="K27" s="1609"/>
      <c r="L27" s="1610"/>
      <c r="M27" s="1610"/>
      <c r="N27" s="1610"/>
      <c r="O27" s="1610"/>
      <c r="P27" s="1610"/>
      <c r="Q27" s="1610"/>
    </row>
    <row r="28" spans="1:17" ht="15.95" customHeight="1">
      <c r="A28" s="152" t="s">
        <v>644</v>
      </c>
      <c r="B28" s="1615" t="s">
        <v>639</v>
      </c>
      <c r="C28" s="1616"/>
      <c r="D28" s="1616"/>
      <c r="E28" s="1616"/>
      <c r="F28" s="1617"/>
      <c r="G28" s="205">
        <v>2835.6419999999998</v>
      </c>
      <c r="H28" s="157">
        <v>42370</v>
      </c>
      <c r="I28" s="158">
        <v>42735</v>
      </c>
      <c r="K28" s="1609"/>
      <c r="L28" s="1610"/>
      <c r="M28" s="1610"/>
      <c r="N28" s="1610"/>
      <c r="O28" s="1610"/>
      <c r="P28" s="1610"/>
      <c r="Q28" s="1610"/>
    </row>
    <row r="29" spans="1:17" ht="49.5" customHeight="1">
      <c r="A29" s="152" t="s">
        <v>646</v>
      </c>
      <c r="B29" s="1615" t="s">
        <v>811</v>
      </c>
      <c r="C29" s="1616"/>
      <c r="D29" s="1616"/>
      <c r="E29" s="1616"/>
      <c r="F29" s="1617"/>
      <c r="G29" s="205">
        <v>9851.4290000000001</v>
      </c>
      <c r="H29" s="157">
        <v>42370</v>
      </c>
      <c r="I29" s="158">
        <v>42735</v>
      </c>
      <c r="K29" s="1613"/>
      <c r="L29" s="1610"/>
      <c r="M29" s="1610"/>
      <c r="N29" s="1610"/>
      <c r="O29" s="1610"/>
      <c r="P29" s="1610"/>
      <c r="Q29" s="1610"/>
    </row>
    <row r="30" spans="1:17" ht="50.25" customHeight="1">
      <c r="A30" s="152" t="s">
        <v>648</v>
      </c>
      <c r="B30" s="1615" t="s">
        <v>812</v>
      </c>
      <c r="C30" s="1616"/>
      <c r="D30" s="1616"/>
      <c r="E30" s="1616"/>
      <c r="F30" s="1617"/>
      <c r="G30" s="205">
        <v>24422.452999999994</v>
      </c>
      <c r="H30" s="157">
        <v>42370</v>
      </c>
      <c r="I30" s="158">
        <v>42735</v>
      </c>
      <c r="K30" s="1612"/>
      <c r="L30" s="1610"/>
      <c r="M30" s="1610"/>
      <c r="N30" s="1610"/>
      <c r="O30" s="1610"/>
      <c r="P30" s="1610"/>
      <c r="Q30" s="1610"/>
    </row>
    <row r="31" spans="1:17" ht="15.95" customHeight="1">
      <c r="A31" s="153" t="s">
        <v>667</v>
      </c>
      <c r="B31" s="1601" t="s">
        <v>133</v>
      </c>
      <c r="C31" s="1602"/>
      <c r="D31" s="1602"/>
      <c r="E31" s="1602"/>
      <c r="F31" s="1618"/>
      <c r="G31" s="206">
        <v>3009.2559999999994</v>
      </c>
      <c r="H31" s="207">
        <v>42370</v>
      </c>
      <c r="I31" s="208">
        <v>42735</v>
      </c>
      <c r="K31" s="1604"/>
      <c r="L31" s="1604"/>
      <c r="M31" s="1604"/>
      <c r="N31" s="1604"/>
      <c r="O31" s="1604"/>
      <c r="P31" s="1604"/>
      <c r="Q31" s="1604"/>
    </row>
    <row r="32" spans="1:17" ht="15.95" customHeight="1">
      <c r="A32" s="209" t="s">
        <v>670</v>
      </c>
      <c r="B32" s="1619" t="s">
        <v>134</v>
      </c>
      <c r="C32" s="1620"/>
      <c r="D32" s="1620"/>
      <c r="E32" s="1620"/>
      <c r="F32" s="1621"/>
      <c r="G32" s="210">
        <v>9664.7900000000009</v>
      </c>
      <c r="H32" s="211">
        <v>42370</v>
      </c>
      <c r="I32" s="212">
        <v>42735</v>
      </c>
      <c r="K32" s="1604"/>
      <c r="L32" s="1604"/>
      <c r="M32" s="1604"/>
      <c r="N32" s="1604"/>
      <c r="O32" s="1604"/>
      <c r="P32" s="1604"/>
      <c r="Q32" s="1604"/>
    </row>
    <row r="33" spans="1:17" ht="18" customHeight="1">
      <c r="A33" s="1598" t="s">
        <v>802</v>
      </c>
      <c r="B33" s="1622"/>
      <c r="C33" s="1622"/>
      <c r="D33" s="1622"/>
      <c r="E33" s="1622"/>
      <c r="F33" s="1622"/>
      <c r="G33" s="154">
        <f>G22+G31+G32</f>
        <v>77581.34699999998</v>
      </c>
      <c r="H33" s="213"/>
      <c r="I33" s="167"/>
      <c r="K33" s="214"/>
      <c r="L33" s="215"/>
      <c r="M33" s="216"/>
      <c r="N33" s="216"/>
      <c r="O33" s="216"/>
      <c r="P33" s="216"/>
      <c r="Q33" s="216"/>
    </row>
    <row r="34" spans="1:17" ht="23.25" customHeight="1">
      <c r="A34" s="1605" t="s">
        <v>320</v>
      </c>
      <c r="B34" s="1606"/>
      <c r="C34" s="1606"/>
      <c r="D34" s="1606"/>
      <c r="E34" s="1606"/>
      <c r="F34" s="1606"/>
      <c r="G34" s="1606"/>
      <c r="H34" s="1606"/>
      <c r="I34" s="1607"/>
      <c r="K34" s="214"/>
      <c r="L34" s="215"/>
      <c r="M34" s="216"/>
      <c r="N34" s="216"/>
      <c r="O34" s="216"/>
      <c r="P34" s="216"/>
      <c r="Q34" s="216"/>
    </row>
    <row r="35" spans="1:17" ht="20.100000000000001" customHeight="1">
      <c r="A35" s="151">
        <v>1</v>
      </c>
      <c r="B35" s="1350" t="s">
        <v>805</v>
      </c>
      <c r="C35" s="1350"/>
      <c r="D35" s="1350"/>
      <c r="E35" s="1350"/>
      <c r="F35" s="1350"/>
      <c r="G35" s="56">
        <f>SUM(G36:G43)</f>
        <v>65955.08</v>
      </c>
      <c r="H35" s="168"/>
      <c r="I35" s="168"/>
      <c r="K35" s="1611"/>
      <c r="L35" s="1611"/>
      <c r="M35" s="1611"/>
      <c r="N35" s="1611"/>
      <c r="O35" s="1611"/>
      <c r="P35" s="1611"/>
      <c r="Q35" s="1611"/>
    </row>
    <row r="36" spans="1:17" ht="15.95" customHeight="1">
      <c r="A36" s="152" t="s">
        <v>634</v>
      </c>
      <c r="B36" s="1600" t="s">
        <v>806</v>
      </c>
      <c r="C36" s="1600"/>
      <c r="D36" s="1600"/>
      <c r="E36" s="1600"/>
      <c r="F36" s="1600"/>
      <c r="G36" s="169">
        <v>39315.96</v>
      </c>
      <c r="H36" s="160">
        <v>42736</v>
      </c>
      <c r="I36" s="161">
        <v>43100</v>
      </c>
      <c r="K36" s="1614"/>
      <c r="L36" s="1614"/>
      <c r="M36" s="1614"/>
      <c r="N36" s="1614"/>
      <c r="O36" s="1614"/>
      <c r="P36" s="1614"/>
      <c r="Q36" s="1614"/>
    </row>
    <row r="37" spans="1:17" ht="15.95" customHeight="1">
      <c r="A37" s="152" t="s">
        <v>636</v>
      </c>
      <c r="B37" s="1600" t="s">
        <v>807</v>
      </c>
      <c r="C37" s="1600"/>
      <c r="D37" s="1600"/>
      <c r="E37" s="1600"/>
      <c r="F37" s="1600"/>
      <c r="G37" s="170">
        <f>120</f>
        <v>120</v>
      </c>
      <c r="H37" s="160">
        <v>42736</v>
      </c>
      <c r="I37" s="161">
        <v>43100</v>
      </c>
      <c r="K37" s="1609"/>
      <c r="L37" s="1610"/>
      <c r="M37" s="1610"/>
      <c r="N37" s="1610"/>
      <c r="O37" s="1610"/>
      <c r="P37" s="1610"/>
      <c r="Q37" s="1610"/>
    </row>
    <row r="38" spans="1:17" ht="15.95" customHeight="1">
      <c r="A38" s="152" t="s">
        <v>638</v>
      </c>
      <c r="B38" s="1600" t="s">
        <v>808</v>
      </c>
      <c r="C38" s="1600"/>
      <c r="D38" s="1600"/>
      <c r="E38" s="1600"/>
      <c r="F38" s="1600"/>
      <c r="G38" s="170">
        <f>181</f>
        <v>181</v>
      </c>
      <c r="H38" s="160">
        <v>42736</v>
      </c>
      <c r="I38" s="161">
        <v>43100</v>
      </c>
      <c r="K38" s="1609"/>
      <c r="L38" s="1610"/>
      <c r="M38" s="1610"/>
      <c r="N38" s="1610"/>
      <c r="O38" s="1610"/>
      <c r="P38" s="1610"/>
      <c r="Q38" s="1610"/>
    </row>
    <row r="39" spans="1:17" ht="15.95" customHeight="1">
      <c r="A39" s="152" t="s">
        <v>640</v>
      </c>
      <c r="B39" s="1600" t="s">
        <v>809</v>
      </c>
      <c r="C39" s="1600"/>
      <c r="D39" s="1600"/>
      <c r="E39" s="1600"/>
      <c r="F39" s="1600"/>
      <c r="G39" s="170">
        <f>903</f>
        <v>903</v>
      </c>
      <c r="H39" s="160">
        <v>42736</v>
      </c>
      <c r="I39" s="161">
        <v>43100</v>
      </c>
      <c r="K39" s="1609"/>
      <c r="L39" s="1610"/>
      <c r="M39" s="1610"/>
      <c r="N39" s="1610"/>
      <c r="O39" s="1610"/>
      <c r="P39" s="1610"/>
      <c r="Q39" s="1610"/>
    </row>
    <row r="40" spans="1:17" ht="15.95" customHeight="1">
      <c r="A40" s="152" t="s">
        <v>642</v>
      </c>
      <c r="B40" s="1600" t="s">
        <v>810</v>
      </c>
      <c r="C40" s="1600"/>
      <c r="D40" s="1600"/>
      <c r="E40" s="1600"/>
      <c r="F40" s="1600"/>
      <c r="G40" s="170">
        <f>1084</f>
        <v>1084</v>
      </c>
      <c r="H40" s="160">
        <v>42736</v>
      </c>
      <c r="I40" s="161">
        <v>43100</v>
      </c>
      <c r="K40" s="1609"/>
      <c r="L40" s="1610"/>
      <c r="M40" s="1610"/>
      <c r="N40" s="1610"/>
      <c r="O40" s="1610"/>
      <c r="P40" s="1610"/>
      <c r="Q40" s="1610"/>
    </row>
    <row r="41" spans="1:17" ht="15.95" customHeight="1">
      <c r="A41" s="152" t="s">
        <v>644</v>
      </c>
      <c r="B41" s="1600" t="s">
        <v>639</v>
      </c>
      <c r="C41" s="1600"/>
      <c r="D41" s="1600"/>
      <c r="E41" s="1600"/>
      <c r="F41" s="1600"/>
      <c r="G41" s="170">
        <f>3313</f>
        <v>3313</v>
      </c>
      <c r="H41" s="160">
        <v>42736</v>
      </c>
      <c r="I41" s="161">
        <v>43100</v>
      </c>
      <c r="K41" s="1609"/>
      <c r="L41" s="1610"/>
      <c r="M41" s="1610"/>
      <c r="N41" s="1610"/>
      <c r="O41" s="1610"/>
      <c r="P41" s="1610"/>
      <c r="Q41" s="1610"/>
    </row>
    <row r="42" spans="1:17" ht="46.5" customHeight="1">
      <c r="A42" s="152" t="s">
        <v>646</v>
      </c>
      <c r="B42" s="1600" t="s">
        <v>811</v>
      </c>
      <c r="C42" s="1600"/>
      <c r="D42" s="1600"/>
      <c r="E42" s="1600"/>
      <c r="F42" s="1600"/>
      <c r="G42" s="170">
        <f>5120+120+5000</f>
        <v>10240</v>
      </c>
      <c r="H42" s="160">
        <v>42736</v>
      </c>
      <c r="I42" s="161">
        <v>43100</v>
      </c>
      <c r="K42" s="1604"/>
      <c r="L42" s="1610"/>
      <c r="M42" s="1610"/>
      <c r="N42" s="1610"/>
      <c r="O42" s="1610"/>
      <c r="P42" s="1610"/>
      <c r="Q42" s="1610"/>
    </row>
    <row r="43" spans="1:17" ht="49.5" customHeight="1">
      <c r="A43" s="152" t="s">
        <v>648</v>
      </c>
      <c r="B43" s="1600" t="s">
        <v>812</v>
      </c>
      <c r="C43" s="1600"/>
      <c r="D43" s="1600"/>
      <c r="E43" s="1600"/>
      <c r="F43" s="1600"/>
      <c r="G43" s="170">
        <f>6686+4112.12</f>
        <v>10798.119999999999</v>
      </c>
      <c r="H43" s="160">
        <v>42736</v>
      </c>
      <c r="I43" s="161">
        <v>43100</v>
      </c>
      <c r="K43" s="1613"/>
      <c r="L43" s="1610"/>
      <c r="M43" s="1610"/>
      <c r="N43" s="1610"/>
      <c r="O43" s="1610"/>
      <c r="P43" s="1610"/>
      <c r="Q43" s="1610"/>
    </row>
    <row r="44" spans="1:17" ht="15.95" customHeight="1">
      <c r="A44" s="153" t="s">
        <v>667</v>
      </c>
      <c r="B44" s="1601" t="s">
        <v>133</v>
      </c>
      <c r="C44" s="1602"/>
      <c r="D44" s="1602"/>
      <c r="E44" s="1602"/>
      <c r="F44" s="1603"/>
      <c r="G44" s="171">
        <f>7469-2300</f>
        <v>5169</v>
      </c>
      <c r="H44" s="163">
        <v>42736</v>
      </c>
      <c r="I44" s="164">
        <v>43100</v>
      </c>
      <c r="K44" s="1604"/>
      <c r="L44" s="1604"/>
      <c r="M44" s="1604"/>
      <c r="N44" s="1604"/>
      <c r="O44" s="1604"/>
      <c r="P44" s="1604"/>
      <c r="Q44" s="1604"/>
    </row>
    <row r="45" spans="1:17" ht="15.95" customHeight="1">
      <c r="A45" s="153" t="s">
        <v>670</v>
      </c>
      <c r="B45" s="1601" t="s">
        <v>134</v>
      </c>
      <c r="C45" s="1602"/>
      <c r="D45" s="1602"/>
      <c r="E45" s="1602"/>
      <c r="F45" s="1603"/>
      <c r="G45" s="171">
        <v>9112.86</v>
      </c>
      <c r="H45" s="163">
        <v>42736</v>
      </c>
      <c r="I45" s="164">
        <v>43100</v>
      </c>
      <c r="K45" s="1604"/>
      <c r="L45" s="1604"/>
      <c r="M45" s="1604"/>
      <c r="N45" s="1604"/>
      <c r="O45" s="1604"/>
      <c r="P45" s="1604"/>
      <c r="Q45" s="1604"/>
    </row>
    <row r="46" spans="1:17" ht="18" customHeight="1">
      <c r="A46" s="1598" t="s">
        <v>813</v>
      </c>
      <c r="B46" s="1599"/>
      <c r="C46" s="1599"/>
      <c r="D46" s="1599"/>
      <c r="E46" s="1599"/>
      <c r="F46" s="1599"/>
      <c r="G46" s="172">
        <f>G35+G44+G45</f>
        <v>80236.94</v>
      </c>
      <c r="H46" s="166"/>
      <c r="I46" s="167"/>
      <c r="K46" s="217"/>
      <c r="L46" s="215"/>
      <c r="M46" s="216"/>
      <c r="N46" s="216"/>
      <c r="O46" s="216"/>
      <c r="P46" s="216"/>
      <c r="Q46" s="216"/>
    </row>
    <row r="47" spans="1:17" ht="18" customHeight="1">
      <c r="A47" s="1605" t="s">
        <v>321</v>
      </c>
      <c r="B47" s="1606"/>
      <c r="C47" s="1606"/>
      <c r="D47" s="1606"/>
      <c r="E47" s="1606"/>
      <c r="F47" s="1606"/>
      <c r="G47" s="1606"/>
      <c r="H47" s="1606"/>
      <c r="I47" s="1607"/>
      <c r="K47" s="217"/>
      <c r="L47" s="215"/>
      <c r="M47" s="216"/>
      <c r="N47" s="216"/>
      <c r="O47" s="216"/>
      <c r="P47" s="216"/>
      <c r="Q47" s="216"/>
    </row>
    <row r="48" spans="1:17" ht="20.100000000000001" customHeight="1">
      <c r="A48" s="151">
        <v>1</v>
      </c>
      <c r="B48" s="1350" t="s">
        <v>805</v>
      </c>
      <c r="C48" s="1350"/>
      <c r="D48" s="1350"/>
      <c r="E48" s="1350"/>
      <c r="F48" s="1350"/>
      <c r="G48" s="56">
        <f>SUM(G49:G56)</f>
        <v>65728.599999999991</v>
      </c>
      <c r="H48" s="173"/>
      <c r="I48" s="173"/>
    </row>
    <row r="49" spans="1:17" ht="15.95" customHeight="1">
      <c r="A49" s="152" t="s">
        <v>634</v>
      </c>
      <c r="B49" s="1600" t="s">
        <v>814</v>
      </c>
      <c r="C49" s="1600"/>
      <c r="D49" s="1600"/>
      <c r="E49" s="1600"/>
      <c r="F49" s="1600"/>
      <c r="G49" s="174">
        <v>44148.659999999996</v>
      </c>
      <c r="H49" s="160">
        <v>43101</v>
      </c>
      <c r="I49" s="161">
        <v>43465</v>
      </c>
    </row>
    <row r="50" spans="1:17" ht="15.95" customHeight="1">
      <c r="A50" s="152" t="s">
        <v>636</v>
      </c>
      <c r="B50" s="1600" t="s">
        <v>807</v>
      </c>
      <c r="C50" s="1600"/>
      <c r="D50" s="1600"/>
      <c r="E50" s="1600"/>
      <c r="F50" s="1600"/>
      <c r="G50" s="175">
        <f>124</f>
        <v>124</v>
      </c>
      <c r="H50" s="160">
        <v>43101</v>
      </c>
      <c r="I50" s="161">
        <v>43465</v>
      </c>
    </row>
    <row r="51" spans="1:17" ht="15.95" customHeight="1">
      <c r="A51" s="152" t="s">
        <v>638</v>
      </c>
      <c r="B51" s="1600" t="s">
        <v>808</v>
      </c>
      <c r="C51" s="1600"/>
      <c r="D51" s="1600"/>
      <c r="E51" s="1600"/>
      <c r="F51" s="1600"/>
      <c r="G51" s="175">
        <f>187</f>
        <v>187</v>
      </c>
      <c r="H51" s="160">
        <v>43101</v>
      </c>
      <c r="I51" s="161">
        <v>43465</v>
      </c>
    </row>
    <row r="52" spans="1:17" ht="15.95" customHeight="1">
      <c r="A52" s="152" t="s">
        <v>640</v>
      </c>
      <c r="B52" s="1600" t="s">
        <v>809</v>
      </c>
      <c r="C52" s="1600"/>
      <c r="D52" s="1600"/>
      <c r="E52" s="1600"/>
      <c r="F52" s="1600"/>
      <c r="G52" s="175">
        <f>933</f>
        <v>933</v>
      </c>
      <c r="H52" s="160">
        <v>43101</v>
      </c>
      <c r="I52" s="161">
        <v>43465</v>
      </c>
    </row>
    <row r="53" spans="1:17" ht="15.95" customHeight="1">
      <c r="A53" s="152" t="s">
        <v>642</v>
      </c>
      <c r="B53" s="1600" t="s">
        <v>810</v>
      </c>
      <c r="C53" s="1600"/>
      <c r="D53" s="1600"/>
      <c r="E53" s="1600"/>
      <c r="F53" s="1600"/>
      <c r="G53" s="175">
        <f>1119</f>
        <v>1119</v>
      </c>
      <c r="H53" s="160">
        <v>43101</v>
      </c>
      <c r="I53" s="161">
        <v>43465</v>
      </c>
    </row>
    <row r="54" spans="1:17" ht="15.95" customHeight="1">
      <c r="A54" s="152" t="s">
        <v>644</v>
      </c>
      <c r="B54" s="1600" t="s">
        <v>639</v>
      </c>
      <c r="C54" s="1600"/>
      <c r="D54" s="1600"/>
      <c r="E54" s="1600"/>
      <c r="F54" s="1600"/>
      <c r="G54" s="175">
        <f>3421</f>
        <v>3421</v>
      </c>
      <c r="H54" s="160">
        <v>43101</v>
      </c>
      <c r="I54" s="161">
        <v>43465</v>
      </c>
    </row>
    <row r="55" spans="1:17" ht="48.75" customHeight="1">
      <c r="A55" s="152" t="s">
        <v>646</v>
      </c>
      <c r="B55" s="1600" t="s">
        <v>811</v>
      </c>
      <c r="C55" s="1600"/>
      <c r="D55" s="1600"/>
      <c r="E55" s="1600"/>
      <c r="F55" s="1600"/>
      <c r="G55" s="175">
        <f>5286+2000</f>
        <v>7286</v>
      </c>
      <c r="H55" s="160">
        <v>43101</v>
      </c>
      <c r="I55" s="161">
        <v>43465</v>
      </c>
    </row>
    <row r="56" spans="1:17" ht="48" customHeight="1">
      <c r="A56" s="152" t="s">
        <v>648</v>
      </c>
      <c r="B56" s="1600" t="s">
        <v>812</v>
      </c>
      <c r="C56" s="1600"/>
      <c r="D56" s="1600"/>
      <c r="E56" s="1600"/>
      <c r="F56" s="1600"/>
      <c r="G56" s="175">
        <f>6903+1606.94</f>
        <v>8509.94</v>
      </c>
      <c r="H56" s="160">
        <v>43101</v>
      </c>
      <c r="I56" s="161">
        <v>43465</v>
      </c>
    </row>
    <row r="57" spans="1:17" ht="15.95" customHeight="1">
      <c r="A57" s="153" t="s">
        <v>667</v>
      </c>
      <c r="B57" s="1601" t="s">
        <v>133</v>
      </c>
      <c r="C57" s="1602"/>
      <c r="D57" s="1602"/>
      <c r="E57" s="1602"/>
      <c r="F57" s="1603"/>
      <c r="G57" s="176">
        <v>7712</v>
      </c>
      <c r="H57" s="163">
        <v>43101</v>
      </c>
      <c r="I57" s="164">
        <v>43465</v>
      </c>
      <c r="K57" s="1604"/>
      <c r="L57" s="1604"/>
      <c r="M57" s="1604"/>
      <c r="N57" s="1604"/>
      <c r="O57" s="1604"/>
      <c r="P57" s="1604"/>
      <c r="Q57" s="1604"/>
    </row>
    <row r="58" spans="1:17" ht="15.95" customHeight="1">
      <c r="A58" s="153" t="s">
        <v>670</v>
      </c>
      <c r="B58" s="1601" t="s">
        <v>134</v>
      </c>
      <c r="C58" s="1602"/>
      <c r="D58" s="1602"/>
      <c r="E58" s="1602"/>
      <c r="F58" s="1603"/>
      <c r="G58" s="176">
        <v>9409.66</v>
      </c>
      <c r="H58" s="163">
        <v>43101</v>
      </c>
      <c r="I58" s="164">
        <v>43465</v>
      </c>
      <c r="K58" s="1604"/>
      <c r="L58" s="1604"/>
      <c r="M58" s="1604"/>
      <c r="N58" s="1604"/>
      <c r="O58" s="1604"/>
      <c r="P58" s="1604"/>
      <c r="Q58" s="1604"/>
    </row>
    <row r="59" spans="1:17" ht="18" customHeight="1">
      <c r="A59" s="1598" t="s">
        <v>815</v>
      </c>
      <c r="B59" s="1599"/>
      <c r="C59" s="1599"/>
      <c r="D59" s="1599"/>
      <c r="E59" s="1599"/>
      <c r="F59" s="1599"/>
      <c r="G59" s="154">
        <f>G48+G57+G58</f>
        <v>82850.259999999995</v>
      </c>
      <c r="H59" s="166"/>
      <c r="I59" s="167"/>
      <c r="L59" s="204"/>
    </row>
    <row r="60" spans="1:17" ht="18.75">
      <c r="A60" s="1605" t="s">
        <v>322</v>
      </c>
      <c r="B60" s="1606"/>
      <c r="C60" s="1606"/>
      <c r="D60" s="1606"/>
      <c r="E60" s="1606"/>
      <c r="F60" s="1606"/>
      <c r="G60" s="1606"/>
      <c r="H60" s="1606"/>
      <c r="I60" s="1607"/>
    </row>
    <row r="61" spans="1:17" ht="15.75">
      <c r="A61" s="151">
        <v>1</v>
      </c>
      <c r="B61" s="1039" t="s">
        <v>816</v>
      </c>
      <c r="C61" s="1040"/>
      <c r="D61" s="1040"/>
      <c r="E61" s="1040"/>
      <c r="F61" s="1041"/>
      <c r="G61" s="177">
        <f>SUM(G62:G69)</f>
        <v>67869.56</v>
      </c>
      <c r="H61" s="178"/>
      <c r="I61" s="178"/>
    </row>
    <row r="62" spans="1:17" ht="15.75">
      <c r="A62" s="155" t="s">
        <v>634</v>
      </c>
      <c r="B62" s="1608" t="s">
        <v>817</v>
      </c>
      <c r="C62" s="1608"/>
      <c r="D62" s="1608"/>
      <c r="E62" s="1608"/>
      <c r="F62" s="1608"/>
      <c r="G62" s="156">
        <v>45585.409999999996</v>
      </c>
      <c r="H62" s="157">
        <v>43466</v>
      </c>
      <c r="I62" s="158">
        <v>43830</v>
      </c>
    </row>
    <row r="63" spans="1:17" ht="15.75">
      <c r="A63" s="152" t="s">
        <v>636</v>
      </c>
      <c r="B63" s="1600" t="s">
        <v>807</v>
      </c>
      <c r="C63" s="1600"/>
      <c r="D63" s="1600"/>
      <c r="E63" s="1600"/>
      <c r="F63" s="1600"/>
      <c r="G63" s="159">
        <f>128</f>
        <v>128</v>
      </c>
      <c r="H63" s="160">
        <v>43466</v>
      </c>
      <c r="I63" s="161">
        <v>43830</v>
      </c>
    </row>
    <row r="64" spans="1:17" ht="15.75">
      <c r="A64" s="152" t="s">
        <v>638</v>
      </c>
      <c r="B64" s="1600" t="s">
        <v>808</v>
      </c>
      <c r="C64" s="1600"/>
      <c r="D64" s="1600"/>
      <c r="E64" s="1600"/>
      <c r="F64" s="1600"/>
      <c r="G64" s="159">
        <f>193</f>
        <v>193</v>
      </c>
      <c r="H64" s="160">
        <v>43466</v>
      </c>
      <c r="I64" s="161">
        <v>43830</v>
      </c>
    </row>
    <row r="65" spans="1:9" ht="15.75">
      <c r="A65" s="152" t="s">
        <v>640</v>
      </c>
      <c r="B65" s="1600" t="s">
        <v>809</v>
      </c>
      <c r="C65" s="1600"/>
      <c r="D65" s="1600"/>
      <c r="E65" s="1600"/>
      <c r="F65" s="1600"/>
      <c r="G65" s="159">
        <f>963</f>
        <v>963</v>
      </c>
      <c r="H65" s="160">
        <v>43466</v>
      </c>
      <c r="I65" s="161">
        <v>43830</v>
      </c>
    </row>
    <row r="66" spans="1:9" ht="15.75">
      <c r="A66" s="152" t="s">
        <v>642</v>
      </c>
      <c r="B66" s="1600" t="s">
        <v>810</v>
      </c>
      <c r="C66" s="1600"/>
      <c r="D66" s="1600"/>
      <c r="E66" s="1600"/>
      <c r="F66" s="1600"/>
      <c r="G66" s="159">
        <f>1156</f>
        <v>1156</v>
      </c>
      <c r="H66" s="160">
        <v>43466</v>
      </c>
      <c r="I66" s="161">
        <v>43830</v>
      </c>
    </row>
    <row r="67" spans="1:9" ht="15.75">
      <c r="A67" s="152" t="s">
        <v>644</v>
      </c>
      <c r="B67" s="1600" t="s">
        <v>639</v>
      </c>
      <c r="C67" s="1600"/>
      <c r="D67" s="1600"/>
      <c r="E67" s="1600"/>
      <c r="F67" s="1600"/>
      <c r="G67" s="159">
        <f>3532</f>
        <v>3532</v>
      </c>
      <c r="H67" s="160">
        <v>43466</v>
      </c>
      <c r="I67" s="161">
        <v>43830</v>
      </c>
    </row>
    <row r="68" spans="1:9" ht="15.75">
      <c r="A68" s="152" t="s">
        <v>646</v>
      </c>
      <c r="B68" s="1600" t="s">
        <v>811</v>
      </c>
      <c r="C68" s="1600"/>
      <c r="D68" s="1600"/>
      <c r="E68" s="1600"/>
      <c r="F68" s="1600"/>
      <c r="G68" s="159">
        <f>5459+2000</f>
        <v>7459</v>
      </c>
      <c r="H68" s="160">
        <v>43466</v>
      </c>
      <c r="I68" s="161">
        <v>43830</v>
      </c>
    </row>
    <row r="69" spans="1:9" ht="15.75">
      <c r="A69" s="152" t="s">
        <v>648</v>
      </c>
      <c r="B69" s="1600" t="s">
        <v>812</v>
      </c>
      <c r="C69" s="1600"/>
      <c r="D69" s="1600"/>
      <c r="E69" s="1600"/>
      <c r="F69" s="1600"/>
      <c r="G69" s="159">
        <f>7128+1725.15</f>
        <v>8853.15</v>
      </c>
      <c r="H69" s="160">
        <v>43466</v>
      </c>
      <c r="I69" s="161">
        <v>43830</v>
      </c>
    </row>
    <row r="70" spans="1:9" ht="15.75">
      <c r="A70" s="153" t="s">
        <v>667</v>
      </c>
      <c r="B70" s="1601" t="s">
        <v>133</v>
      </c>
      <c r="C70" s="1602"/>
      <c r="D70" s="1602"/>
      <c r="E70" s="1602"/>
      <c r="F70" s="1603"/>
      <c r="G70" s="162">
        <v>7963</v>
      </c>
      <c r="H70" s="163">
        <v>43466</v>
      </c>
      <c r="I70" s="164">
        <v>43830</v>
      </c>
    </row>
    <row r="71" spans="1:9" ht="15.75">
      <c r="A71" s="153" t="s">
        <v>670</v>
      </c>
      <c r="B71" s="1601" t="s">
        <v>134</v>
      </c>
      <c r="C71" s="1602"/>
      <c r="D71" s="1602"/>
      <c r="E71" s="1602"/>
      <c r="F71" s="1603"/>
      <c r="G71" s="162">
        <v>9716.1299999999992</v>
      </c>
      <c r="H71" s="163">
        <v>43466</v>
      </c>
      <c r="I71" s="164">
        <v>43830</v>
      </c>
    </row>
    <row r="72" spans="1:9" ht="18.75">
      <c r="A72" s="1598" t="s">
        <v>818</v>
      </c>
      <c r="B72" s="1599"/>
      <c r="C72" s="1599"/>
      <c r="D72" s="1599"/>
      <c r="E72" s="1599"/>
      <c r="F72" s="1599"/>
      <c r="G72" s="165">
        <f>G61+G70+G71</f>
        <v>85548.69</v>
      </c>
      <c r="H72" s="166"/>
      <c r="I72" s="167"/>
    </row>
    <row r="73" spans="1:9" ht="15.75">
      <c r="A73" s="5"/>
      <c r="B73" s="5"/>
      <c r="C73" s="5"/>
      <c r="D73" s="5"/>
      <c r="E73" s="5"/>
      <c r="F73" s="5"/>
      <c r="G73" s="5"/>
      <c r="H73" s="5"/>
      <c r="I73" s="5"/>
    </row>
  </sheetData>
  <mergeCells count="97">
    <mergeCell ref="B12:F12"/>
    <mergeCell ref="B13:F13"/>
    <mergeCell ref="A1:I1"/>
    <mergeCell ref="A2:I2"/>
    <mergeCell ref="A3:I3"/>
    <mergeCell ref="A5:A6"/>
    <mergeCell ref="B5:F6"/>
    <mergeCell ref="G5:G6"/>
    <mergeCell ref="H5:I5"/>
    <mergeCell ref="B7:F7"/>
    <mergeCell ref="A8:I8"/>
    <mergeCell ref="B9:F9"/>
    <mergeCell ref="B10:F10"/>
    <mergeCell ref="B11:F11"/>
    <mergeCell ref="A21:I21"/>
    <mergeCell ref="B22:F22"/>
    <mergeCell ref="B23:F23"/>
    <mergeCell ref="B24:F24"/>
    <mergeCell ref="B14:F14"/>
    <mergeCell ref="B15:F15"/>
    <mergeCell ref="B16:F16"/>
    <mergeCell ref="B17:F17"/>
    <mergeCell ref="B18:F18"/>
    <mergeCell ref="B19:F19"/>
    <mergeCell ref="A20:F20"/>
    <mergeCell ref="K24:Q24"/>
    <mergeCell ref="K25:Q25"/>
    <mergeCell ref="K26:Q26"/>
    <mergeCell ref="B32:F32"/>
    <mergeCell ref="A33:F33"/>
    <mergeCell ref="A34:I34"/>
    <mergeCell ref="K22:Q22"/>
    <mergeCell ref="B36:F36"/>
    <mergeCell ref="K23:Q23"/>
    <mergeCell ref="B26:F26"/>
    <mergeCell ref="B27:F27"/>
    <mergeCell ref="B28:F28"/>
    <mergeCell ref="B29:F29"/>
    <mergeCell ref="B30:F30"/>
    <mergeCell ref="B31:F31"/>
    <mergeCell ref="B25:F25"/>
    <mergeCell ref="B35:F35"/>
    <mergeCell ref="K27:Q27"/>
    <mergeCell ref="K28:Q28"/>
    <mergeCell ref="K29:Q29"/>
    <mergeCell ref="K36:Q36"/>
    <mergeCell ref="B37:F37"/>
    <mergeCell ref="K35:Q35"/>
    <mergeCell ref="K30:Q30"/>
    <mergeCell ref="K45:Q45"/>
    <mergeCell ref="K42:Q42"/>
    <mergeCell ref="K43:Q43"/>
    <mergeCell ref="B44:F44"/>
    <mergeCell ref="K31:Q31"/>
    <mergeCell ref="K32:Q32"/>
    <mergeCell ref="B40:F40"/>
    <mergeCell ref="K37:Q37"/>
    <mergeCell ref="B41:F41"/>
    <mergeCell ref="K38:Q38"/>
    <mergeCell ref="K41:Q41"/>
    <mergeCell ref="B43:F43"/>
    <mergeCell ref="B38:F38"/>
    <mergeCell ref="K39:Q39"/>
    <mergeCell ref="K44:Q44"/>
    <mergeCell ref="B42:F42"/>
    <mergeCell ref="B39:F39"/>
    <mergeCell ref="K40:Q40"/>
    <mergeCell ref="B66:F66"/>
    <mergeCell ref="B67:F67"/>
    <mergeCell ref="B45:F45"/>
    <mergeCell ref="B53:F53"/>
    <mergeCell ref="B54:F54"/>
    <mergeCell ref="B55:F55"/>
    <mergeCell ref="B52:F52"/>
    <mergeCell ref="B49:F49"/>
    <mergeCell ref="A46:F46"/>
    <mergeCell ref="A47:I47"/>
    <mergeCell ref="B48:F48"/>
    <mergeCell ref="B50:F50"/>
    <mergeCell ref="B51:F51"/>
    <mergeCell ref="B56:F56"/>
    <mergeCell ref="B57:F57"/>
    <mergeCell ref="K57:Q57"/>
    <mergeCell ref="B65:F65"/>
    <mergeCell ref="A59:F59"/>
    <mergeCell ref="A60:I60"/>
    <mergeCell ref="B61:F61"/>
    <mergeCell ref="B62:F62"/>
    <mergeCell ref="B63:F63"/>
    <mergeCell ref="K58:Q58"/>
    <mergeCell ref="B64:F64"/>
    <mergeCell ref="B58:F58"/>
    <mergeCell ref="A72:F72"/>
    <mergeCell ref="B68:F68"/>
    <mergeCell ref="B69:F69"/>
    <mergeCell ref="B70:F70"/>
    <mergeCell ref="B71:F71"/>
  </mergeCells>
  <pageMargins left="0.98425196850393704" right="0.39370078740157483" top="0.39370078740157483"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L461"/>
  <sheetViews>
    <sheetView view="pageBreakPreview" topLeftCell="A333" zoomScale="90" zoomScaleSheetLayoutView="90" workbookViewId="0">
      <selection activeCell="A361" sqref="A361:I361"/>
    </sheetView>
  </sheetViews>
  <sheetFormatPr defaultRowHeight="15" outlineLevelRow="1"/>
  <cols>
    <col min="1" max="1" width="7.28515625" style="4" customWidth="1"/>
    <col min="2" max="2" width="5" style="4" customWidth="1"/>
    <col min="3" max="3" width="4.85546875" style="4" bestFit="1" customWidth="1"/>
    <col min="4" max="4" width="6" style="4" bestFit="1" customWidth="1"/>
    <col min="5" max="5" width="5.7109375" style="4" customWidth="1"/>
    <col min="6" max="6" width="29.85546875" style="548" customWidth="1"/>
    <col min="7" max="7" width="12.28515625" customWidth="1"/>
    <col min="8" max="9" width="10" customWidth="1"/>
    <col min="10" max="10" width="14.85546875" customWidth="1"/>
    <col min="11" max="11" width="12.28515625" customWidth="1"/>
  </cols>
  <sheetData>
    <row r="1" spans="1:12" ht="50.25" customHeight="1">
      <c r="A1" s="1285" t="s">
        <v>1949</v>
      </c>
      <c r="B1" s="1784"/>
      <c r="C1" s="1784"/>
      <c r="D1" s="1784"/>
      <c r="E1" s="1784"/>
      <c r="F1" s="1784"/>
      <c r="G1" s="1784"/>
      <c r="H1" s="1784"/>
      <c r="I1" s="1784"/>
    </row>
    <row r="2" spans="1:12" ht="13.5" customHeight="1" outlineLevel="1">
      <c r="A2" s="194"/>
      <c r="B2" s="194"/>
      <c r="C2" s="194"/>
      <c r="D2" s="194"/>
      <c r="E2" s="194"/>
      <c r="F2" s="194"/>
      <c r="G2" s="194"/>
      <c r="H2" s="194"/>
      <c r="I2" s="194"/>
    </row>
    <row r="3" spans="1:12" ht="30.75" customHeight="1" outlineLevel="1">
      <c r="A3" s="1785" t="s">
        <v>7</v>
      </c>
      <c r="B3" s="1787" t="s">
        <v>8</v>
      </c>
      <c r="C3" s="1788"/>
      <c r="D3" s="1788"/>
      <c r="E3" s="1788"/>
      <c r="F3" s="1789"/>
      <c r="G3" s="1793" t="s">
        <v>9</v>
      </c>
      <c r="H3" s="1795" t="s">
        <v>490</v>
      </c>
      <c r="I3" s="1796"/>
      <c r="J3" s="550"/>
      <c r="K3" s="550"/>
      <c r="L3" s="550"/>
    </row>
    <row r="4" spans="1:12" ht="74.25" customHeight="1" outlineLevel="1">
      <c r="A4" s="1786"/>
      <c r="B4" s="1790"/>
      <c r="C4" s="1791"/>
      <c r="D4" s="1791"/>
      <c r="E4" s="1791"/>
      <c r="F4" s="1792"/>
      <c r="G4" s="1794"/>
      <c r="H4" s="148" t="s">
        <v>491</v>
      </c>
      <c r="I4" s="148" t="s">
        <v>492</v>
      </c>
      <c r="J4" s="550"/>
      <c r="K4" s="550"/>
      <c r="L4" s="550"/>
    </row>
    <row r="5" spans="1:12" ht="19.5" customHeight="1" outlineLevel="1">
      <c r="A5" s="556">
        <v>1</v>
      </c>
      <c r="B5" s="1797">
        <v>2</v>
      </c>
      <c r="C5" s="1798"/>
      <c r="D5" s="1798"/>
      <c r="E5" s="1798"/>
      <c r="F5" s="1799"/>
      <c r="G5" s="556">
        <v>4</v>
      </c>
      <c r="H5" s="147">
        <v>5</v>
      </c>
      <c r="I5" s="147">
        <v>6</v>
      </c>
      <c r="J5" s="550"/>
      <c r="K5" s="550"/>
      <c r="L5" s="550"/>
    </row>
    <row r="6" spans="1:12" s="198" customFormat="1" ht="19.5" customHeight="1" outlineLevel="1">
      <c r="A6" s="1800" t="s">
        <v>318</v>
      </c>
      <c r="B6" s="1801"/>
      <c r="C6" s="1801"/>
      <c r="D6" s="1801"/>
      <c r="E6" s="1801"/>
      <c r="F6" s="1801"/>
      <c r="G6" s="1801"/>
      <c r="H6" s="1801"/>
      <c r="I6" s="1802"/>
      <c r="J6" s="549"/>
      <c r="K6" s="549"/>
      <c r="L6" s="549"/>
    </row>
    <row r="7" spans="1:12" s="198" customFormat="1" ht="19.5" customHeight="1" outlineLevel="1">
      <c r="A7" s="1803" t="s">
        <v>1374</v>
      </c>
      <c r="B7" s="1804"/>
      <c r="C7" s="1804"/>
      <c r="D7" s="1804"/>
      <c r="E7" s="1804"/>
      <c r="F7" s="1804"/>
      <c r="G7" s="370">
        <f>G8+G37+G48+G63+G70+G83+G119</f>
        <v>48100.01</v>
      </c>
      <c r="H7" s="557"/>
      <c r="I7" s="558"/>
      <c r="J7" s="549"/>
      <c r="K7" s="549"/>
      <c r="L7" s="549"/>
    </row>
    <row r="8" spans="1:12" s="198" customFormat="1" ht="19.5" customHeight="1" outlineLevel="1">
      <c r="A8" s="1803" t="s">
        <v>469</v>
      </c>
      <c r="B8" s="1804"/>
      <c r="C8" s="1804"/>
      <c r="D8" s="1804"/>
      <c r="E8" s="1804"/>
      <c r="F8" s="1804"/>
      <c r="G8" s="370">
        <f>SUM(G9:G36)+0.01</f>
        <v>20167.03</v>
      </c>
      <c r="H8" s="557"/>
      <c r="I8" s="558"/>
      <c r="J8" s="549"/>
      <c r="K8" s="549"/>
      <c r="L8" s="549"/>
    </row>
    <row r="9" spans="1:12" s="198" customFormat="1" ht="15.75" customHeight="1" outlineLevel="1">
      <c r="A9" s="1210" t="s">
        <v>137</v>
      </c>
      <c r="B9" s="1243" t="s">
        <v>1329</v>
      </c>
      <c r="C9" s="1244"/>
      <c r="D9" s="1244"/>
      <c r="E9" s="1244"/>
      <c r="F9" s="1244"/>
      <c r="G9" s="1229">
        <v>216.24</v>
      </c>
      <c r="H9" s="1220" t="s">
        <v>1327</v>
      </c>
      <c r="I9" s="1220" t="s">
        <v>1328</v>
      </c>
      <c r="J9" s="549"/>
      <c r="K9" s="549"/>
      <c r="L9" s="549"/>
    </row>
    <row r="10" spans="1:12" s="198" customFormat="1" ht="15.75" customHeight="1" outlineLevel="1">
      <c r="A10" s="1211"/>
      <c r="B10" s="560" t="s">
        <v>438</v>
      </c>
      <c r="C10" s="561" t="s">
        <v>459</v>
      </c>
      <c r="D10" s="561" t="s">
        <v>439</v>
      </c>
      <c r="E10" s="561" t="s">
        <v>446</v>
      </c>
      <c r="F10" s="562" t="s">
        <v>440</v>
      </c>
      <c r="G10" s="1230"/>
      <c r="H10" s="1220"/>
      <c r="I10" s="1220"/>
      <c r="J10" s="549"/>
      <c r="K10" s="549"/>
      <c r="L10" s="549"/>
    </row>
    <row r="11" spans="1:12" s="198" customFormat="1" ht="15.75" customHeight="1" outlineLevel="1">
      <c r="A11" s="1210" t="s">
        <v>138</v>
      </c>
      <c r="B11" s="1243" t="s">
        <v>1330</v>
      </c>
      <c r="C11" s="1244"/>
      <c r="D11" s="1244"/>
      <c r="E11" s="1244"/>
      <c r="F11" s="1244"/>
      <c r="G11" s="1229">
        <v>2127.12</v>
      </c>
      <c r="H11" s="1220" t="s">
        <v>1327</v>
      </c>
      <c r="I11" s="1220" t="s">
        <v>1328</v>
      </c>
      <c r="J11" s="549"/>
      <c r="K11" s="549"/>
      <c r="L11" s="549"/>
    </row>
    <row r="12" spans="1:12" s="198" customFormat="1" ht="15.75" customHeight="1" outlineLevel="1">
      <c r="A12" s="1211"/>
      <c r="B12" s="560" t="s">
        <v>438</v>
      </c>
      <c r="C12" s="561" t="s">
        <v>465</v>
      </c>
      <c r="D12" s="561" t="s">
        <v>439</v>
      </c>
      <c r="E12" s="561" t="s">
        <v>1331</v>
      </c>
      <c r="F12" s="562" t="s">
        <v>440</v>
      </c>
      <c r="G12" s="1230"/>
      <c r="H12" s="1220"/>
      <c r="I12" s="1220"/>
      <c r="J12" s="549"/>
      <c r="K12" s="549"/>
      <c r="L12" s="549"/>
    </row>
    <row r="13" spans="1:12" s="198" customFormat="1" ht="15.75" customHeight="1" outlineLevel="1">
      <c r="A13" s="1210" t="s">
        <v>139</v>
      </c>
      <c r="B13" s="1212" t="s">
        <v>1332</v>
      </c>
      <c r="C13" s="1213"/>
      <c r="D13" s="1213"/>
      <c r="E13" s="1213"/>
      <c r="F13" s="1213"/>
      <c r="G13" s="1229">
        <v>188.55</v>
      </c>
      <c r="H13" s="1220" t="s">
        <v>1327</v>
      </c>
      <c r="I13" s="1220" t="s">
        <v>1328</v>
      </c>
      <c r="J13" s="549"/>
      <c r="K13" s="549"/>
      <c r="L13" s="549"/>
    </row>
    <row r="14" spans="1:12" s="198" customFormat="1" ht="15.75" customHeight="1" outlineLevel="1">
      <c r="A14" s="1211"/>
      <c r="B14" s="560" t="s">
        <v>438</v>
      </c>
      <c r="C14" s="561" t="s">
        <v>459</v>
      </c>
      <c r="D14" s="561" t="s">
        <v>439</v>
      </c>
      <c r="E14" s="561" t="s">
        <v>448</v>
      </c>
      <c r="F14" s="562" t="s">
        <v>440</v>
      </c>
      <c r="G14" s="1230"/>
      <c r="H14" s="1220"/>
      <c r="I14" s="1220"/>
      <c r="J14" s="549"/>
      <c r="K14" s="549"/>
      <c r="L14" s="549"/>
    </row>
    <row r="15" spans="1:12" s="198" customFormat="1" ht="15.75" customHeight="1" outlineLevel="1">
      <c r="A15" s="1210" t="s">
        <v>136</v>
      </c>
      <c r="B15" s="1212" t="s">
        <v>1333</v>
      </c>
      <c r="C15" s="1213"/>
      <c r="D15" s="1213"/>
      <c r="E15" s="1213"/>
      <c r="F15" s="1213"/>
      <c r="G15" s="1229">
        <v>105.03</v>
      </c>
      <c r="H15" s="1220" t="s">
        <v>1327</v>
      </c>
      <c r="I15" s="1220" t="s">
        <v>1328</v>
      </c>
      <c r="J15" s="549"/>
      <c r="K15" s="549"/>
      <c r="L15" s="549"/>
    </row>
    <row r="16" spans="1:12" s="198" customFormat="1" ht="15.75" customHeight="1" outlineLevel="1">
      <c r="A16" s="1211"/>
      <c r="B16" s="560" t="s">
        <v>438</v>
      </c>
      <c r="C16" s="561" t="s">
        <v>454</v>
      </c>
      <c r="D16" s="561" t="s">
        <v>439</v>
      </c>
      <c r="E16" s="561" t="s">
        <v>457</v>
      </c>
      <c r="F16" s="562" t="s">
        <v>440</v>
      </c>
      <c r="G16" s="1230"/>
      <c r="H16" s="1220"/>
      <c r="I16" s="1220"/>
      <c r="J16" s="549"/>
      <c r="K16" s="549"/>
      <c r="L16" s="549"/>
    </row>
    <row r="17" spans="1:12" s="198" customFormat="1" ht="15.75" customHeight="1" outlineLevel="1">
      <c r="A17" s="1210" t="s">
        <v>140</v>
      </c>
      <c r="B17" s="1212" t="s">
        <v>1334</v>
      </c>
      <c r="C17" s="1213"/>
      <c r="D17" s="1213"/>
      <c r="E17" s="1213"/>
      <c r="F17" s="1213"/>
      <c r="G17" s="1229">
        <v>430.31</v>
      </c>
      <c r="H17" s="1220" t="s">
        <v>1327</v>
      </c>
      <c r="I17" s="1220" t="s">
        <v>1328</v>
      </c>
      <c r="J17" s="549"/>
      <c r="K17" s="549"/>
      <c r="L17" s="549"/>
    </row>
    <row r="18" spans="1:12" s="198" customFormat="1" ht="15.75" customHeight="1" outlineLevel="1">
      <c r="A18" s="1211"/>
      <c r="B18" s="560" t="s">
        <v>438</v>
      </c>
      <c r="C18" s="561" t="s">
        <v>441</v>
      </c>
      <c r="D18" s="561" t="s">
        <v>439</v>
      </c>
      <c r="E18" s="561" t="s">
        <v>446</v>
      </c>
      <c r="F18" s="562" t="s">
        <v>440</v>
      </c>
      <c r="G18" s="1230"/>
      <c r="H18" s="1220"/>
      <c r="I18" s="1220"/>
      <c r="J18" s="549"/>
      <c r="K18" s="549"/>
      <c r="L18" s="549"/>
    </row>
    <row r="19" spans="1:12" s="198" customFormat="1" ht="15.75" customHeight="1" outlineLevel="1">
      <c r="A19" s="1210" t="s">
        <v>141</v>
      </c>
      <c r="B19" s="1212" t="s">
        <v>1335</v>
      </c>
      <c r="C19" s="1213"/>
      <c r="D19" s="1213"/>
      <c r="E19" s="1213"/>
      <c r="F19" s="1213"/>
      <c r="G19" s="1229">
        <v>220.87</v>
      </c>
      <c r="H19" s="1220" t="s">
        <v>1327</v>
      </c>
      <c r="I19" s="1220" t="s">
        <v>1328</v>
      </c>
      <c r="J19" s="549"/>
      <c r="K19" s="549"/>
      <c r="L19" s="549"/>
    </row>
    <row r="20" spans="1:12" s="198" customFormat="1" ht="15.75" customHeight="1" outlineLevel="1">
      <c r="A20" s="1211"/>
      <c r="B20" s="560" t="s">
        <v>438</v>
      </c>
      <c r="C20" s="561" t="s">
        <v>454</v>
      </c>
      <c r="D20" s="561" t="s">
        <v>439</v>
      </c>
      <c r="E20" s="561" t="s">
        <v>455</v>
      </c>
      <c r="F20" s="562" t="s">
        <v>440</v>
      </c>
      <c r="G20" s="1230"/>
      <c r="H20" s="1220"/>
      <c r="I20" s="1220"/>
      <c r="J20" s="549"/>
      <c r="K20" s="549"/>
      <c r="L20" s="549"/>
    </row>
    <row r="21" spans="1:12" s="198" customFormat="1" ht="15.75" customHeight="1" outlineLevel="1">
      <c r="A21" s="1210" t="s">
        <v>142</v>
      </c>
      <c r="B21" s="1212" t="s">
        <v>1336</v>
      </c>
      <c r="C21" s="1213"/>
      <c r="D21" s="1213"/>
      <c r="E21" s="1213"/>
      <c r="F21" s="1213"/>
      <c r="G21" s="1229">
        <v>333.2</v>
      </c>
      <c r="H21" s="1220" t="s">
        <v>1327</v>
      </c>
      <c r="I21" s="1220" t="s">
        <v>1328</v>
      </c>
      <c r="J21" s="549"/>
      <c r="K21" s="549"/>
      <c r="L21" s="549"/>
    </row>
    <row r="22" spans="1:12" s="198" customFormat="1" ht="15.75" customHeight="1" outlineLevel="1">
      <c r="A22" s="1211"/>
      <c r="B22" s="560" t="s">
        <v>438</v>
      </c>
      <c r="C22" s="561" t="s">
        <v>459</v>
      </c>
      <c r="D22" s="561" t="s">
        <v>439</v>
      </c>
      <c r="E22" s="561" t="s">
        <v>466</v>
      </c>
      <c r="F22" s="562" t="s">
        <v>440</v>
      </c>
      <c r="G22" s="1230"/>
      <c r="H22" s="1220"/>
      <c r="I22" s="1220"/>
      <c r="J22" s="549"/>
      <c r="K22" s="549"/>
      <c r="L22" s="549"/>
    </row>
    <row r="23" spans="1:12" s="198" customFormat="1" ht="15.75" customHeight="1" outlineLevel="1">
      <c r="A23" s="1210" t="s">
        <v>143</v>
      </c>
      <c r="B23" s="1212" t="s">
        <v>1337</v>
      </c>
      <c r="C23" s="1213"/>
      <c r="D23" s="1213"/>
      <c r="E23" s="1213"/>
      <c r="F23" s="1213"/>
      <c r="G23" s="1229">
        <v>315.89999999999998</v>
      </c>
      <c r="H23" s="1220" t="s">
        <v>1327</v>
      </c>
      <c r="I23" s="1220" t="s">
        <v>1328</v>
      </c>
      <c r="J23" s="549"/>
      <c r="K23" s="549"/>
      <c r="L23" s="549"/>
    </row>
    <row r="24" spans="1:12" s="198" customFormat="1" ht="15.75" customHeight="1" outlineLevel="1">
      <c r="A24" s="1211"/>
      <c r="B24" s="560" t="s">
        <v>438</v>
      </c>
      <c r="C24" s="561" t="s">
        <v>459</v>
      </c>
      <c r="D24" s="561" t="s">
        <v>439</v>
      </c>
      <c r="E24" s="561" t="s">
        <v>455</v>
      </c>
      <c r="F24" s="562" t="s">
        <v>440</v>
      </c>
      <c r="G24" s="1230"/>
      <c r="H24" s="1220"/>
      <c r="I24" s="1220"/>
      <c r="J24" s="549"/>
      <c r="K24" s="549"/>
      <c r="L24" s="549"/>
    </row>
    <row r="25" spans="1:12" s="198" customFormat="1" ht="25.5" customHeight="1" outlineLevel="1">
      <c r="A25" s="1210" t="s">
        <v>144</v>
      </c>
      <c r="B25" s="1212" t="s">
        <v>1338</v>
      </c>
      <c r="C25" s="1213"/>
      <c r="D25" s="1213"/>
      <c r="E25" s="1213"/>
      <c r="F25" s="1213"/>
      <c r="G25" s="1218">
        <v>338.98</v>
      </c>
      <c r="H25" s="1220" t="s">
        <v>1327</v>
      </c>
      <c r="I25" s="1220" t="s">
        <v>1328</v>
      </c>
      <c r="J25" s="549"/>
      <c r="K25" s="549"/>
      <c r="L25" s="549"/>
    </row>
    <row r="26" spans="1:12" s="198" customFormat="1" ht="19.5" customHeight="1" outlineLevel="1">
      <c r="A26" s="1211"/>
      <c r="B26" s="560" t="s">
        <v>438</v>
      </c>
      <c r="C26" s="561" t="s">
        <v>459</v>
      </c>
      <c r="D26" s="561" t="s">
        <v>439</v>
      </c>
      <c r="E26" s="561" t="s">
        <v>442</v>
      </c>
      <c r="F26" s="562" t="s">
        <v>440</v>
      </c>
      <c r="G26" s="1219"/>
      <c r="H26" s="1220"/>
      <c r="I26" s="1220"/>
      <c r="J26" s="549"/>
      <c r="K26" s="549"/>
      <c r="L26" s="549"/>
    </row>
    <row r="27" spans="1:12" s="198" customFormat="1" ht="15" customHeight="1" outlineLevel="1">
      <c r="A27" s="1210" t="s">
        <v>145</v>
      </c>
      <c r="B27" s="1212" t="s">
        <v>1339</v>
      </c>
      <c r="C27" s="1213"/>
      <c r="D27" s="1213"/>
      <c r="E27" s="1213"/>
      <c r="F27" s="1213"/>
      <c r="G27" s="1218">
        <v>895.38</v>
      </c>
      <c r="H27" s="1220" t="s">
        <v>1327</v>
      </c>
      <c r="I27" s="1220" t="s">
        <v>1328</v>
      </c>
      <c r="J27" s="549"/>
      <c r="K27" s="549"/>
      <c r="L27" s="549"/>
    </row>
    <row r="28" spans="1:12" s="198" customFormat="1" ht="15" customHeight="1" outlineLevel="1">
      <c r="A28" s="1211"/>
      <c r="B28" s="560" t="s">
        <v>438</v>
      </c>
      <c r="C28" s="561" t="s">
        <v>449</v>
      </c>
      <c r="D28" s="561" t="s">
        <v>439</v>
      </c>
      <c r="E28" s="561" t="s">
        <v>453</v>
      </c>
      <c r="F28" s="562" t="s">
        <v>440</v>
      </c>
      <c r="G28" s="1219"/>
      <c r="H28" s="1220"/>
      <c r="I28" s="1220"/>
      <c r="J28" s="549"/>
      <c r="K28" s="549"/>
      <c r="L28" s="549"/>
    </row>
    <row r="29" spans="1:12" s="198" customFormat="1" ht="26.25" customHeight="1" outlineLevel="1">
      <c r="A29" s="1210" t="s">
        <v>146</v>
      </c>
      <c r="B29" s="1212" t="s">
        <v>1340</v>
      </c>
      <c r="C29" s="1213"/>
      <c r="D29" s="1213"/>
      <c r="E29" s="1213"/>
      <c r="F29" s="1213"/>
      <c r="G29" s="1218">
        <v>508.47</v>
      </c>
      <c r="H29" s="1220" t="s">
        <v>1327</v>
      </c>
      <c r="I29" s="1220" t="s">
        <v>1328</v>
      </c>
      <c r="J29" s="549"/>
      <c r="K29" s="549"/>
      <c r="L29" s="549"/>
    </row>
    <row r="30" spans="1:12" s="198" customFormat="1" ht="14.25" customHeight="1" outlineLevel="1">
      <c r="A30" s="1211"/>
      <c r="B30" s="560" t="s">
        <v>438</v>
      </c>
      <c r="C30" s="561" t="s">
        <v>459</v>
      </c>
      <c r="D30" s="561" t="s">
        <v>439</v>
      </c>
      <c r="E30" s="561" t="s">
        <v>467</v>
      </c>
      <c r="F30" s="562" t="s">
        <v>440</v>
      </c>
      <c r="G30" s="1219"/>
      <c r="H30" s="1220"/>
      <c r="I30" s="1220"/>
      <c r="J30" s="549"/>
      <c r="K30" s="549"/>
      <c r="L30" s="549"/>
    </row>
    <row r="31" spans="1:12" s="198" customFormat="1" ht="16.5" customHeight="1" outlineLevel="1">
      <c r="A31" s="1210" t="s">
        <v>147</v>
      </c>
      <c r="B31" s="1243" t="s">
        <v>1341</v>
      </c>
      <c r="C31" s="1244"/>
      <c r="D31" s="1244"/>
      <c r="E31" s="1244"/>
      <c r="F31" s="1244"/>
      <c r="G31" s="1218">
        <v>6562.08</v>
      </c>
      <c r="H31" s="1220" t="s">
        <v>1327</v>
      </c>
      <c r="I31" s="1220" t="s">
        <v>1328</v>
      </c>
      <c r="J31" s="549"/>
      <c r="K31" s="549"/>
      <c r="L31" s="549"/>
    </row>
    <row r="32" spans="1:12" s="198" customFormat="1" ht="19.5" customHeight="1" outlineLevel="1">
      <c r="A32" s="1211"/>
      <c r="B32" s="560" t="s">
        <v>438</v>
      </c>
      <c r="C32" s="561" t="s">
        <v>1342</v>
      </c>
      <c r="D32" s="561" t="s">
        <v>439</v>
      </c>
      <c r="E32" s="561" t="s">
        <v>467</v>
      </c>
      <c r="F32" s="562" t="s">
        <v>440</v>
      </c>
      <c r="G32" s="1219"/>
      <c r="H32" s="1220"/>
      <c r="I32" s="1220"/>
      <c r="J32" s="549"/>
      <c r="K32" s="549"/>
      <c r="L32" s="549"/>
    </row>
    <row r="33" spans="1:12" s="198" customFormat="1" ht="15" customHeight="1" outlineLevel="1">
      <c r="A33" s="1210" t="s">
        <v>148</v>
      </c>
      <c r="B33" s="1212" t="s">
        <v>1343</v>
      </c>
      <c r="C33" s="1213"/>
      <c r="D33" s="1213"/>
      <c r="E33" s="1213"/>
      <c r="F33" s="1213"/>
      <c r="G33" s="1218">
        <v>917.47</v>
      </c>
      <c r="H33" s="1220" t="s">
        <v>1327</v>
      </c>
      <c r="I33" s="1220" t="s">
        <v>1328</v>
      </c>
      <c r="J33" s="549"/>
      <c r="K33" s="549"/>
      <c r="L33" s="549"/>
    </row>
    <row r="34" spans="1:12" s="198" customFormat="1" ht="2.25" customHeight="1" outlineLevel="1">
      <c r="A34" s="1211"/>
      <c r="B34" s="560"/>
      <c r="C34" s="561"/>
      <c r="D34" s="561"/>
      <c r="E34" s="561"/>
      <c r="F34" s="562"/>
      <c r="G34" s="1219"/>
      <c r="H34" s="1220"/>
      <c r="I34" s="1220"/>
      <c r="J34" s="549"/>
      <c r="K34" s="549"/>
      <c r="L34" s="549"/>
    </row>
    <row r="35" spans="1:12" s="198" customFormat="1" ht="26.25" customHeight="1" outlineLevel="1">
      <c r="A35" s="1210" t="s">
        <v>149</v>
      </c>
      <c r="B35" s="1212" t="s">
        <v>1344</v>
      </c>
      <c r="C35" s="1213"/>
      <c r="D35" s="1213"/>
      <c r="E35" s="1213"/>
      <c r="F35" s="1213"/>
      <c r="G35" s="1218">
        <v>7007.42</v>
      </c>
      <c r="H35" s="1220" t="s">
        <v>1327</v>
      </c>
      <c r="I35" s="1220" t="s">
        <v>1328</v>
      </c>
      <c r="J35" s="549"/>
      <c r="K35" s="549"/>
      <c r="L35" s="549"/>
    </row>
    <row r="36" spans="1:12" s="198" customFormat="1" ht="15" customHeight="1" outlineLevel="1">
      <c r="A36" s="1211"/>
      <c r="B36" s="560" t="s">
        <v>438</v>
      </c>
      <c r="C36" s="561" t="s">
        <v>1295</v>
      </c>
      <c r="D36" s="561" t="s">
        <v>439</v>
      </c>
      <c r="E36" s="561" t="s">
        <v>1239</v>
      </c>
      <c r="F36" s="562" t="s">
        <v>440</v>
      </c>
      <c r="G36" s="1219"/>
      <c r="H36" s="1220"/>
      <c r="I36" s="1220"/>
      <c r="J36" s="549"/>
      <c r="K36" s="549"/>
      <c r="L36" s="549"/>
    </row>
    <row r="37" spans="1:12" s="198" customFormat="1" ht="19.5" customHeight="1" outlineLevel="1">
      <c r="A37" s="1770" t="s">
        <v>343</v>
      </c>
      <c r="B37" s="1771"/>
      <c r="C37" s="1771"/>
      <c r="D37" s="1771"/>
      <c r="E37" s="1771"/>
      <c r="F37" s="1772"/>
      <c r="G37" s="370">
        <f>SUM(G38:G47)-0.01</f>
        <v>807.54000000000008</v>
      </c>
      <c r="H37" s="559"/>
      <c r="I37" s="559"/>
      <c r="J37" s="549"/>
      <c r="K37" s="549"/>
      <c r="L37" s="549"/>
    </row>
    <row r="38" spans="1:12" s="198" customFormat="1" ht="9" customHeight="1" outlineLevel="1">
      <c r="A38" s="1210" t="s">
        <v>176</v>
      </c>
      <c r="B38" s="1212" t="s">
        <v>344</v>
      </c>
      <c r="C38" s="1213"/>
      <c r="D38" s="1213"/>
      <c r="E38" s="1213"/>
      <c r="F38" s="1213"/>
      <c r="G38" s="1218">
        <v>123.68</v>
      </c>
      <c r="H38" s="1220" t="s">
        <v>1327</v>
      </c>
      <c r="I38" s="1220" t="s">
        <v>1328</v>
      </c>
      <c r="J38" s="549"/>
      <c r="K38" s="549"/>
      <c r="L38" s="549"/>
    </row>
    <row r="39" spans="1:12" s="198" customFormat="1" ht="9" customHeight="1" outlineLevel="1">
      <c r="A39" s="1211"/>
      <c r="B39" s="1215"/>
      <c r="C39" s="1216"/>
      <c r="D39" s="1216"/>
      <c r="E39" s="1216"/>
      <c r="F39" s="1216"/>
      <c r="G39" s="1219"/>
      <c r="H39" s="1220"/>
      <c r="I39" s="1220"/>
      <c r="J39" s="549"/>
      <c r="K39" s="549"/>
      <c r="L39" s="549"/>
    </row>
    <row r="40" spans="1:12" s="198" customFormat="1" ht="9" customHeight="1" outlineLevel="1">
      <c r="A40" s="1210" t="s">
        <v>177</v>
      </c>
      <c r="B40" s="1243" t="s">
        <v>1345</v>
      </c>
      <c r="C40" s="1244"/>
      <c r="D40" s="1244"/>
      <c r="E40" s="1244"/>
      <c r="F40" s="1244"/>
      <c r="G40" s="1229">
        <v>164.02</v>
      </c>
      <c r="H40" s="1220" t="s">
        <v>1327</v>
      </c>
      <c r="I40" s="1220" t="s">
        <v>1328</v>
      </c>
      <c r="J40" s="549"/>
      <c r="K40" s="549"/>
      <c r="L40" s="549"/>
    </row>
    <row r="41" spans="1:12" s="198" customFormat="1" ht="9" customHeight="1" outlineLevel="1">
      <c r="A41" s="1211"/>
      <c r="B41" s="1251"/>
      <c r="C41" s="1252"/>
      <c r="D41" s="1252"/>
      <c r="E41" s="1252"/>
      <c r="F41" s="1252"/>
      <c r="G41" s="1254"/>
      <c r="H41" s="1220"/>
      <c r="I41" s="1220"/>
      <c r="J41" s="549"/>
      <c r="K41" s="549"/>
      <c r="L41" s="549"/>
    </row>
    <row r="42" spans="1:12" s="198" customFormat="1" ht="9" customHeight="1" outlineLevel="1">
      <c r="A42" s="1210" t="s">
        <v>178</v>
      </c>
      <c r="B42" s="1243" t="s">
        <v>345</v>
      </c>
      <c r="C42" s="1244"/>
      <c r="D42" s="1244"/>
      <c r="E42" s="1244"/>
      <c r="F42" s="1244"/>
      <c r="G42" s="1229">
        <v>149.80000000000001</v>
      </c>
      <c r="H42" s="1220" t="s">
        <v>1327</v>
      </c>
      <c r="I42" s="1220" t="s">
        <v>1328</v>
      </c>
      <c r="J42" s="549"/>
      <c r="K42" s="549"/>
      <c r="L42" s="549"/>
    </row>
    <row r="43" spans="1:12" s="198" customFormat="1" ht="9" customHeight="1" outlineLevel="1">
      <c r="A43" s="1211"/>
      <c r="B43" s="1251"/>
      <c r="C43" s="1252"/>
      <c r="D43" s="1252"/>
      <c r="E43" s="1252"/>
      <c r="F43" s="1252"/>
      <c r="G43" s="1254"/>
      <c r="H43" s="1220"/>
      <c r="I43" s="1220"/>
      <c r="J43" s="549"/>
      <c r="K43" s="549"/>
      <c r="L43" s="549"/>
    </row>
    <row r="44" spans="1:12" s="198" customFormat="1" ht="9" customHeight="1" outlineLevel="1">
      <c r="A44" s="1210" t="s">
        <v>179</v>
      </c>
      <c r="B44" s="1243" t="s">
        <v>1346</v>
      </c>
      <c r="C44" s="1244"/>
      <c r="D44" s="1244"/>
      <c r="E44" s="1244"/>
      <c r="F44" s="1244"/>
      <c r="G44" s="1229">
        <v>334.23</v>
      </c>
      <c r="H44" s="1220" t="s">
        <v>1327</v>
      </c>
      <c r="I44" s="1220" t="s">
        <v>1328</v>
      </c>
      <c r="J44" s="549"/>
      <c r="K44" s="549"/>
      <c r="L44" s="549"/>
    </row>
    <row r="45" spans="1:12" s="198" customFormat="1" ht="9" customHeight="1" outlineLevel="1">
      <c r="A45" s="1211"/>
      <c r="B45" s="1251"/>
      <c r="C45" s="1252"/>
      <c r="D45" s="1252"/>
      <c r="E45" s="1252"/>
      <c r="F45" s="1252"/>
      <c r="G45" s="1254"/>
      <c r="H45" s="1220"/>
      <c r="I45" s="1220"/>
      <c r="J45" s="549"/>
      <c r="K45" s="549"/>
      <c r="L45" s="549"/>
    </row>
    <row r="46" spans="1:12" s="198" customFormat="1" ht="9" customHeight="1" outlineLevel="1">
      <c r="A46" s="1210" t="s">
        <v>180</v>
      </c>
      <c r="B46" s="1243" t="s">
        <v>1347</v>
      </c>
      <c r="C46" s="1244"/>
      <c r="D46" s="1244"/>
      <c r="E46" s="1244"/>
      <c r="F46" s="1244"/>
      <c r="G46" s="1229">
        <v>35.82</v>
      </c>
      <c r="H46" s="1220" t="s">
        <v>1327</v>
      </c>
      <c r="I46" s="1220" t="s">
        <v>1328</v>
      </c>
      <c r="J46" s="549"/>
      <c r="K46" s="549"/>
      <c r="L46" s="549"/>
    </row>
    <row r="47" spans="1:12" s="198" customFormat="1" ht="9" customHeight="1" outlineLevel="1">
      <c r="A47" s="1211"/>
      <c r="B47" s="1251"/>
      <c r="C47" s="1252"/>
      <c r="D47" s="1252"/>
      <c r="E47" s="1252"/>
      <c r="F47" s="1252"/>
      <c r="G47" s="1254"/>
      <c r="H47" s="1220"/>
      <c r="I47" s="1220"/>
      <c r="J47" s="549"/>
      <c r="K47" s="549"/>
      <c r="L47" s="549"/>
    </row>
    <row r="48" spans="1:12" s="198" customFormat="1" ht="19.5" customHeight="1" outlineLevel="1">
      <c r="A48" s="1770" t="s">
        <v>346</v>
      </c>
      <c r="B48" s="1771"/>
      <c r="C48" s="1771"/>
      <c r="D48" s="1771"/>
      <c r="E48" s="1771"/>
      <c r="F48" s="1772"/>
      <c r="G48" s="370">
        <f>SUM(G49:G62)-0.01</f>
        <v>3352.14</v>
      </c>
      <c r="H48" s="559"/>
      <c r="I48" s="559"/>
      <c r="J48" s="549"/>
      <c r="K48" s="549"/>
      <c r="L48" s="549"/>
    </row>
    <row r="49" spans="1:12" s="198" customFormat="1" ht="9.75" customHeight="1" outlineLevel="1">
      <c r="A49" s="1210" t="s">
        <v>198</v>
      </c>
      <c r="B49" s="1212" t="s">
        <v>347</v>
      </c>
      <c r="C49" s="1213"/>
      <c r="D49" s="1213"/>
      <c r="E49" s="1213"/>
      <c r="F49" s="1213"/>
      <c r="G49" s="1218">
        <v>682.25</v>
      </c>
      <c r="H49" s="1220" t="s">
        <v>1327</v>
      </c>
      <c r="I49" s="1220" t="s">
        <v>1328</v>
      </c>
      <c r="J49" s="549"/>
      <c r="K49" s="549"/>
      <c r="L49" s="549"/>
    </row>
    <row r="50" spans="1:12" s="198" customFormat="1" ht="9.75" customHeight="1" outlineLevel="1">
      <c r="A50" s="1211"/>
      <c r="B50" s="1779"/>
      <c r="C50" s="1780"/>
      <c r="D50" s="1780"/>
      <c r="E50" s="1780"/>
      <c r="F50" s="1780"/>
      <c r="G50" s="1219"/>
      <c r="H50" s="1220"/>
      <c r="I50" s="1220"/>
      <c r="J50" s="549"/>
      <c r="K50" s="549"/>
      <c r="L50" s="549"/>
    </row>
    <row r="51" spans="1:12" s="198" customFormat="1" ht="9.75" customHeight="1" outlineLevel="1">
      <c r="A51" s="1210" t="s">
        <v>199</v>
      </c>
      <c r="B51" s="1212" t="s">
        <v>731</v>
      </c>
      <c r="C51" s="1213"/>
      <c r="D51" s="1213"/>
      <c r="E51" s="1213"/>
      <c r="F51" s="1213"/>
      <c r="G51" s="1218">
        <v>387.53</v>
      </c>
      <c r="H51" s="1220" t="s">
        <v>1327</v>
      </c>
      <c r="I51" s="1220" t="s">
        <v>1328</v>
      </c>
      <c r="J51" s="549"/>
      <c r="K51" s="549"/>
      <c r="L51" s="549"/>
    </row>
    <row r="52" spans="1:12" s="198" customFormat="1" ht="9.75" customHeight="1" outlineLevel="1">
      <c r="A52" s="1211"/>
      <c r="B52" s="1779"/>
      <c r="C52" s="1780"/>
      <c r="D52" s="1780"/>
      <c r="E52" s="1780"/>
      <c r="F52" s="1780"/>
      <c r="G52" s="1219"/>
      <c r="H52" s="1220"/>
      <c r="I52" s="1220"/>
      <c r="J52" s="549"/>
      <c r="K52" s="549"/>
      <c r="L52" s="549"/>
    </row>
    <row r="53" spans="1:12" s="198" customFormat="1" ht="9.75" customHeight="1" outlineLevel="1">
      <c r="A53" s="1210" t="s">
        <v>200</v>
      </c>
      <c r="B53" s="1212" t="s">
        <v>345</v>
      </c>
      <c r="C53" s="1213"/>
      <c r="D53" s="1213"/>
      <c r="E53" s="1213"/>
      <c r="F53" s="1213"/>
      <c r="G53" s="1218">
        <v>374.47</v>
      </c>
      <c r="H53" s="1220" t="s">
        <v>1327</v>
      </c>
      <c r="I53" s="1220" t="s">
        <v>1328</v>
      </c>
      <c r="J53" s="549"/>
      <c r="K53" s="549"/>
      <c r="L53" s="549"/>
    </row>
    <row r="54" spans="1:12" s="198" customFormat="1" ht="9.75" customHeight="1" outlineLevel="1">
      <c r="A54" s="1211"/>
      <c r="B54" s="1779"/>
      <c r="C54" s="1780"/>
      <c r="D54" s="1780"/>
      <c r="E54" s="1780"/>
      <c r="F54" s="1780"/>
      <c r="G54" s="1219"/>
      <c r="H54" s="1220"/>
      <c r="I54" s="1220"/>
      <c r="J54" s="549"/>
      <c r="K54" s="549"/>
      <c r="L54" s="549"/>
    </row>
    <row r="55" spans="1:12" s="198" customFormat="1" ht="9.75" customHeight="1" outlineLevel="1">
      <c r="A55" s="1210" t="s">
        <v>201</v>
      </c>
      <c r="B55" s="1212" t="s">
        <v>348</v>
      </c>
      <c r="C55" s="1213"/>
      <c r="D55" s="1213"/>
      <c r="E55" s="1213"/>
      <c r="F55" s="1213"/>
      <c r="G55" s="1218">
        <v>161.53</v>
      </c>
      <c r="H55" s="1220" t="s">
        <v>1327</v>
      </c>
      <c r="I55" s="1220" t="s">
        <v>1328</v>
      </c>
      <c r="J55" s="549"/>
      <c r="K55" s="549"/>
      <c r="L55" s="549"/>
    </row>
    <row r="56" spans="1:12" s="198" customFormat="1" ht="9.75" customHeight="1" outlineLevel="1">
      <c r="A56" s="1211"/>
      <c r="B56" s="1779"/>
      <c r="C56" s="1780"/>
      <c r="D56" s="1780"/>
      <c r="E56" s="1780"/>
      <c r="F56" s="1780"/>
      <c r="G56" s="1219"/>
      <c r="H56" s="1220"/>
      <c r="I56" s="1220"/>
      <c r="J56" s="549"/>
      <c r="K56" s="549"/>
      <c r="L56" s="549"/>
    </row>
    <row r="57" spans="1:12" s="198" customFormat="1" ht="9.75" customHeight="1" outlineLevel="1">
      <c r="A57" s="1210" t="s">
        <v>202</v>
      </c>
      <c r="B57" s="1212" t="s">
        <v>1347</v>
      </c>
      <c r="C57" s="1213"/>
      <c r="D57" s="1213"/>
      <c r="E57" s="1213"/>
      <c r="F57" s="1213"/>
      <c r="G57" s="1218">
        <v>374.47</v>
      </c>
      <c r="H57" s="1220" t="s">
        <v>1327</v>
      </c>
      <c r="I57" s="1220" t="s">
        <v>1328</v>
      </c>
      <c r="J57" s="549"/>
      <c r="K57" s="549"/>
      <c r="L57" s="549"/>
    </row>
    <row r="58" spans="1:12" s="198" customFormat="1" ht="9.75" customHeight="1" outlineLevel="1">
      <c r="A58" s="1211"/>
      <c r="B58" s="1779"/>
      <c r="C58" s="1780"/>
      <c r="D58" s="1780"/>
      <c r="E58" s="1780"/>
      <c r="F58" s="1780"/>
      <c r="G58" s="1219"/>
      <c r="H58" s="1220"/>
      <c r="I58" s="1220"/>
      <c r="J58" s="549"/>
      <c r="K58" s="549"/>
      <c r="L58" s="549"/>
    </row>
    <row r="59" spans="1:12" s="198" customFormat="1" ht="9.75" customHeight="1" outlineLevel="1">
      <c r="A59" s="1210" t="s">
        <v>203</v>
      </c>
      <c r="B59" s="1212" t="s">
        <v>349</v>
      </c>
      <c r="C59" s="1213"/>
      <c r="D59" s="1213"/>
      <c r="E59" s="1213"/>
      <c r="F59" s="1213"/>
      <c r="G59" s="1218">
        <v>686.56</v>
      </c>
      <c r="H59" s="1220" t="s">
        <v>1327</v>
      </c>
      <c r="I59" s="1220" t="s">
        <v>1328</v>
      </c>
      <c r="J59" s="549"/>
      <c r="K59" s="549"/>
      <c r="L59" s="549"/>
    </row>
    <row r="60" spans="1:12" s="198" customFormat="1" ht="9.75" customHeight="1" outlineLevel="1">
      <c r="A60" s="1211"/>
      <c r="B60" s="1779"/>
      <c r="C60" s="1780"/>
      <c r="D60" s="1780"/>
      <c r="E60" s="1780"/>
      <c r="F60" s="1780"/>
      <c r="G60" s="1219"/>
      <c r="H60" s="1220"/>
      <c r="I60" s="1220"/>
      <c r="J60" s="549"/>
      <c r="K60" s="549"/>
      <c r="L60" s="549"/>
    </row>
    <row r="61" spans="1:12" s="198" customFormat="1" ht="9.75" customHeight="1" outlineLevel="1">
      <c r="A61" s="1210" t="s">
        <v>204</v>
      </c>
      <c r="B61" s="1212" t="s">
        <v>1345</v>
      </c>
      <c r="C61" s="1213"/>
      <c r="D61" s="1213"/>
      <c r="E61" s="1213"/>
      <c r="F61" s="1213"/>
      <c r="G61" s="1218">
        <v>685.34</v>
      </c>
      <c r="H61" s="1220" t="s">
        <v>1327</v>
      </c>
      <c r="I61" s="1220" t="s">
        <v>1328</v>
      </c>
      <c r="J61" s="549"/>
      <c r="K61" s="549"/>
      <c r="L61" s="549"/>
    </row>
    <row r="62" spans="1:12" s="198" customFormat="1" ht="9.75" customHeight="1" outlineLevel="1">
      <c r="A62" s="1211"/>
      <c r="B62" s="1779"/>
      <c r="C62" s="1780"/>
      <c r="D62" s="1780"/>
      <c r="E62" s="1780"/>
      <c r="F62" s="1780"/>
      <c r="G62" s="1219"/>
      <c r="H62" s="1220"/>
      <c r="I62" s="1220"/>
      <c r="J62" s="549"/>
      <c r="K62" s="549"/>
      <c r="L62" s="549"/>
    </row>
    <row r="63" spans="1:12" s="198" customFormat="1" ht="24" customHeight="1" outlineLevel="1">
      <c r="A63" s="1781" t="s">
        <v>350</v>
      </c>
      <c r="B63" s="1782"/>
      <c r="C63" s="1782"/>
      <c r="D63" s="1782"/>
      <c r="E63" s="1782"/>
      <c r="F63" s="1783"/>
      <c r="G63" s="370">
        <f>SUM(G64:G69)</f>
        <v>1279.06</v>
      </c>
      <c r="H63" s="559"/>
      <c r="I63" s="559"/>
      <c r="J63" s="549"/>
      <c r="K63" s="549"/>
      <c r="L63" s="549"/>
    </row>
    <row r="64" spans="1:12" s="198" customFormat="1" ht="9.75" customHeight="1" outlineLevel="1">
      <c r="A64" s="1210" t="s">
        <v>224</v>
      </c>
      <c r="B64" s="1212" t="s">
        <v>1348</v>
      </c>
      <c r="C64" s="1213"/>
      <c r="D64" s="1213"/>
      <c r="E64" s="1213"/>
      <c r="F64" s="1213"/>
      <c r="G64" s="1229">
        <v>434.71</v>
      </c>
      <c r="H64" s="1220" t="s">
        <v>1327</v>
      </c>
      <c r="I64" s="1220" t="s">
        <v>1328</v>
      </c>
      <c r="J64" s="549"/>
      <c r="K64" s="549"/>
      <c r="L64" s="549"/>
    </row>
    <row r="65" spans="1:12" s="198" customFormat="1" ht="9.75" customHeight="1" outlineLevel="1">
      <c r="A65" s="1211"/>
      <c r="B65" s="1779"/>
      <c r="C65" s="1780"/>
      <c r="D65" s="1780"/>
      <c r="E65" s="1780"/>
      <c r="F65" s="1780"/>
      <c r="G65" s="1254"/>
      <c r="H65" s="1220"/>
      <c r="I65" s="1220"/>
      <c r="J65" s="549"/>
      <c r="K65" s="549"/>
      <c r="L65" s="549"/>
    </row>
    <row r="66" spans="1:12" s="198" customFormat="1" ht="9.75" customHeight="1" outlineLevel="1">
      <c r="A66" s="1210" t="s">
        <v>461</v>
      </c>
      <c r="B66" s="1212" t="s">
        <v>1345</v>
      </c>
      <c r="C66" s="1213"/>
      <c r="D66" s="1213"/>
      <c r="E66" s="1213"/>
      <c r="F66" s="1213"/>
      <c r="G66" s="1229">
        <v>510.12</v>
      </c>
      <c r="H66" s="1220" t="s">
        <v>1327</v>
      </c>
      <c r="I66" s="1220" t="s">
        <v>1328</v>
      </c>
      <c r="J66" s="549"/>
      <c r="K66" s="549"/>
      <c r="L66" s="549"/>
    </row>
    <row r="67" spans="1:12" s="198" customFormat="1" ht="9.75" customHeight="1" outlineLevel="1">
      <c r="A67" s="1211"/>
      <c r="B67" s="1779"/>
      <c r="C67" s="1780"/>
      <c r="D67" s="1780"/>
      <c r="E67" s="1780"/>
      <c r="F67" s="1780"/>
      <c r="G67" s="1254"/>
      <c r="H67" s="1220"/>
      <c r="I67" s="1220"/>
      <c r="J67" s="549"/>
      <c r="K67" s="549"/>
      <c r="L67" s="549"/>
    </row>
    <row r="68" spans="1:12" s="198" customFormat="1" ht="9.75" customHeight="1" outlineLevel="1">
      <c r="A68" s="1210" t="s">
        <v>462</v>
      </c>
      <c r="B68" s="1212" t="s">
        <v>1349</v>
      </c>
      <c r="C68" s="1213"/>
      <c r="D68" s="1213"/>
      <c r="E68" s="1213"/>
      <c r="F68" s="1213"/>
      <c r="G68" s="1229">
        <v>334.23</v>
      </c>
      <c r="H68" s="1220" t="s">
        <v>1327</v>
      </c>
      <c r="I68" s="1220" t="s">
        <v>1328</v>
      </c>
      <c r="J68" s="549"/>
      <c r="K68" s="549"/>
      <c r="L68" s="549"/>
    </row>
    <row r="69" spans="1:12" s="198" customFormat="1" ht="9.75" customHeight="1" outlineLevel="1">
      <c r="A69" s="1211"/>
      <c r="B69" s="1779"/>
      <c r="C69" s="1780"/>
      <c r="D69" s="1780"/>
      <c r="E69" s="1780"/>
      <c r="F69" s="1780"/>
      <c r="G69" s="1254"/>
      <c r="H69" s="1220"/>
      <c r="I69" s="1220"/>
      <c r="J69" s="549"/>
      <c r="K69" s="549"/>
      <c r="L69" s="549"/>
    </row>
    <row r="70" spans="1:12" s="198" customFormat="1" ht="19.5" customHeight="1" outlineLevel="1">
      <c r="A70" s="1762" t="s">
        <v>351</v>
      </c>
      <c r="B70" s="1763"/>
      <c r="C70" s="1763"/>
      <c r="D70" s="1763"/>
      <c r="E70" s="1763"/>
      <c r="F70" s="1764"/>
      <c r="G70" s="370">
        <f>SUM(G71:G82)</f>
        <v>2055.3200000000002</v>
      </c>
      <c r="H70" s="559"/>
      <c r="I70" s="559"/>
      <c r="J70" s="549"/>
      <c r="K70" s="549"/>
      <c r="L70" s="549"/>
    </row>
    <row r="71" spans="1:12" s="198" customFormat="1" ht="10.5" customHeight="1" outlineLevel="1">
      <c r="A71" s="1210" t="s">
        <v>225</v>
      </c>
      <c r="B71" s="1212" t="s">
        <v>1350</v>
      </c>
      <c r="C71" s="1213"/>
      <c r="D71" s="1213"/>
      <c r="E71" s="1213"/>
      <c r="F71" s="1213"/>
      <c r="G71" s="1777">
        <v>114.4</v>
      </c>
      <c r="H71" s="1220" t="s">
        <v>1327</v>
      </c>
      <c r="I71" s="1220" t="s">
        <v>1328</v>
      </c>
      <c r="J71" s="549"/>
      <c r="K71" s="549"/>
      <c r="L71" s="549"/>
    </row>
    <row r="72" spans="1:12" s="198" customFormat="1" ht="10.5" customHeight="1" outlineLevel="1">
      <c r="A72" s="1211"/>
      <c r="B72" s="1215"/>
      <c r="C72" s="1216"/>
      <c r="D72" s="1216"/>
      <c r="E72" s="1216"/>
      <c r="F72" s="1216"/>
      <c r="G72" s="1778"/>
      <c r="H72" s="1220"/>
      <c r="I72" s="1220"/>
      <c r="J72" s="549"/>
      <c r="K72" s="549"/>
      <c r="L72" s="549"/>
    </row>
    <row r="73" spans="1:12" s="198" customFormat="1" ht="10.5" customHeight="1" outlineLevel="1">
      <c r="A73" s="1210" t="s">
        <v>226</v>
      </c>
      <c r="B73" s="1212" t="s">
        <v>1351</v>
      </c>
      <c r="C73" s="1213"/>
      <c r="D73" s="1213"/>
      <c r="E73" s="1213"/>
      <c r="F73" s="1213"/>
      <c r="G73" s="1765">
        <v>164.77</v>
      </c>
      <c r="H73" s="1220" t="s">
        <v>1327</v>
      </c>
      <c r="I73" s="1220" t="s">
        <v>1328</v>
      </c>
      <c r="J73" s="549"/>
      <c r="K73" s="549"/>
      <c r="L73" s="549"/>
    </row>
    <row r="74" spans="1:12" s="198" customFormat="1" ht="10.5" customHeight="1" outlineLevel="1">
      <c r="A74" s="1211"/>
      <c r="B74" s="1215"/>
      <c r="C74" s="1216"/>
      <c r="D74" s="1216"/>
      <c r="E74" s="1216"/>
      <c r="F74" s="1216"/>
      <c r="G74" s="1766"/>
      <c r="H74" s="1220"/>
      <c r="I74" s="1220"/>
      <c r="J74" s="549"/>
      <c r="K74" s="549"/>
      <c r="L74" s="549"/>
    </row>
    <row r="75" spans="1:12" s="198" customFormat="1" ht="10.5" customHeight="1" outlineLevel="1">
      <c r="A75" s="1210" t="s">
        <v>227</v>
      </c>
      <c r="B75" s="1212" t="s">
        <v>755</v>
      </c>
      <c r="C75" s="1213"/>
      <c r="D75" s="1213"/>
      <c r="E75" s="1213"/>
      <c r="F75" s="1213"/>
      <c r="G75" s="1777">
        <v>584.75</v>
      </c>
      <c r="H75" s="1220" t="s">
        <v>1327</v>
      </c>
      <c r="I75" s="1220" t="s">
        <v>1328</v>
      </c>
      <c r="J75" s="549"/>
      <c r="K75" s="549"/>
      <c r="L75" s="549"/>
    </row>
    <row r="76" spans="1:12" s="198" customFormat="1" ht="15" customHeight="1" outlineLevel="1">
      <c r="A76" s="1211"/>
      <c r="B76" s="1215"/>
      <c r="C76" s="1216"/>
      <c r="D76" s="1216"/>
      <c r="E76" s="1216"/>
      <c r="F76" s="1216"/>
      <c r="G76" s="1778"/>
      <c r="H76" s="1220"/>
      <c r="I76" s="1220"/>
      <c r="J76" s="549"/>
      <c r="K76" s="549"/>
      <c r="L76" s="549"/>
    </row>
    <row r="77" spans="1:12" s="198" customFormat="1" ht="10.5" customHeight="1" outlineLevel="1">
      <c r="A77" s="1210" t="s">
        <v>228</v>
      </c>
      <c r="B77" s="1212" t="s">
        <v>1352</v>
      </c>
      <c r="C77" s="1213"/>
      <c r="D77" s="1213"/>
      <c r="E77" s="1213"/>
      <c r="F77" s="1213"/>
      <c r="G77" s="1218">
        <v>189.58</v>
      </c>
      <c r="H77" s="1220" t="s">
        <v>1327</v>
      </c>
      <c r="I77" s="1220" t="s">
        <v>1328</v>
      </c>
      <c r="J77" s="549"/>
      <c r="K77" s="549"/>
      <c r="L77" s="549"/>
    </row>
    <row r="78" spans="1:12" s="198" customFormat="1" ht="10.5" customHeight="1" outlineLevel="1">
      <c r="A78" s="1211"/>
      <c r="B78" s="1215"/>
      <c r="C78" s="1216"/>
      <c r="D78" s="1216"/>
      <c r="E78" s="1216"/>
      <c r="F78" s="1216"/>
      <c r="G78" s="1219"/>
      <c r="H78" s="1220"/>
      <c r="I78" s="1220"/>
      <c r="J78" s="549"/>
      <c r="K78" s="549"/>
      <c r="L78" s="549"/>
    </row>
    <row r="79" spans="1:12" s="198" customFormat="1" ht="10.5" customHeight="1" outlineLevel="1">
      <c r="A79" s="1210" t="s">
        <v>229</v>
      </c>
      <c r="B79" s="1212" t="s">
        <v>352</v>
      </c>
      <c r="C79" s="1213"/>
      <c r="D79" s="1213"/>
      <c r="E79" s="1213"/>
      <c r="F79" s="1213"/>
      <c r="G79" s="1765">
        <v>381.36</v>
      </c>
      <c r="H79" s="1220" t="s">
        <v>1327</v>
      </c>
      <c r="I79" s="1220" t="s">
        <v>1328</v>
      </c>
      <c r="J79" s="549"/>
      <c r="K79" s="549"/>
      <c r="L79" s="549"/>
    </row>
    <row r="80" spans="1:12" s="198" customFormat="1" ht="10.5" customHeight="1" outlineLevel="1">
      <c r="A80" s="1211"/>
      <c r="B80" s="1215"/>
      <c r="C80" s="1216"/>
      <c r="D80" s="1216"/>
      <c r="E80" s="1216"/>
      <c r="F80" s="1216"/>
      <c r="G80" s="1766"/>
      <c r="H80" s="1220"/>
      <c r="I80" s="1220"/>
      <c r="J80" s="549"/>
      <c r="K80" s="549"/>
      <c r="L80" s="549"/>
    </row>
    <row r="81" spans="1:12" s="198" customFormat="1" ht="15" customHeight="1" outlineLevel="1">
      <c r="A81" s="1210" t="s">
        <v>230</v>
      </c>
      <c r="B81" s="1212" t="s">
        <v>468</v>
      </c>
      <c r="C81" s="1213"/>
      <c r="D81" s="1213"/>
      <c r="E81" s="1213"/>
      <c r="F81" s="1213"/>
      <c r="G81" s="1229">
        <v>620.46</v>
      </c>
      <c r="H81" s="1220" t="s">
        <v>1327</v>
      </c>
      <c r="I81" s="1220" t="s">
        <v>1328</v>
      </c>
      <c r="J81" s="549"/>
      <c r="K81" s="549"/>
      <c r="L81" s="549"/>
    </row>
    <row r="82" spans="1:12" s="198" customFormat="1" ht="15" customHeight="1" outlineLevel="1">
      <c r="A82" s="1211"/>
      <c r="B82" s="1215"/>
      <c r="C82" s="1216"/>
      <c r="D82" s="1216"/>
      <c r="E82" s="1216"/>
      <c r="F82" s="1216"/>
      <c r="G82" s="1230"/>
      <c r="H82" s="1220"/>
      <c r="I82" s="1220"/>
      <c r="J82" s="549"/>
      <c r="K82" s="549"/>
      <c r="L82" s="549"/>
    </row>
    <row r="83" spans="1:12" s="198" customFormat="1" ht="19.5" customHeight="1" outlineLevel="1">
      <c r="A83" s="1767" t="s">
        <v>353</v>
      </c>
      <c r="B83" s="1768"/>
      <c r="C83" s="1768"/>
      <c r="D83" s="1768"/>
      <c r="E83" s="1768"/>
      <c r="F83" s="1769"/>
      <c r="G83" s="373">
        <f>G84+G107+G114</f>
        <v>11502.71</v>
      </c>
      <c r="H83" s="559"/>
      <c r="I83" s="559"/>
      <c r="J83" s="549"/>
      <c r="K83" s="549"/>
      <c r="L83" s="549"/>
    </row>
    <row r="84" spans="1:12" s="198" customFormat="1" ht="27" customHeight="1" outlineLevel="1">
      <c r="A84" s="1762" t="s">
        <v>354</v>
      </c>
      <c r="B84" s="1763"/>
      <c r="C84" s="1763"/>
      <c r="D84" s="1763"/>
      <c r="E84" s="1763"/>
      <c r="F84" s="1764"/>
      <c r="G84" s="370">
        <f>SUM(G85:G106)-0.01</f>
        <v>6821.52</v>
      </c>
      <c r="H84" s="559"/>
      <c r="I84" s="559"/>
      <c r="J84" s="549"/>
      <c r="K84" s="549"/>
      <c r="L84" s="549"/>
    </row>
    <row r="85" spans="1:12" s="198" customFormat="1" ht="9" customHeight="1" outlineLevel="1">
      <c r="A85" s="1773" t="s">
        <v>355</v>
      </c>
      <c r="B85" s="1212" t="s">
        <v>1353</v>
      </c>
      <c r="C85" s="1213"/>
      <c r="D85" s="1213"/>
      <c r="E85" s="1213"/>
      <c r="F85" s="1213"/>
      <c r="G85" s="1229">
        <v>576.27</v>
      </c>
      <c r="H85" s="1220" t="s">
        <v>1327</v>
      </c>
      <c r="I85" s="1220" t="s">
        <v>1328</v>
      </c>
      <c r="J85" s="549"/>
      <c r="K85" s="549"/>
      <c r="L85" s="549"/>
    </row>
    <row r="86" spans="1:12" s="198" customFormat="1" ht="9" customHeight="1" outlineLevel="1">
      <c r="A86" s="1774"/>
      <c r="B86" s="1775"/>
      <c r="C86" s="1776"/>
      <c r="D86" s="1776"/>
      <c r="E86" s="1776"/>
      <c r="F86" s="1776"/>
      <c r="G86" s="1230"/>
      <c r="H86" s="1220"/>
      <c r="I86" s="1220"/>
      <c r="J86" s="549"/>
      <c r="K86" s="549"/>
      <c r="L86" s="549"/>
    </row>
    <row r="87" spans="1:12" s="198" customFormat="1" ht="9" customHeight="1" outlineLevel="1">
      <c r="A87" s="1773" t="s">
        <v>356</v>
      </c>
      <c r="B87" s="1212" t="s">
        <v>1354</v>
      </c>
      <c r="C87" s="1213"/>
      <c r="D87" s="1213"/>
      <c r="E87" s="1213"/>
      <c r="F87" s="1213"/>
      <c r="G87" s="1218">
        <v>3222.91</v>
      </c>
      <c r="H87" s="1220" t="s">
        <v>1327</v>
      </c>
      <c r="I87" s="1220" t="s">
        <v>1328</v>
      </c>
      <c r="J87" s="549"/>
      <c r="K87" s="549"/>
      <c r="L87" s="549"/>
    </row>
    <row r="88" spans="1:12" s="198" customFormat="1" ht="9" customHeight="1" outlineLevel="1">
      <c r="A88" s="1774"/>
      <c r="B88" s="1775"/>
      <c r="C88" s="1776"/>
      <c r="D88" s="1776"/>
      <c r="E88" s="1776"/>
      <c r="F88" s="1776"/>
      <c r="G88" s="1219"/>
      <c r="H88" s="1220"/>
      <c r="I88" s="1220"/>
      <c r="J88" s="549"/>
      <c r="K88" s="549"/>
      <c r="L88" s="549"/>
    </row>
    <row r="89" spans="1:12" s="198" customFormat="1" ht="9" customHeight="1" outlineLevel="1">
      <c r="A89" s="1773" t="s">
        <v>358</v>
      </c>
      <c r="B89" s="1212" t="s">
        <v>359</v>
      </c>
      <c r="C89" s="1213"/>
      <c r="D89" s="1213"/>
      <c r="E89" s="1213"/>
      <c r="F89" s="1213"/>
      <c r="G89" s="1229">
        <v>98.45</v>
      </c>
      <c r="H89" s="1220" t="s">
        <v>1327</v>
      </c>
      <c r="I89" s="1220" t="s">
        <v>1328</v>
      </c>
      <c r="J89" s="549"/>
      <c r="K89" s="549"/>
      <c r="L89" s="549"/>
    </row>
    <row r="90" spans="1:12" s="198" customFormat="1" ht="9" customHeight="1" outlineLevel="1">
      <c r="A90" s="1774"/>
      <c r="B90" s="1775"/>
      <c r="C90" s="1776"/>
      <c r="D90" s="1776"/>
      <c r="E90" s="1776"/>
      <c r="F90" s="1776"/>
      <c r="G90" s="1254"/>
      <c r="H90" s="1220"/>
      <c r="I90" s="1220"/>
      <c r="J90" s="549"/>
      <c r="K90" s="549"/>
      <c r="L90" s="549"/>
    </row>
    <row r="91" spans="1:12" s="198" customFormat="1" ht="9" customHeight="1" outlineLevel="1">
      <c r="A91" s="1773" t="s">
        <v>360</v>
      </c>
      <c r="B91" s="1212" t="s">
        <v>363</v>
      </c>
      <c r="C91" s="1213"/>
      <c r="D91" s="1213"/>
      <c r="E91" s="1213"/>
      <c r="F91" s="1213"/>
      <c r="G91" s="1218">
        <v>394.79</v>
      </c>
      <c r="H91" s="1220" t="s">
        <v>1327</v>
      </c>
      <c r="I91" s="1220" t="s">
        <v>1328</v>
      </c>
      <c r="J91" s="549"/>
      <c r="K91" s="549"/>
      <c r="L91" s="549"/>
    </row>
    <row r="92" spans="1:12" s="198" customFormat="1" ht="9" customHeight="1" outlineLevel="1">
      <c r="A92" s="1774"/>
      <c r="B92" s="1775"/>
      <c r="C92" s="1776"/>
      <c r="D92" s="1776"/>
      <c r="E92" s="1776"/>
      <c r="F92" s="1776"/>
      <c r="G92" s="1219"/>
      <c r="H92" s="1220"/>
      <c r="I92" s="1220"/>
      <c r="J92" s="549"/>
      <c r="K92" s="549"/>
      <c r="L92" s="549"/>
    </row>
    <row r="93" spans="1:12" s="198" customFormat="1" ht="9" customHeight="1" outlineLevel="1">
      <c r="A93" s="1773" t="s">
        <v>361</v>
      </c>
      <c r="B93" s="1212" t="s">
        <v>365</v>
      </c>
      <c r="C93" s="1213"/>
      <c r="D93" s="1213"/>
      <c r="E93" s="1213"/>
      <c r="F93" s="1213"/>
      <c r="G93" s="1218">
        <v>151.79</v>
      </c>
      <c r="H93" s="1220" t="s">
        <v>1327</v>
      </c>
      <c r="I93" s="1220" t="s">
        <v>1328</v>
      </c>
      <c r="J93" s="549"/>
      <c r="K93" s="549"/>
      <c r="L93" s="549"/>
    </row>
    <row r="94" spans="1:12" s="198" customFormat="1" ht="9" customHeight="1" outlineLevel="1">
      <c r="A94" s="1774"/>
      <c r="B94" s="1775"/>
      <c r="C94" s="1776"/>
      <c r="D94" s="1776"/>
      <c r="E94" s="1776"/>
      <c r="F94" s="1776"/>
      <c r="G94" s="1219"/>
      <c r="H94" s="1220"/>
      <c r="I94" s="1220"/>
      <c r="J94" s="549"/>
      <c r="K94" s="549"/>
      <c r="L94" s="549"/>
    </row>
    <row r="95" spans="1:12" s="198" customFormat="1" ht="9" customHeight="1" outlineLevel="1">
      <c r="A95" s="1773" t="s">
        <v>362</v>
      </c>
      <c r="B95" s="1212" t="s">
        <v>1355</v>
      </c>
      <c r="C95" s="1213"/>
      <c r="D95" s="1213"/>
      <c r="E95" s="1213"/>
      <c r="F95" s="1213"/>
      <c r="G95" s="1218">
        <v>847.37</v>
      </c>
      <c r="H95" s="1220" t="s">
        <v>1327</v>
      </c>
      <c r="I95" s="1220" t="s">
        <v>1328</v>
      </c>
      <c r="J95" s="549"/>
      <c r="K95" s="549"/>
      <c r="L95" s="549"/>
    </row>
    <row r="96" spans="1:12" s="198" customFormat="1" ht="9" customHeight="1" outlineLevel="1">
      <c r="A96" s="1774"/>
      <c r="B96" s="1775"/>
      <c r="C96" s="1776"/>
      <c r="D96" s="1776"/>
      <c r="E96" s="1776"/>
      <c r="F96" s="1776"/>
      <c r="G96" s="1219"/>
      <c r="H96" s="1220"/>
      <c r="I96" s="1220"/>
      <c r="J96" s="549"/>
      <c r="K96" s="549"/>
      <c r="L96" s="549"/>
    </row>
    <row r="97" spans="1:12" s="198" customFormat="1" ht="9" customHeight="1" outlineLevel="1">
      <c r="A97" s="1773" t="s">
        <v>364</v>
      </c>
      <c r="B97" s="1212" t="s">
        <v>368</v>
      </c>
      <c r="C97" s="1213"/>
      <c r="D97" s="1213"/>
      <c r="E97" s="1213"/>
      <c r="F97" s="1213"/>
      <c r="G97" s="1218">
        <v>177.81</v>
      </c>
      <c r="H97" s="1220" t="s">
        <v>1327</v>
      </c>
      <c r="I97" s="1220" t="s">
        <v>1328</v>
      </c>
      <c r="J97" s="549"/>
      <c r="K97" s="549"/>
      <c r="L97" s="549"/>
    </row>
    <row r="98" spans="1:12" s="198" customFormat="1" ht="9" customHeight="1" outlineLevel="1">
      <c r="A98" s="1774"/>
      <c r="B98" s="1775"/>
      <c r="C98" s="1776"/>
      <c r="D98" s="1776"/>
      <c r="E98" s="1776"/>
      <c r="F98" s="1776"/>
      <c r="G98" s="1219"/>
      <c r="H98" s="1220"/>
      <c r="I98" s="1220"/>
      <c r="J98" s="549"/>
      <c r="K98" s="549"/>
      <c r="L98" s="549"/>
    </row>
    <row r="99" spans="1:12" s="198" customFormat="1" ht="9" customHeight="1" outlineLevel="1">
      <c r="A99" s="1773" t="s">
        <v>366</v>
      </c>
      <c r="B99" s="1212" t="s">
        <v>370</v>
      </c>
      <c r="C99" s="1213"/>
      <c r="D99" s="1213"/>
      <c r="E99" s="1213"/>
      <c r="F99" s="1213"/>
      <c r="G99" s="1218">
        <v>384.92</v>
      </c>
      <c r="H99" s="1220" t="s">
        <v>1327</v>
      </c>
      <c r="I99" s="1220" t="s">
        <v>1328</v>
      </c>
      <c r="J99" s="549"/>
      <c r="K99" s="549"/>
      <c r="L99" s="549"/>
    </row>
    <row r="100" spans="1:12" s="198" customFormat="1" ht="9" customHeight="1" outlineLevel="1">
      <c r="A100" s="1774"/>
      <c r="B100" s="1775"/>
      <c r="C100" s="1776"/>
      <c r="D100" s="1776"/>
      <c r="E100" s="1776"/>
      <c r="F100" s="1776"/>
      <c r="G100" s="1219"/>
      <c r="H100" s="1220"/>
      <c r="I100" s="1220"/>
      <c r="J100" s="549"/>
      <c r="K100" s="549"/>
      <c r="L100" s="549"/>
    </row>
    <row r="101" spans="1:12" s="198" customFormat="1" ht="9" customHeight="1" outlineLevel="1">
      <c r="A101" s="1773" t="s">
        <v>367</v>
      </c>
      <c r="B101" s="1212" t="s">
        <v>372</v>
      </c>
      <c r="C101" s="1213"/>
      <c r="D101" s="1213"/>
      <c r="E101" s="1213"/>
      <c r="F101" s="1213"/>
      <c r="G101" s="1218">
        <v>408.19</v>
      </c>
      <c r="H101" s="1220" t="s">
        <v>1327</v>
      </c>
      <c r="I101" s="1220" t="s">
        <v>1328</v>
      </c>
      <c r="J101" s="549"/>
      <c r="K101" s="549"/>
      <c r="L101" s="549"/>
    </row>
    <row r="102" spans="1:12" s="198" customFormat="1" ht="9" customHeight="1" outlineLevel="1">
      <c r="A102" s="1774"/>
      <c r="B102" s="1775"/>
      <c r="C102" s="1776"/>
      <c r="D102" s="1776"/>
      <c r="E102" s="1776"/>
      <c r="F102" s="1776"/>
      <c r="G102" s="1219"/>
      <c r="H102" s="1220"/>
      <c r="I102" s="1220"/>
      <c r="J102" s="549"/>
      <c r="K102" s="549"/>
      <c r="L102" s="549"/>
    </row>
    <row r="103" spans="1:12" s="198" customFormat="1" ht="9" customHeight="1" outlineLevel="1">
      <c r="A103" s="1773" t="s">
        <v>369</v>
      </c>
      <c r="B103" s="1212" t="s">
        <v>373</v>
      </c>
      <c r="C103" s="1213"/>
      <c r="D103" s="1213"/>
      <c r="E103" s="1213"/>
      <c r="F103" s="1213"/>
      <c r="G103" s="1218">
        <v>375.14</v>
      </c>
      <c r="H103" s="1220" t="s">
        <v>1327</v>
      </c>
      <c r="I103" s="1220" t="s">
        <v>1328</v>
      </c>
      <c r="J103" s="549"/>
      <c r="K103" s="549"/>
      <c r="L103" s="549"/>
    </row>
    <row r="104" spans="1:12" s="198" customFormat="1" ht="9" customHeight="1" outlineLevel="1">
      <c r="A104" s="1774"/>
      <c r="B104" s="1775"/>
      <c r="C104" s="1776"/>
      <c r="D104" s="1776"/>
      <c r="E104" s="1776"/>
      <c r="F104" s="1776"/>
      <c r="G104" s="1219"/>
      <c r="H104" s="1220"/>
      <c r="I104" s="1220"/>
      <c r="J104" s="549"/>
      <c r="K104" s="549"/>
      <c r="L104" s="549"/>
    </row>
    <row r="105" spans="1:12" s="198" customFormat="1" ht="9" customHeight="1" outlineLevel="1">
      <c r="A105" s="1773" t="s">
        <v>371</v>
      </c>
      <c r="B105" s="1212" t="s">
        <v>1356</v>
      </c>
      <c r="C105" s="1213"/>
      <c r="D105" s="1213"/>
      <c r="E105" s="1213"/>
      <c r="F105" s="1213"/>
      <c r="G105" s="1229">
        <v>183.89</v>
      </c>
      <c r="H105" s="1220" t="s">
        <v>1327</v>
      </c>
      <c r="I105" s="1220" t="s">
        <v>1328</v>
      </c>
      <c r="J105" s="549"/>
      <c r="K105" s="549"/>
      <c r="L105" s="549"/>
    </row>
    <row r="106" spans="1:12" s="198" customFormat="1" ht="9" customHeight="1" outlineLevel="1">
      <c r="A106" s="1774"/>
      <c r="B106" s="1215"/>
      <c r="C106" s="1216"/>
      <c r="D106" s="1216"/>
      <c r="E106" s="1216"/>
      <c r="F106" s="1216"/>
      <c r="G106" s="1230"/>
      <c r="H106" s="1220"/>
      <c r="I106" s="1220"/>
      <c r="J106" s="549"/>
      <c r="K106" s="549"/>
      <c r="L106" s="549"/>
    </row>
    <row r="107" spans="1:12" s="198" customFormat="1" ht="19.5" customHeight="1" outlineLevel="1">
      <c r="A107" s="1770" t="s">
        <v>374</v>
      </c>
      <c r="B107" s="1771"/>
      <c r="C107" s="1771"/>
      <c r="D107" s="1771"/>
      <c r="E107" s="1771"/>
      <c r="F107" s="1772"/>
      <c r="G107" s="370">
        <f>SUM(G108:G113)</f>
        <v>3567.96</v>
      </c>
      <c r="H107" s="559"/>
      <c r="I107" s="559"/>
      <c r="J107" s="549"/>
      <c r="K107" s="549"/>
      <c r="L107" s="549"/>
    </row>
    <row r="108" spans="1:12" s="198" customFormat="1" ht="9" customHeight="1" outlineLevel="1">
      <c r="A108" s="1210" t="s">
        <v>375</v>
      </c>
      <c r="B108" s="1212" t="s">
        <v>376</v>
      </c>
      <c r="C108" s="1213"/>
      <c r="D108" s="1213"/>
      <c r="E108" s="1213"/>
      <c r="F108" s="1213"/>
      <c r="G108" s="1218">
        <v>483.9</v>
      </c>
      <c r="H108" s="1220" t="s">
        <v>1327</v>
      </c>
      <c r="I108" s="1220" t="s">
        <v>1328</v>
      </c>
      <c r="J108" s="549"/>
      <c r="K108" s="549"/>
      <c r="L108" s="549"/>
    </row>
    <row r="109" spans="1:12" s="198" customFormat="1" ht="9" customHeight="1" outlineLevel="1">
      <c r="A109" s="1211"/>
      <c r="B109" s="1215"/>
      <c r="C109" s="1216"/>
      <c r="D109" s="1216"/>
      <c r="E109" s="1216"/>
      <c r="F109" s="1216"/>
      <c r="G109" s="1219"/>
      <c r="H109" s="1220"/>
      <c r="I109" s="1220"/>
      <c r="J109" s="549"/>
      <c r="K109" s="549"/>
      <c r="L109" s="549"/>
    </row>
    <row r="110" spans="1:12" s="198" customFormat="1" ht="9" customHeight="1" outlineLevel="1">
      <c r="A110" s="1210" t="s">
        <v>377</v>
      </c>
      <c r="B110" s="1212" t="s">
        <v>378</v>
      </c>
      <c r="C110" s="1213"/>
      <c r="D110" s="1213"/>
      <c r="E110" s="1213"/>
      <c r="F110" s="1213"/>
      <c r="G110" s="1218">
        <v>1008.47</v>
      </c>
      <c r="H110" s="1220" t="s">
        <v>1327</v>
      </c>
      <c r="I110" s="1220" t="s">
        <v>1328</v>
      </c>
      <c r="J110" s="549"/>
      <c r="K110" s="549"/>
      <c r="L110" s="549"/>
    </row>
    <row r="111" spans="1:12" s="198" customFormat="1" ht="9" customHeight="1" outlineLevel="1">
      <c r="A111" s="1211"/>
      <c r="B111" s="1215"/>
      <c r="C111" s="1216"/>
      <c r="D111" s="1216"/>
      <c r="E111" s="1216"/>
      <c r="F111" s="1216"/>
      <c r="G111" s="1219"/>
      <c r="H111" s="1220"/>
      <c r="I111" s="1220"/>
      <c r="J111" s="549"/>
      <c r="K111" s="549"/>
      <c r="L111" s="549"/>
    </row>
    <row r="112" spans="1:12" s="198" customFormat="1" ht="9" customHeight="1" outlineLevel="1">
      <c r="A112" s="1210" t="s">
        <v>1375</v>
      </c>
      <c r="B112" s="1212" t="s">
        <v>1357</v>
      </c>
      <c r="C112" s="1213"/>
      <c r="D112" s="1213"/>
      <c r="E112" s="1213"/>
      <c r="F112" s="1213"/>
      <c r="G112" s="1218">
        <v>2075.59</v>
      </c>
      <c r="H112" s="1220" t="s">
        <v>1327</v>
      </c>
      <c r="I112" s="1220" t="s">
        <v>1328</v>
      </c>
      <c r="J112" s="549"/>
      <c r="K112" s="549"/>
      <c r="L112" s="549"/>
    </row>
    <row r="113" spans="1:12" s="198" customFormat="1" ht="9" customHeight="1" outlineLevel="1">
      <c r="A113" s="1211"/>
      <c r="B113" s="1215"/>
      <c r="C113" s="1216"/>
      <c r="D113" s="1216"/>
      <c r="E113" s="1216"/>
      <c r="F113" s="1216"/>
      <c r="G113" s="1219"/>
      <c r="H113" s="1220"/>
      <c r="I113" s="1220"/>
      <c r="J113" s="549"/>
      <c r="K113" s="549"/>
      <c r="L113" s="549"/>
    </row>
    <row r="114" spans="1:12" s="198" customFormat="1" ht="24" customHeight="1" outlineLevel="1">
      <c r="A114" s="1762" t="s">
        <v>379</v>
      </c>
      <c r="B114" s="1763"/>
      <c r="C114" s="1763"/>
      <c r="D114" s="1763"/>
      <c r="E114" s="1763"/>
      <c r="F114" s="1764"/>
      <c r="G114" s="370">
        <f>SUM(G115:G118)-0.01</f>
        <v>1113.23</v>
      </c>
      <c r="H114" s="559"/>
      <c r="I114" s="559"/>
      <c r="J114" s="549"/>
      <c r="K114" s="549"/>
      <c r="L114" s="549"/>
    </row>
    <row r="115" spans="1:12" s="198" customFormat="1" ht="13.5" customHeight="1" outlineLevel="1">
      <c r="A115" s="1210" t="s">
        <v>380</v>
      </c>
      <c r="B115" s="1212" t="s">
        <v>1358</v>
      </c>
      <c r="C115" s="1213"/>
      <c r="D115" s="1213"/>
      <c r="E115" s="1213"/>
      <c r="F115" s="1213"/>
      <c r="G115" s="1229">
        <v>381.36</v>
      </c>
      <c r="H115" s="1220" t="s">
        <v>1327</v>
      </c>
      <c r="I115" s="1220" t="s">
        <v>1328</v>
      </c>
      <c r="J115" s="549"/>
      <c r="K115" s="549"/>
      <c r="L115" s="549"/>
    </row>
    <row r="116" spans="1:12" s="198" customFormat="1" ht="13.5" customHeight="1" outlineLevel="1">
      <c r="A116" s="1211"/>
      <c r="B116" s="1215"/>
      <c r="C116" s="1216"/>
      <c r="D116" s="1216"/>
      <c r="E116" s="1216"/>
      <c r="F116" s="1216"/>
      <c r="G116" s="1230"/>
      <c r="H116" s="1220"/>
      <c r="I116" s="1220"/>
      <c r="J116" s="549"/>
      <c r="K116" s="549"/>
      <c r="L116" s="549"/>
    </row>
    <row r="117" spans="1:12" s="198" customFormat="1" ht="13.5" customHeight="1" outlineLevel="1">
      <c r="A117" s="1210" t="s">
        <v>381</v>
      </c>
      <c r="B117" s="1212" t="s">
        <v>382</v>
      </c>
      <c r="C117" s="1213"/>
      <c r="D117" s="1213"/>
      <c r="E117" s="1213"/>
      <c r="F117" s="1213"/>
      <c r="G117" s="1229">
        <v>731.88</v>
      </c>
      <c r="H117" s="1220" t="s">
        <v>1327</v>
      </c>
      <c r="I117" s="1220" t="s">
        <v>1328</v>
      </c>
      <c r="J117" s="549"/>
      <c r="K117" s="549"/>
      <c r="L117" s="549"/>
    </row>
    <row r="118" spans="1:12" s="198" customFormat="1" ht="13.5" customHeight="1" outlineLevel="1">
      <c r="A118" s="1211"/>
      <c r="B118" s="1215"/>
      <c r="C118" s="1216"/>
      <c r="D118" s="1216"/>
      <c r="E118" s="1216"/>
      <c r="F118" s="1216"/>
      <c r="G118" s="1230"/>
      <c r="H118" s="1220"/>
      <c r="I118" s="1220"/>
      <c r="J118" s="549"/>
      <c r="K118" s="549"/>
      <c r="L118" s="549"/>
    </row>
    <row r="119" spans="1:12" s="198" customFormat="1" ht="19.5" customHeight="1" outlineLevel="1">
      <c r="A119" s="1767" t="s">
        <v>383</v>
      </c>
      <c r="B119" s="1768"/>
      <c r="C119" s="1768"/>
      <c r="D119" s="1768"/>
      <c r="E119" s="1768"/>
      <c r="F119" s="1769"/>
      <c r="G119" s="373">
        <f>G120+G125+G130+G133+G136+G139+G144</f>
        <v>8936.2099999999991</v>
      </c>
      <c r="H119" s="559"/>
      <c r="I119" s="559"/>
      <c r="J119" s="549"/>
      <c r="K119" s="549"/>
      <c r="L119" s="549"/>
    </row>
    <row r="120" spans="1:12" s="198" customFormat="1" ht="27.75" customHeight="1" outlineLevel="1">
      <c r="A120" s="1762" t="s">
        <v>384</v>
      </c>
      <c r="B120" s="1763"/>
      <c r="C120" s="1763"/>
      <c r="D120" s="1763"/>
      <c r="E120" s="1763"/>
      <c r="F120" s="1764"/>
      <c r="G120" s="370">
        <f>SUM(G121:G124)</f>
        <v>2610.25</v>
      </c>
      <c r="H120" s="559"/>
      <c r="I120" s="559"/>
      <c r="J120" s="549"/>
      <c r="K120" s="549"/>
      <c r="L120" s="549"/>
    </row>
    <row r="121" spans="1:12" s="198" customFormat="1" ht="19.5" customHeight="1" outlineLevel="1">
      <c r="A121" s="1765" t="s">
        <v>385</v>
      </c>
      <c r="B121" s="1212" t="s">
        <v>386</v>
      </c>
      <c r="C121" s="1213"/>
      <c r="D121" s="1213"/>
      <c r="E121" s="1213"/>
      <c r="F121" s="1213"/>
      <c r="G121" s="1218">
        <v>2530.13</v>
      </c>
      <c r="H121" s="1220" t="s">
        <v>1327</v>
      </c>
      <c r="I121" s="1220" t="s">
        <v>1328</v>
      </c>
      <c r="J121" s="549"/>
      <c r="K121" s="549"/>
      <c r="L121" s="549"/>
    </row>
    <row r="122" spans="1:12" s="198" customFormat="1" ht="19.5" customHeight="1" outlineLevel="1">
      <c r="A122" s="1766"/>
      <c r="B122" s="1215"/>
      <c r="C122" s="1216"/>
      <c r="D122" s="1216"/>
      <c r="E122" s="1216"/>
      <c r="F122" s="1216"/>
      <c r="G122" s="1219"/>
      <c r="H122" s="1220"/>
      <c r="I122" s="1220"/>
      <c r="J122" s="549"/>
      <c r="K122" s="549"/>
      <c r="L122" s="549"/>
    </row>
    <row r="123" spans="1:12" s="198" customFormat="1" ht="19.5" customHeight="1" outlineLevel="1">
      <c r="A123" s="1765" t="s">
        <v>387</v>
      </c>
      <c r="B123" s="1212" t="s">
        <v>388</v>
      </c>
      <c r="C123" s="1213"/>
      <c r="D123" s="1213"/>
      <c r="E123" s="1213"/>
      <c r="F123" s="1213"/>
      <c r="G123" s="1218">
        <v>80.12</v>
      </c>
      <c r="H123" s="1220" t="s">
        <v>1327</v>
      </c>
      <c r="I123" s="1220" t="s">
        <v>1328</v>
      </c>
      <c r="J123" s="549"/>
      <c r="K123" s="549"/>
      <c r="L123" s="549"/>
    </row>
    <row r="124" spans="1:12" s="198" customFormat="1" ht="19.5" customHeight="1" outlineLevel="1">
      <c r="A124" s="1766"/>
      <c r="B124" s="1215"/>
      <c r="C124" s="1216"/>
      <c r="D124" s="1216"/>
      <c r="E124" s="1216"/>
      <c r="F124" s="1216"/>
      <c r="G124" s="1219"/>
      <c r="H124" s="1220"/>
      <c r="I124" s="1220"/>
      <c r="J124" s="549"/>
      <c r="K124" s="549"/>
      <c r="L124" s="549"/>
    </row>
    <row r="125" spans="1:12" s="198" customFormat="1" ht="19.5" customHeight="1" outlineLevel="1">
      <c r="A125" s="1762" t="s">
        <v>389</v>
      </c>
      <c r="B125" s="1763"/>
      <c r="C125" s="1763"/>
      <c r="D125" s="1763"/>
      <c r="E125" s="1763"/>
      <c r="F125" s="1764"/>
      <c r="G125" s="370">
        <f>SUM(G126:G129)+0.01</f>
        <v>1381.36</v>
      </c>
      <c r="H125" s="559"/>
      <c r="I125" s="559"/>
      <c r="J125" s="549"/>
      <c r="K125" s="549"/>
      <c r="L125" s="549"/>
    </row>
    <row r="126" spans="1:12" s="198" customFormat="1" ht="15" customHeight="1" outlineLevel="1">
      <c r="A126" s="1210" t="s">
        <v>390</v>
      </c>
      <c r="B126" s="1212" t="s">
        <v>391</v>
      </c>
      <c r="C126" s="1213"/>
      <c r="D126" s="1213"/>
      <c r="E126" s="1213"/>
      <c r="F126" s="1213"/>
      <c r="G126" s="1218">
        <v>745.76</v>
      </c>
      <c r="H126" s="1220" t="s">
        <v>1327</v>
      </c>
      <c r="I126" s="1220" t="s">
        <v>1328</v>
      </c>
      <c r="J126" s="549"/>
      <c r="K126" s="549"/>
      <c r="L126" s="549"/>
    </row>
    <row r="127" spans="1:12" s="198" customFormat="1" ht="15" customHeight="1" outlineLevel="1">
      <c r="A127" s="1211"/>
      <c r="B127" s="1215"/>
      <c r="C127" s="1216"/>
      <c r="D127" s="1216"/>
      <c r="E127" s="1216"/>
      <c r="F127" s="1216"/>
      <c r="G127" s="1219"/>
      <c r="H127" s="1220"/>
      <c r="I127" s="1220"/>
      <c r="J127" s="549"/>
      <c r="K127" s="549"/>
      <c r="L127" s="549"/>
    </row>
    <row r="128" spans="1:12" s="198" customFormat="1" ht="15" customHeight="1" outlineLevel="1">
      <c r="A128" s="1210" t="s">
        <v>392</v>
      </c>
      <c r="B128" s="1212" t="s">
        <v>393</v>
      </c>
      <c r="C128" s="1213"/>
      <c r="D128" s="1213"/>
      <c r="E128" s="1213"/>
      <c r="F128" s="1213"/>
      <c r="G128" s="1218">
        <v>635.59</v>
      </c>
      <c r="H128" s="1220" t="s">
        <v>1327</v>
      </c>
      <c r="I128" s="1220" t="s">
        <v>1328</v>
      </c>
      <c r="J128" s="549"/>
      <c r="K128" s="549"/>
      <c r="L128" s="549"/>
    </row>
    <row r="129" spans="1:12" s="198" customFormat="1" ht="15" customHeight="1" outlineLevel="1">
      <c r="A129" s="1211"/>
      <c r="B129" s="1215"/>
      <c r="C129" s="1216"/>
      <c r="D129" s="1216"/>
      <c r="E129" s="1216"/>
      <c r="F129" s="1216"/>
      <c r="G129" s="1219"/>
      <c r="H129" s="1220"/>
      <c r="I129" s="1220"/>
      <c r="J129" s="549"/>
      <c r="K129" s="549"/>
      <c r="L129" s="549"/>
    </row>
    <row r="130" spans="1:12" s="198" customFormat="1" ht="19.5" customHeight="1" outlineLevel="1">
      <c r="A130" s="1762" t="s">
        <v>394</v>
      </c>
      <c r="B130" s="1763"/>
      <c r="C130" s="1763"/>
      <c r="D130" s="1763"/>
      <c r="E130" s="1763"/>
      <c r="F130" s="1764"/>
      <c r="G130" s="370">
        <f>G131</f>
        <v>872.57</v>
      </c>
      <c r="H130" s="559"/>
      <c r="I130" s="559"/>
      <c r="J130" s="549"/>
      <c r="K130" s="549"/>
      <c r="L130" s="549"/>
    </row>
    <row r="131" spans="1:12" s="198" customFormat="1" ht="10.5" customHeight="1" outlineLevel="1">
      <c r="A131" s="1210" t="s">
        <v>395</v>
      </c>
      <c r="B131" s="1212" t="s">
        <v>396</v>
      </c>
      <c r="C131" s="1213"/>
      <c r="D131" s="1213"/>
      <c r="E131" s="1213"/>
      <c r="F131" s="1213"/>
      <c r="G131" s="1218">
        <v>872.57</v>
      </c>
      <c r="H131" s="1220" t="s">
        <v>1327</v>
      </c>
      <c r="I131" s="1220" t="s">
        <v>1328</v>
      </c>
      <c r="J131" s="549"/>
      <c r="K131" s="549"/>
      <c r="L131" s="549"/>
    </row>
    <row r="132" spans="1:12" s="198" customFormat="1" ht="10.5" customHeight="1" outlineLevel="1">
      <c r="A132" s="1211"/>
      <c r="B132" s="1215"/>
      <c r="C132" s="1216"/>
      <c r="D132" s="1216"/>
      <c r="E132" s="1216"/>
      <c r="F132" s="1216"/>
      <c r="G132" s="1219"/>
      <c r="H132" s="1220"/>
      <c r="I132" s="1220"/>
      <c r="J132" s="549"/>
      <c r="K132" s="549"/>
      <c r="L132" s="549"/>
    </row>
    <row r="133" spans="1:12" s="198" customFormat="1" ht="19.5" customHeight="1" outlineLevel="1">
      <c r="A133" s="1762" t="s">
        <v>397</v>
      </c>
      <c r="B133" s="1763"/>
      <c r="C133" s="1763"/>
      <c r="D133" s="1763"/>
      <c r="E133" s="1763"/>
      <c r="F133" s="1764"/>
      <c r="G133" s="370">
        <f>SUM(G134:G135)</f>
        <v>390.34</v>
      </c>
      <c r="H133" s="559"/>
      <c r="I133" s="559"/>
      <c r="J133" s="549"/>
      <c r="K133" s="549"/>
      <c r="L133" s="549"/>
    </row>
    <row r="134" spans="1:12" s="198" customFormat="1" ht="16.5" customHeight="1" outlineLevel="1">
      <c r="A134" s="1765" t="s">
        <v>398</v>
      </c>
      <c r="B134" s="1212" t="s">
        <v>399</v>
      </c>
      <c r="C134" s="1213"/>
      <c r="D134" s="1213"/>
      <c r="E134" s="1213"/>
      <c r="F134" s="1213"/>
      <c r="G134" s="1218">
        <v>390.34</v>
      </c>
      <c r="H134" s="1220" t="s">
        <v>1327</v>
      </c>
      <c r="I134" s="1220" t="s">
        <v>1328</v>
      </c>
      <c r="J134" s="549"/>
      <c r="K134" s="549"/>
      <c r="L134" s="549"/>
    </row>
    <row r="135" spans="1:12" s="198" customFormat="1" ht="9" customHeight="1" outlineLevel="1">
      <c r="A135" s="1766"/>
      <c r="B135" s="1215"/>
      <c r="C135" s="1216"/>
      <c r="D135" s="1216"/>
      <c r="E135" s="1216"/>
      <c r="F135" s="1216"/>
      <c r="G135" s="1219"/>
      <c r="H135" s="1220"/>
      <c r="I135" s="1220"/>
      <c r="J135" s="549"/>
      <c r="K135" s="549"/>
      <c r="L135" s="549"/>
    </row>
    <row r="136" spans="1:12" s="198" customFormat="1" ht="19.5" customHeight="1" outlineLevel="1">
      <c r="A136" s="1762" t="s">
        <v>400</v>
      </c>
      <c r="B136" s="1763"/>
      <c r="C136" s="1763"/>
      <c r="D136" s="1763"/>
      <c r="E136" s="1763"/>
      <c r="F136" s="1764"/>
      <c r="G136" s="370">
        <f>G137</f>
        <v>1743.17</v>
      </c>
      <c r="H136" s="559"/>
      <c r="I136" s="559"/>
      <c r="J136" s="549"/>
      <c r="K136" s="549"/>
      <c r="L136" s="549"/>
    </row>
    <row r="137" spans="1:12" s="198" customFormat="1" ht="19.5" customHeight="1" outlineLevel="1">
      <c r="A137" s="1765" t="s">
        <v>401</v>
      </c>
      <c r="B137" s="1212" t="s">
        <v>402</v>
      </c>
      <c r="C137" s="1213"/>
      <c r="D137" s="1213"/>
      <c r="E137" s="1213"/>
      <c r="F137" s="1213"/>
      <c r="G137" s="1218">
        <v>1743.17</v>
      </c>
      <c r="H137" s="1220" t="s">
        <v>1327</v>
      </c>
      <c r="I137" s="1220" t="s">
        <v>1328</v>
      </c>
      <c r="J137" s="549"/>
      <c r="K137" s="549"/>
      <c r="L137" s="549"/>
    </row>
    <row r="138" spans="1:12" s="198" customFormat="1" ht="19.5" customHeight="1" outlineLevel="1">
      <c r="A138" s="1766"/>
      <c r="B138" s="1215"/>
      <c r="C138" s="1216"/>
      <c r="D138" s="1216"/>
      <c r="E138" s="1216"/>
      <c r="F138" s="1216"/>
      <c r="G138" s="1219"/>
      <c r="H138" s="1220"/>
      <c r="I138" s="1220"/>
      <c r="J138" s="549"/>
      <c r="K138" s="549"/>
      <c r="L138" s="549"/>
    </row>
    <row r="139" spans="1:12" s="198" customFormat="1" ht="19.5" customHeight="1" outlineLevel="1">
      <c r="A139" s="1762" t="s">
        <v>403</v>
      </c>
      <c r="B139" s="1763"/>
      <c r="C139" s="1763"/>
      <c r="D139" s="1763"/>
      <c r="E139" s="1763"/>
      <c r="F139" s="1764"/>
      <c r="G139" s="370">
        <f>SUM(G140:G143)</f>
        <v>614.68999999999994</v>
      </c>
      <c r="H139" s="559"/>
      <c r="I139" s="559"/>
      <c r="J139" s="549"/>
      <c r="K139" s="549"/>
      <c r="L139" s="549"/>
    </row>
    <row r="140" spans="1:12" s="198" customFormat="1" ht="10.5" customHeight="1" outlineLevel="1">
      <c r="A140" s="1765" t="s">
        <v>404</v>
      </c>
      <c r="B140" s="1212" t="s">
        <v>405</v>
      </c>
      <c r="C140" s="1213"/>
      <c r="D140" s="1213"/>
      <c r="E140" s="1213"/>
      <c r="F140" s="1213"/>
      <c r="G140" s="1218">
        <v>430.53</v>
      </c>
      <c r="H140" s="1220" t="s">
        <v>1327</v>
      </c>
      <c r="I140" s="1220" t="s">
        <v>1328</v>
      </c>
      <c r="J140" s="549"/>
      <c r="K140" s="549"/>
      <c r="L140" s="549"/>
    </row>
    <row r="141" spans="1:12" s="198" customFormat="1" ht="10.5" customHeight="1" outlineLevel="1">
      <c r="A141" s="1766"/>
      <c r="B141" s="1215"/>
      <c r="C141" s="1216"/>
      <c r="D141" s="1216"/>
      <c r="E141" s="1216"/>
      <c r="F141" s="1216"/>
      <c r="G141" s="1219"/>
      <c r="H141" s="1220"/>
      <c r="I141" s="1220"/>
      <c r="J141" s="549"/>
      <c r="K141" s="549"/>
      <c r="L141" s="549"/>
    </row>
    <row r="142" spans="1:12" s="198" customFormat="1" ht="10.5" customHeight="1" outlineLevel="1">
      <c r="A142" s="1765" t="s">
        <v>406</v>
      </c>
      <c r="B142" s="1212" t="s">
        <v>407</v>
      </c>
      <c r="C142" s="1213"/>
      <c r="D142" s="1213"/>
      <c r="E142" s="1213"/>
      <c r="F142" s="1213"/>
      <c r="G142" s="1218">
        <v>184.16</v>
      </c>
      <c r="H142" s="1220" t="s">
        <v>1327</v>
      </c>
      <c r="I142" s="1220" t="s">
        <v>1328</v>
      </c>
      <c r="J142" s="549"/>
      <c r="K142" s="549"/>
      <c r="L142" s="549"/>
    </row>
    <row r="143" spans="1:12" s="198" customFormat="1" ht="10.5" customHeight="1" outlineLevel="1">
      <c r="A143" s="1766"/>
      <c r="B143" s="1215"/>
      <c r="C143" s="1216"/>
      <c r="D143" s="1216"/>
      <c r="E143" s="1216"/>
      <c r="F143" s="1216"/>
      <c r="G143" s="1219"/>
      <c r="H143" s="1220"/>
      <c r="I143" s="1220"/>
      <c r="J143" s="549"/>
      <c r="K143" s="549"/>
      <c r="L143" s="549"/>
    </row>
    <row r="144" spans="1:12" s="198" customFormat="1" ht="19.5" customHeight="1" outlineLevel="1">
      <c r="A144" s="1762" t="s">
        <v>408</v>
      </c>
      <c r="B144" s="1763"/>
      <c r="C144" s="1763"/>
      <c r="D144" s="1763"/>
      <c r="E144" s="1763"/>
      <c r="F144" s="1764"/>
      <c r="G144" s="370">
        <f>G145</f>
        <v>1323.83</v>
      </c>
      <c r="H144" s="559"/>
      <c r="I144" s="559"/>
      <c r="J144" s="549"/>
      <c r="K144" s="549"/>
      <c r="L144" s="549"/>
    </row>
    <row r="145" spans="1:12" s="198" customFormat="1" ht="11.25" customHeight="1" outlineLevel="1">
      <c r="A145" s="1765" t="s">
        <v>409</v>
      </c>
      <c r="B145" s="1212" t="s">
        <v>1359</v>
      </c>
      <c r="C145" s="1213"/>
      <c r="D145" s="1213"/>
      <c r="E145" s="1213"/>
      <c r="F145" s="1213"/>
      <c r="G145" s="1218">
        <v>1323.83</v>
      </c>
      <c r="H145" s="1220" t="s">
        <v>1327</v>
      </c>
      <c r="I145" s="1220" t="s">
        <v>1328</v>
      </c>
      <c r="J145" s="549"/>
      <c r="K145" s="549"/>
      <c r="L145" s="549"/>
    </row>
    <row r="146" spans="1:12" s="198" customFormat="1" ht="11.25" customHeight="1" outlineLevel="1">
      <c r="A146" s="1766"/>
      <c r="B146" s="1215"/>
      <c r="C146" s="1216"/>
      <c r="D146" s="1216"/>
      <c r="E146" s="1216"/>
      <c r="F146" s="1216"/>
      <c r="G146" s="1219"/>
      <c r="H146" s="1220"/>
      <c r="I146" s="1220"/>
      <c r="J146" s="549"/>
      <c r="K146" s="549"/>
      <c r="L146" s="549"/>
    </row>
    <row r="147" spans="1:12" s="198" customFormat="1" ht="19.5" customHeight="1" outlineLevel="1">
      <c r="A147" s="1767" t="s">
        <v>410</v>
      </c>
      <c r="B147" s="1768"/>
      <c r="C147" s="1768"/>
      <c r="D147" s="1768"/>
      <c r="E147" s="1768"/>
      <c r="F147" s="1769"/>
      <c r="G147" s="373">
        <f>G148+G151</f>
        <v>8126.51</v>
      </c>
      <c r="H147" s="559"/>
      <c r="I147" s="559"/>
      <c r="J147" s="549"/>
      <c r="K147" s="549"/>
      <c r="L147" s="549"/>
    </row>
    <row r="148" spans="1:12" s="198" customFormat="1" ht="19.5" customHeight="1" outlineLevel="1">
      <c r="A148" s="1762" t="s">
        <v>411</v>
      </c>
      <c r="B148" s="1763"/>
      <c r="C148" s="1763"/>
      <c r="D148" s="1763"/>
      <c r="E148" s="1763"/>
      <c r="F148" s="1764"/>
      <c r="G148" s="370">
        <f>G149</f>
        <v>211.86</v>
      </c>
      <c r="H148" s="559"/>
      <c r="I148" s="559"/>
      <c r="J148" s="549"/>
      <c r="K148" s="549"/>
      <c r="L148" s="549"/>
    </row>
    <row r="149" spans="1:12" s="198" customFormat="1" ht="10.5" customHeight="1" outlineLevel="1">
      <c r="A149" s="1210" t="s">
        <v>419</v>
      </c>
      <c r="B149" s="1212" t="s">
        <v>412</v>
      </c>
      <c r="C149" s="1213"/>
      <c r="D149" s="1213"/>
      <c r="E149" s="1213"/>
      <c r="F149" s="1213"/>
      <c r="G149" s="1218">
        <v>211.86</v>
      </c>
      <c r="H149" s="1220" t="s">
        <v>1327</v>
      </c>
      <c r="I149" s="1220" t="s">
        <v>1328</v>
      </c>
      <c r="J149" s="549"/>
      <c r="K149" s="549"/>
      <c r="L149" s="549"/>
    </row>
    <row r="150" spans="1:12" s="198" customFormat="1" ht="10.5" customHeight="1" outlineLevel="1">
      <c r="A150" s="1211"/>
      <c r="B150" s="1215"/>
      <c r="C150" s="1216"/>
      <c r="D150" s="1216"/>
      <c r="E150" s="1216"/>
      <c r="F150" s="1216"/>
      <c r="G150" s="1219"/>
      <c r="H150" s="1220"/>
      <c r="I150" s="1220"/>
      <c r="J150" s="549"/>
      <c r="K150" s="549"/>
      <c r="L150" s="549"/>
    </row>
    <row r="151" spans="1:12" s="198" customFormat="1" ht="19.5" customHeight="1" outlineLevel="1">
      <c r="A151" s="1762" t="s">
        <v>413</v>
      </c>
      <c r="B151" s="1763"/>
      <c r="C151" s="1763"/>
      <c r="D151" s="1763"/>
      <c r="E151" s="1763"/>
      <c r="F151" s="1764"/>
      <c r="G151" s="370">
        <f>SUM(G152:G159)</f>
        <v>7914.6500000000005</v>
      </c>
      <c r="H151" s="559"/>
      <c r="I151" s="559"/>
      <c r="J151" s="549"/>
      <c r="K151" s="549"/>
      <c r="L151" s="549"/>
    </row>
    <row r="152" spans="1:12" s="198" customFormat="1" ht="11.25" customHeight="1" outlineLevel="1">
      <c r="A152" s="1210" t="s">
        <v>421</v>
      </c>
      <c r="B152" s="1212" t="s">
        <v>1360</v>
      </c>
      <c r="C152" s="1213"/>
      <c r="D152" s="1213"/>
      <c r="E152" s="1213"/>
      <c r="F152" s="1213"/>
      <c r="G152" s="1218">
        <v>692.37</v>
      </c>
      <c r="H152" s="1220" t="s">
        <v>1327</v>
      </c>
      <c r="I152" s="1220" t="s">
        <v>1328</v>
      </c>
      <c r="J152" s="549"/>
      <c r="K152" s="549"/>
      <c r="L152" s="549"/>
    </row>
    <row r="153" spans="1:12" s="198" customFormat="1" ht="11.25" customHeight="1" outlineLevel="1">
      <c r="A153" s="1211"/>
      <c r="B153" s="1215"/>
      <c r="C153" s="1216"/>
      <c r="D153" s="1216"/>
      <c r="E153" s="1216"/>
      <c r="F153" s="1216"/>
      <c r="G153" s="1219"/>
      <c r="H153" s="1220"/>
      <c r="I153" s="1220"/>
      <c r="J153" s="549"/>
      <c r="K153" s="549"/>
      <c r="L153" s="549"/>
    </row>
    <row r="154" spans="1:12" s="198" customFormat="1" ht="11.25" customHeight="1" outlineLevel="1">
      <c r="A154" s="1210" t="s">
        <v>422</v>
      </c>
      <c r="B154" s="1212" t="s">
        <v>414</v>
      </c>
      <c r="C154" s="1213"/>
      <c r="D154" s="1213"/>
      <c r="E154" s="1213"/>
      <c r="F154" s="1213"/>
      <c r="G154" s="1218">
        <v>430.25</v>
      </c>
      <c r="H154" s="1220" t="s">
        <v>1327</v>
      </c>
      <c r="I154" s="1220" t="s">
        <v>1328</v>
      </c>
      <c r="J154" s="549"/>
      <c r="K154" s="549"/>
      <c r="L154" s="549"/>
    </row>
    <row r="155" spans="1:12" s="198" customFormat="1" ht="11.25" customHeight="1" outlineLevel="1">
      <c r="A155" s="1211"/>
      <c r="B155" s="1215"/>
      <c r="C155" s="1216"/>
      <c r="D155" s="1216"/>
      <c r="E155" s="1216"/>
      <c r="F155" s="1216"/>
      <c r="G155" s="1219"/>
      <c r="H155" s="1220"/>
      <c r="I155" s="1220"/>
      <c r="J155" s="549"/>
      <c r="K155" s="549"/>
      <c r="L155" s="549"/>
    </row>
    <row r="156" spans="1:12" s="198" customFormat="1" ht="11.25" customHeight="1" outlineLevel="1">
      <c r="A156" s="1210" t="s">
        <v>423</v>
      </c>
      <c r="B156" s="1212" t="s">
        <v>415</v>
      </c>
      <c r="C156" s="1213"/>
      <c r="D156" s="1213"/>
      <c r="E156" s="1213"/>
      <c r="F156" s="1213"/>
      <c r="G156" s="1218">
        <v>5792.43</v>
      </c>
      <c r="H156" s="1220" t="s">
        <v>1327</v>
      </c>
      <c r="I156" s="1220" t="s">
        <v>1328</v>
      </c>
      <c r="J156" s="549"/>
      <c r="K156" s="549"/>
      <c r="L156" s="549"/>
    </row>
    <row r="157" spans="1:12" s="198" customFormat="1" ht="11.25" customHeight="1" outlineLevel="1">
      <c r="A157" s="1211"/>
      <c r="B157" s="1215"/>
      <c r="C157" s="1216"/>
      <c r="D157" s="1216"/>
      <c r="E157" s="1216"/>
      <c r="F157" s="1216"/>
      <c r="G157" s="1219"/>
      <c r="H157" s="1220"/>
      <c r="I157" s="1220"/>
      <c r="J157" s="549"/>
      <c r="K157" s="549"/>
      <c r="L157" s="549"/>
    </row>
    <row r="158" spans="1:12" s="198" customFormat="1" ht="11.25" customHeight="1" outlineLevel="1">
      <c r="A158" s="1210" t="s">
        <v>912</v>
      </c>
      <c r="B158" s="1212" t="s">
        <v>1361</v>
      </c>
      <c r="C158" s="1213"/>
      <c r="D158" s="1213"/>
      <c r="E158" s="1213"/>
      <c r="F158" s="1213"/>
      <c r="G158" s="1218">
        <v>999.6</v>
      </c>
      <c r="H158" s="1220" t="s">
        <v>1327</v>
      </c>
      <c r="I158" s="1220" t="s">
        <v>1328</v>
      </c>
      <c r="J158" s="549"/>
      <c r="K158" s="549"/>
      <c r="L158" s="549"/>
    </row>
    <row r="159" spans="1:12" s="198" customFormat="1" ht="11.25" customHeight="1" outlineLevel="1">
      <c r="A159" s="1211"/>
      <c r="B159" s="1215"/>
      <c r="C159" s="1216"/>
      <c r="D159" s="1216"/>
      <c r="E159" s="1216"/>
      <c r="F159" s="1216"/>
      <c r="G159" s="1219"/>
      <c r="H159" s="1220"/>
      <c r="I159" s="1220"/>
      <c r="J159" s="549"/>
      <c r="K159" s="549"/>
      <c r="L159" s="549"/>
    </row>
    <row r="160" spans="1:12" s="198" customFormat="1" ht="19.5" hidden="1" customHeight="1" outlineLevel="1">
      <c r="A160" s="1759" t="s">
        <v>124</v>
      </c>
      <c r="B160" s="1760"/>
      <c r="C160" s="1760"/>
      <c r="D160" s="1760"/>
      <c r="E160" s="1760"/>
      <c r="F160" s="1761"/>
      <c r="G160" s="370">
        <f>SUM(G161:G174)</f>
        <v>8441.2000000000007</v>
      </c>
      <c r="H160" s="559"/>
      <c r="I160" s="559"/>
      <c r="J160" s="549"/>
      <c r="K160" s="549"/>
      <c r="L160" s="549"/>
    </row>
    <row r="161" spans="1:12" s="198" customFormat="1" ht="30" hidden="1" customHeight="1" outlineLevel="1">
      <c r="A161" s="563" t="s">
        <v>259</v>
      </c>
      <c r="B161" s="1212" t="s">
        <v>1362</v>
      </c>
      <c r="C161" s="1213"/>
      <c r="D161" s="1213"/>
      <c r="E161" s="1213"/>
      <c r="F161" s="1213"/>
      <c r="G161" s="564">
        <v>4000</v>
      </c>
      <c r="H161" s="1220" t="s">
        <v>1327</v>
      </c>
      <c r="I161" s="1220" t="s">
        <v>1328</v>
      </c>
      <c r="J161" s="549"/>
      <c r="K161" s="549"/>
      <c r="L161" s="549"/>
    </row>
    <row r="162" spans="1:12" s="198" customFormat="1" ht="30" hidden="1" customHeight="1" outlineLevel="1">
      <c r="A162" s="563" t="s">
        <v>260</v>
      </c>
      <c r="B162" s="1188" t="s">
        <v>1363</v>
      </c>
      <c r="C162" s="1189"/>
      <c r="D162" s="1189"/>
      <c r="E162" s="1189"/>
      <c r="F162" s="1189"/>
      <c r="G162" s="564">
        <f>885-53.44</f>
        <v>831.56</v>
      </c>
      <c r="H162" s="1220"/>
      <c r="I162" s="1220"/>
      <c r="J162" s="549"/>
      <c r="K162" s="549"/>
      <c r="L162" s="549"/>
    </row>
    <row r="163" spans="1:12" s="198" customFormat="1" ht="30" hidden="1" customHeight="1" outlineLevel="1">
      <c r="A163" s="563" t="s">
        <v>261</v>
      </c>
      <c r="B163" s="1188" t="s">
        <v>1364</v>
      </c>
      <c r="C163" s="1189"/>
      <c r="D163" s="1189"/>
      <c r="E163" s="1189"/>
      <c r="F163" s="1189"/>
      <c r="G163" s="564">
        <v>235</v>
      </c>
      <c r="H163" s="1220" t="s">
        <v>1327</v>
      </c>
      <c r="I163" s="1220" t="s">
        <v>1328</v>
      </c>
      <c r="J163" s="549"/>
      <c r="K163" s="549"/>
      <c r="L163" s="549"/>
    </row>
    <row r="164" spans="1:12" s="198" customFormat="1" ht="30" hidden="1" customHeight="1" outlineLevel="1">
      <c r="A164" s="563" t="s">
        <v>262</v>
      </c>
      <c r="B164" s="1224" t="s">
        <v>1365</v>
      </c>
      <c r="C164" s="1225"/>
      <c r="D164" s="1225"/>
      <c r="E164" s="1225"/>
      <c r="F164" s="1225"/>
      <c r="G164" s="564">
        <v>197</v>
      </c>
      <c r="H164" s="1220"/>
      <c r="I164" s="1220"/>
      <c r="J164" s="549"/>
      <c r="K164" s="549"/>
      <c r="L164" s="549"/>
    </row>
    <row r="165" spans="1:12" s="198" customFormat="1" ht="69.75" hidden="1" customHeight="1" outlineLevel="1">
      <c r="A165" s="563" t="s">
        <v>263</v>
      </c>
      <c r="B165" s="1188" t="s">
        <v>1366</v>
      </c>
      <c r="C165" s="1189"/>
      <c r="D165" s="1189"/>
      <c r="E165" s="1189"/>
      <c r="F165" s="1189"/>
      <c r="G165" s="565">
        <v>510</v>
      </c>
      <c r="H165" s="1220" t="s">
        <v>1327</v>
      </c>
      <c r="I165" s="1220" t="s">
        <v>1328</v>
      </c>
      <c r="J165" s="549"/>
      <c r="K165" s="549"/>
      <c r="L165" s="549"/>
    </row>
    <row r="166" spans="1:12" s="198" customFormat="1" ht="81" hidden="1" customHeight="1" outlineLevel="1">
      <c r="A166" s="563" t="s">
        <v>264</v>
      </c>
      <c r="B166" s="1224" t="s">
        <v>416</v>
      </c>
      <c r="C166" s="1225"/>
      <c r="D166" s="1225"/>
      <c r="E166" s="1225"/>
      <c r="F166" s="1225"/>
      <c r="G166" s="564">
        <v>187.5</v>
      </c>
      <c r="H166" s="1220"/>
      <c r="I166" s="1220"/>
      <c r="J166" s="549"/>
      <c r="K166" s="549"/>
      <c r="L166" s="549"/>
    </row>
    <row r="167" spans="1:12" s="198" customFormat="1" ht="30" hidden="1" customHeight="1" outlineLevel="1">
      <c r="A167" s="563" t="s">
        <v>265</v>
      </c>
      <c r="B167" s="1224" t="s">
        <v>1367</v>
      </c>
      <c r="C167" s="1227"/>
      <c r="D167" s="1227"/>
      <c r="E167" s="1227"/>
      <c r="F167" s="1227"/>
      <c r="G167" s="564">
        <v>70.8</v>
      </c>
      <c r="H167" s="1220" t="s">
        <v>1327</v>
      </c>
      <c r="I167" s="1220" t="s">
        <v>1328</v>
      </c>
      <c r="J167" s="549"/>
      <c r="K167" s="549"/>
      <c r="L167" s="549"/>
    </row>
    <row r="168" spans="1:12" s="198" customFormat="1" ht="39.75" hidden="1" customHeight="1" outlineLevel="1">
      <c r="A168" s="563" t="s">
        <v>266</v>
      </c>
      <c r="B168" s="1188" t="s">
        <v>1368</v>
      </c>
      <c r="C168" s="1189"/>
      <c r="D168" s="1189"/>
      <c r="E168" s="1189"/>
      <c r="F168" s="1189"/>
      <c r="G168" s="564">
        <v>30</v>
      </c>
      <c r="H168" s="1220"/>
      <c r="I168" s="1220"/>
      <c r="J168" s="549"/>
      <c r="K168" s="549"/>
      <c r="L168" s="549"/>
    </row>
    <row r="169" spans="1:12" s="198" customFormat="1" ht="30" hidden="1" customHeight="1" outlineLevel="1">
      <c r="A169" s="563" t="s">
        <v>267</v>
      </c>
      <c r="B169" s="1188" t="s">
        <v>417</v>
      </c>
      <c r="C169" s="1189"/>
      <c r="D169" s="1189"/>
      <c r="E169" s="1189"/>
      <c r="F169" s="1189"/>
      <c r="G169" s="564">
        <v>890</v>
      </c>
      <c r="H169" s="1220" t="s">
        <v>1327</v>
      </c>
      <c r="I169" s="1220" t="s">
        <v>1328</v>
      </c>
      <c r="J169" s="549"/>
      <c r="K169" s="549"/>
      <c r="L169" s="549"/>
    </row>
    <row r="170" spans="1:12" s="198" customFormat="1" ht="41.25" hidden="1" customHeight="1" outlineLevel="1">
      <c r="A170" s="563" t="s">
        <v>268</v>
      </c>
      <c r="B170" s="1188" t="s">
        <v>1369</v>
      </c>
      <c r="C170" s="1189"/>
      <c r="D170" s="1189"/>
      <c r="E170" s="1189"/>
      <c r="F170" s="1189"/>
      <c r="G170" s="564">
        <v>360.34</v>
      </c>
      <c r="H170" s="1220"/>
      <c r="I170" s="1220"/>
      <c r="J170" s="549"/>
      <c r="K170" s="549"/>
      <c r="L170" s="549"/>
    </row>
    <row r="171" spans="1:12" s="198" customFormat="1" ht="30" hidden="1" customHeight="1" outlineLevel="1">
      <c r="A171" s="563" t="s">
        <v>1298</v>
      </c>
      <c r="B171" s="1188" t="s">
        <v>1370</v>
      </c>
      <c r="C171" s="1189"/>
      <c r="D171" s="1189"/>
      <c r="E171" s="1189"/>
      <c r="F171" s="1189"/>
      <c r="G171" s="564">
        <v>15</v>
      </c>
      <c r="H171" s="1220" t="s">
        <v>1327</v>
      </c>
      <c r="I171" s="1220" t="s">
        <v>1328</v>
      </c>
      <c r="J171" s="549"/>
      <c r="K171" s="549"/>
      <c r="L171" s="549"/>
    </row>
    <row r="172" spans="1:12" s="198" customFormat="1" ht="27.75" hidden="1" customHeight="1" outlineLevel="1">
      <c r="A172" s="563" t="s">
        <v>1299</v>
      </c>
      <c r="B172" s="1188" t="s">
        <v>1371</v>
      </c>
      <c r="C172" s="1189"/>
      <c r="D172" s="1189"/>
      <c r="E172" s="1189"/>
      <c r="F172" s="1189"/>
      <c r="G172" s="564">
        <v>1100</v>
      </c>
      <c r="H172" s="1220"/>
      <c r="I172" s="1220"/>
      <c r="J172" s="549"/>
      <c r="K172" s="549"/>
      <c r="L172" s="549"/>
    </row>
    <row r="173" spans="1:12" s="198" customFormat="1" ht="42" hidden="1" customHeight="1" outlineLevel="1">
      <c r="A173" s="563" t="s">
        <v>1376</v>
      </c>
      <c r="B173" s="1188" t="s">
        <v>1372</v>
      </c>
      <c r="C173" s="1189"/>
      <c r="D173" s="1189"/>
      <c r="E173" s="1189"/>
      <c r="F173" s="1189"/>
      <c r="G173" s="564">
        <v>10</v>
      </c>
      <c r="H173" s="1220" t="s">
        <v>1327</v>
      </c>
      <c r="I173" s="1220" t="s">
        <v>1328</v>
      </c>
      <c r="J173" s="549"/>
      <c r="K173" s="549"/>
      <c r="L173" s="549"/>
    </row>
    <row r="174" spans="1:12" s="198" customFormat="1" ht="27" hidden="1" customHeight="1" outlineLevel="1">
      <c r="A174" s="563" t="s">
        <v>1377</v>
      </c>
      <c r="B174" s="1188" t="s">
        <v>1373</v>
      </c>
      <c r="C174" s="1189"/>
      <c r="D174" s="1189"/>
      <c r="E174" s="1189"/>
      <c r="F174" s="1189"/>
      <c r="G174" s="564">
        <v>4</v>
      </c>
      <c r="H174" s="1220"/>
      <c r="I174" s="1220"/>
      <c r="J174" s="549"/>
      <c r="K174" s="549"/>
      <c r="L174" s="549"/>
    </row>
    <row r="175" spans="1:12" s="198" customFormat="1" ht="27" customHeight="1" outlineLevel="1">
      <c r="A175" s="1756" t="s">
        <v>1297</v>
      </c>
      <c r="B175" s="1757"/>
      <c r="C175" s="1757"/>
      <c r="D175" s="1757"/>
      <c r="E175" s="1757"/>
      <c r="F175" s="1758"/>
      <c r="G175" s="566">
        <f>G7+G147</f>
        <v>56226.520000000004</v>
      </c>
      <c r="H175" s="559"/>
      <c r="I175" s="567"/>
      <c r="J175" s="549"/>
      <c r="K175" s="549"/>
      <c r="L175" s="549"/>
    </row>
    <row r="176" spans="1:12" ht="18.75">
      <c r="A176" s="1737" t="s">
        <v>319</v>
      </c>
      <c r="B176" s="1738"/>
      <c r="C176" s="1738"/>
      <c r="D176" s="1738"/>
      <c r="E176" s="1738"/>
      <c r="F176" s="1738"/>
      <c r="G176" s="1737"/>
      <c r="H176" s="1737"/>
      <c r="I176" s="1737"/>
      <c r="J176" s="550"/>
      <c r="K176" s="550"/>
      <c r="L176" s="550"/>
    </row>
    <row r="177" spans="1:12" ht="18.75" hidden="1">
      <c r="A177" s="1842" t="s">
        <v>469</v>
      </c>
      <c r="B177" s="1843"/>
      <c r="C177" s="1843"/>
      <c r="D177" s="1843"/>
      <c r="E177" s="1843"/>
      <c r="F177" s="1844"/>
      <c r="G177" s="906">
        <f>SUM(G178:G217)</f>
        <v>31647.765903</v>
      </c>
      <c r="H177" s="876"/>
      <c r="I177" s="876"/>
      <c r="J177" s="827"/>
      <c r="K177" s="827"/>
      <c r="L177" s="827"/>
    </row>
    <row r="178" spans="1:12" s="369" customFormat="1" ht="15" hidden="1" customHeight="1">
      <c r="A178" s="1744" t="s">
        <v>137</v>
      </c>
      <c r="B178" s="1746" t="s">
        <v>729</v>
      </c>
      <c r="C178" s="1749"/>
      <c r="D178" s="1749"/>
      <c r="E178" s="1749"/>
      <c r="F178" s="1750"/>
      <c r="G178" s="1821">
        <v>1517.45</v>
      </c>
      <c r="H178" s="1830">
        <v>42620</v>
      </c>
      <c r="I178" s="1832">
        <v>42742</v>
      </c>
      <c r="J178" s="873"/>
      <c r="K178" s="873"/>
      <c r="L178" s="873"/>
    </row>
    <row r="179" spans="1:12" s="369" customFormat="1" ht="15" hidden="1" customHeight="1">
      <c r="A179" s="1745"/>
      <c r="B179" s="877" t="s">
        <v>438</v>
      </c>
      <c r="C179" s="878">
        <v>300</v>
      </c>
      <c r="D179" s="879" t="s">
        <v>803</v>
      </c>
      <c r="E179" s="878">
        <v>350</v>
      </c>
      <c r="F179" s="931" t="s">
        <v>727</v>
      </c>
      <c r="G179" s="1752"/>
      <c r="H179" s="1831"/>
      <c r="I179" s="1833"/>
      <c r="J179" s="873"/>
      <c r="K179" s="873"/>
      <c r="L179" s="873"/>
    </row>
    <row r="180" spans="1:12" s="369" customFormat="1" hidden="1">
      <c r="A180" s="1744" t="s">
        <v>138</v>
      </c>
      <c r="B180" s="1827" t="s">
        <v>733</v>
      </c>
      <c r="C180" s="1828"/>
      <c r="D180" s="1828"/>
      <c r="E180" s="1828"/>
      <c r="F180" s="1829"/>
      <c r="G180" s="1751">
        <v>6458.82</v>
      </c>
      <c r="H180" s="1834">
        <v>42366</v>
      </c>
      <c r="I180" s="1834">
        <v>42521</v>
      </c>
      <c r="J180" s="873"/>
      <c r="K180" s="873"/>
      <c r="L180" s="873"/>
    </row>
    <row r="181" spans="1:12" s="369" customFormat="1" hidden="1">
      <c r="A181" s="1745"/>
      <c r="B181" s="877" t="s">
        <v>438</v>
      </c>
      <c r="C181" s="878">
        <v>1000</v>
      </c>
      <c r="D181" s="879" t="s">
        <v>803</v>
      </c>
      <c r="E181" s="878">
        <v>50</v>
      </c>
      <c r="F181" s="931" t="s">
        <v>727</v>
      </c>
      <c r="G181" s="1752"/>
      <c r="H181" s="1835"/>
      <c r="I181" s="1835"/>
      <c r="J181" s="873"/>
      <c r="K181" s="873"/>
      <c r="L181" s="873"/>
    </row>
    <row r="182" spans="1:12" s="369" customFormat="1" hidden="1">
      <c r="A182" s="1744" t="s">
        <v>139</v>
      </c>
      <c r="B182" s="1753" t="s">
        <v>734</v>
      </c>
      <c r="C182" s="1754"/>
      <c r="D182" s="1754"/>
      <c r="E182" s="1754"/>
      <c r="F182" s="1755"/>
      <c r="G182" s="1751">
        <v>876.48900600000002</v>
      </c>
      <c r="H182" s="892">
        <v>42282</v>
      </c>
      <c r="I182" s="892">
        <v>42430</v>
      </c>
      <c r="J182" s="873"/>
      <c r="K182" s="873"/>
      <c r="L182" s="873"/>
    </row>
    <row r="183" spans="1:12" s="369" customFormat="1" hidden="1">
      <c r="A183" s="1745"/>
      <c r="B183" s="877" t="s">
        <v>438</v>
      </c>
      <c r="C183" s="878">
        <v>500</v>
      </c>
      <c r="D183" s="879" t="s">
        <v>803</v>
      </c>
      <c r="E183" s="878">
        <v>70</v>
      </c>
      <c r="F183" s="931" t="s">
        <v>727</v>
      </c>
      <c r="G183" s="1752"/>
      <c r="H183" s="892">
        <v>42620</v>
      </c>
      <c r="I183" s="892">
        <v>42711</v>
      </c>
      <c r="J183" s="873"/>
      <c r="K183" s="873"/>
      <c r="L183" s="873"/>
    </row>
    <row r="184" spans="1:12" s="369" customFormat="1" hidden="1">
      <c r="A184" s="1744" t="s">
        <v>136</v>
      </c>
      <c r="B184" s="1753" t="s">
        <v>342</v>
      </c>
      <c r="C184" s="1754"/>
      <c r="D184" s="1754"/>
      <c r="E184" s="1754"/>
      <c r="F184" s="1755"/>
      <c r="G184" s="1751">
        <v>479.74676199999999</v>
      </c>
      <c r="H184" s="1837">
        <v>42620</v>
      </c>
      <c r="I184" s="1839">
        <v>42711</v>
      </c>
      <c r="J184" s="873"/>
      <c r="K184" s="873"/>
      <c r="L184" s="873"/>
    </row>
    <row r="185" spans="1:12" s="369" customFormat="1" hidden="1">
      <c r="A185" s="1745"/>
      <c r="B185" s="877" t="s">
        <v>438</v>
      </c>
      <c r="C185" s="878">
        <v>200</v>
      </c>
      <c r="D185" s="879" t="s">
        <v>803</v>
      </c>
      <c r="E185" s="878">
        <v>100</v>
      </c>
      <c r="F185" s="931" t="s">
        <v>727</v>
      </c>
      <c r="G185" s="1752"/>
      <c r="H185" s="1838"/>
      <c r="I185" s="1840"/>
      <c r="J185" s="873"/>
      <c r="K185" s="873"/>
      <c r="L185" s="873"/>
    </row>
    <row r="186" spans="1:12" s="369" customFormat="1" hidden="1">
      <c r="A186" s="1744" t="s">
        <v>140</v>
      </c>
      <c r="B186" s="1753" t="s">
        <v>735</v>
      </c>
      <c r="C186" s="1754"/>
      <c r="D186" s="1754"/>
      <c r="E186" s="1754"/>
      <c r="F186" s="1755"/>
      <c r="G186" s="1751">
        <v>418.74246499999998</v>
      </c>
      <c r="H186" s="1837">
        <v>42620</v>
      </c>
      <c r="I186" s="1839">
        <v>42711</v>
      </c>
      <c r="J186" s="873"/>
      <c r="K186" s="873"/>
      <c r="L186" s="873"/>
    </row>
    <row r="187" spans="1:12" s="369" customFormat="1" hidden="1">
      <c r="A187" s="1745"/>
      <c r="B187" s="877" t="s">
        <v>438</v>
      </c>
      <c r="C187" s="878">
        <v>200</v>
      </c>
      <c r="D187" s="879" t="s">
        <v>803</v>
      </c>
      <c r="E187" s="878">
        <v>100</v>
      </c>
      <c r="F187" s="931" t="s">
        <v>727</v>
      </c>
      <c r="G187" s="1752"/>
      <c r="H187" s="1838"/>
      <c r="I187" s="1840"/>
      <c r="J187" s="873"/>
      <c r="K187" s="873"/>
      <c r="L187" s="873"/>
    </row>
    <row r="188" spans="1:12" s="369" customFormat="1" hidden="1">
      <c r="A188" s="1744" t="s">
        <v>141</v>
      </c>
      <c r="B188" s="1753" t="s">
        <v>736</v>
      </c>
      <c r="C188" s="1754"/>
      <c r="D188" s="1754"/>
      <c r="E188" s="1754"/>
      <c r="F188" s="1755"/>
      <c r="G188" s="1751">
        <v>2495.2399999999998</v>
      </c>
      <c r="H188" s="1836">
        <v>42620</v>
      </c>
      <c r="I188" s="1837">
        <v>42742</v>
      </c>
      <c r="J188" s="873"/>
      <c r="K188" s="873"/>
      <c r="L188" s="873"/>
    </row>
    <row r="189" spans="1:12" s="369" customFormat="1" hidden="1">
      <c r="A189" s="1745"/>
      <c r="B189" s="880" t="s">
        <v>438</v>
      </c>
      <c r="C189" s="879">
        <v>150</v>
      </c>
      <c r="D189" s="879" t="s">
        <v>803</v>
      </c>
      <c r="E189" s="879">
        <v>2095</v>
      </c>
      <c r="F189" s="930" t="s">
        <v>727</v>
      </c>
      <c r="G189" s="1752"/>
      <c r="H189" s="1831"/>
      <c r="I189" s="1833"/>
      <c r="J189" s="873"/>
      <c r="K189" s="873"/>
      <c r="L189" s="873"/>
    </row>
    <row r="190" spans="1:12" s="369" customFormat="1" hidden="1">
      <c r="A190" s="1744" t="s">
        <v>142</v>
      </c>
      <c r="B190" s="1746" t="s">
        <v>737</v>
      </c>
      <c r="C190" s="1747"/>
      <c r="D190" s="1747"/>
      <c r="E190" s="1747"/>
      <c r="F190" s="1748"/>
      <c r="G190" s="1751">
        <v>3289.9227799999999</v>
      </c>
      <c r="H190" s="1837">
        <v>42620</v>
      </c>
      <c r="I190" s="1839">
        <v>42711</v>
      </c>
      <c r="J190" s="873"/>
      <c r="K190" s="873"/>
      <c r="L190" s="873"/>
    </row>
    <row r="191" spans="1:12" s="369" customFormat="1" hidden="1">
      <c r="A191" s="1745"/>
      <c r="B191" s="880" t="s">
        <v>438</v>
      </c>
      <c r="C191" s="879">
        <v>150</v>
      </c>
      <c r="D191" s="879" t="s">
        <v>803</v>
      </c>
      <c r="E191" s="879">
        <v>626</v>
      </c>
      <c r="F191" s="930" t="s">
        <v>727</v>
      </c>
      <c r="G191" s="1752"/>
      <c r="H191" s="1838"/>
      <c r="I191" s="1840"/>
      <c r="J191" s="873"/>
      <c r="K191" s="873"/>
      <c r="L191" s="873"/>
    </row>
    <row r="192" spans="1:12" s="369" customFormat="1" hidden="1">
      <c r="A192" s="1744" t="s">
        <v>143</v>
      </c>
      <c r="B192" s="1746" t="s">
        <v>2212</v>
      </c>
      <c r="C192" s="1749"/>
      <c r="D192" s="1749"/>
      <c r="E192" s="1749"/>
      <c r="F192" s="1750"/>
      <c r="G192" s="1751">
        <v>204.94730000000001</v>
      </c>
      <c r="H192" s="1834">
        <v>42289</v>
      </c>
      <c r="I192" s="1834">
        <v>42350</v>
      </c>
      <c r="J192" s="873"/>
      <c r="K192" s="873"/>
      <c r="L192" s="873"/>
    </row>
    <row r="193" spans="1:12" s="369" customFormat="1" hidden="1">
      <c r="A193" s="1745"/>
      <c r="B193" s="881" t="s">
        <v>438</v>
      </c>
      <c r="C193" s="882" t="s">
        <v>459</v>
      </c>
      <c r="D193" s="882" t="s">
        <v>439</v>
      </c>
      <c r="E193" s="883">
        <v>87</v>
      </c>
      <c r="F193" s="884" t="s">
        <v>440</v>
      </c>
      <c r="G193" s="1752"/>
      <c r="H193" s="1835"/>
      <c r="I193" s="1835"/>
      <c r="J193" s="873"/>
      <c r="K193" s="873"/>
      <c r="L193" s="873"/>
    </row>
    <row r="194" spans="1:12" s="369" customFormat="1" hidden="1">
      <c r="A194" s="1744" t="s">
        <v>144</v>
      </c>
      <c r="B194" s="1746" t="s">
        <v>1334</v>
      </c>
      <c r="C194" s="1749"/>
      <c r="D194" s="1749"/>
      <c r="E194" s="1749"/>
      <c r="F194" s="1750"/>
      <c r="G194" s="1751">
        <v>425.95929999999998</v>
      </c>
      <c r="H194" s="1834">
        <v>42289</v>
      </c>
      <c r="I194" s="1834">
        <v>42350</v>
      </c>
      <c r="J194" s="873"/>
      <c r="K194" s="873"/>
      <c r="L194" s="873"/>
    </row>
    <row r="195" spans="1:12" s="369" customFormat="1" hidden="1">
      <c r="A195" s="1745"/>
      <c r="B195" s="881" t="s">
        <v>438</v>
      </c>
      <c r="C195" s="882" t="s">
        <v>441</v>
      </c>
      <c r="D195" s="882" t="s">
        <v>439</v>
      </c>
      <c r="E195" s="883">
        <v>45</v>
      </c>
      <c r="F195" s="934" t="s">
        <v>440</v>
      </c>
      <c r="G195" s="1752"/>
      <c r="H195" s="1835"/>
      <c r="I195" s="1835"/>
      <c r="J195" s="873"/>
      <c r="K195" s="873"/>
      <c r="L195" s="873"/>
    </row>
    <row r="196" spans="1:12" s="369" customFormat="1" hidden="1">
      <c r="A196" s="1744" t="s">
        <v>145</v>
      </c>
      <c r="B196" s="1746" t="s">
        <v>1344</v>
      </c>
      <c r="C196" s="1749"/>
      <c r="D196" s="1749"/>
      <c r="E196" s="1749"/>
      <c r="F196" s="1750"/>
      <c r="G196" s="1751">
        <v>154.06054237288137</v>
      </c>
      <c r="H196" s="1834">
        <v>42699</v>
      </c>
      <c r="I196" s="1834">
        <v>42734</v>
      </c>
      <c r="J196" s="873"/>
      <c r="K196" s="873"/>
      <c r="L196" s="873"/>
    </row>
    <row r="197" spans="1:12" s="369" customFormat="1" hidden="1">
      <c r="A197" s="1745"/>
      <c r="B197" s="885" t="s">
        <v>438</v>
      </c>
      <c r="C197" s="886">
        <v>630</v>
      </c>
      <c r="D197" s="886" t="s">
        <v>439</v>
      </c>
      <c r="E197" s="886">
        <v>115</v>
      </c>
      <c r="F197" s="887" t="s">
        <v>440</v>
      </c>
      <c r="G197" s="1752"/>
      <c r="H197" s="1835"/>
      <c r="I197" s="1835"/>
      <c r="J197" s="873"/>
      <c r="K197" s="873"/>
      <c r="L197" s="873"/>
    </row>
    <row r="198" spans="1:12" s="369" customFormat="1" hidden="1">
      <c r="A198" s="1744" t="s">
        <v>146</v>
      </c>
      <c r="B198" s="1746" t="s">
        <v>2213</v>
      </c>
      <c r="C198" s="1749"/>
      <c r="D198" s="1749"/>
      <c r="E198" s="1749"/>
      <c r="F198" s="1750"/>
      <c r="G198" s="1751">
        <v>1382.277</v>
      </c>
      <c r="H198" s="1834">
        <v>42380</v>
      </c>
      <c r="I198" s="1834">
        <v>42460</v>
      </c>
      <c r="J198" s="873"/>
      <c r="K198" s="873"/>
      <c r="L198" s="873"/>
    </row>
    <row r="199" spans="1:12" s="369" customFormat="1" hidden="1">
      <c r="A199" s="1745"/>
      <c r="B199" s="885" t="s">
        <v>438</v>
      </c>
      <c r="C199" s="886">
        <v>1800</v>
      </c>
      <c r="D199" s="886" t="s">
        <v>439</v>
      </c>
      <c r="E199" s="886">
        <v>10</v>
      </c>
      <c r="F199" s="887" t="s">
        <v>440</v>
      </c>
      <c r="G199" s="1752"/>
      <c r="H199" s="1835"/>
      <c r="I199" s="1835"/>
      <c r="J199" s="873"/>
      <c r="K199" s="873"/>
      <c r="L199" s="873"/>
    </row>
    <row r="200" spans="1:12" s="369" customFormat="1" hidden="1">
      <c r="A200" s="1744" t="s">
        <v>147</v>
      </c>
      <c r="B200" s="1746" t="s">
        <v>2214</v>
      </c>
      <c r="C200" s="1749"/>
      <c r="D200" s="1749"/>
      <c r="E200" s="1749"/>
      <c r="F200" s="1750"/>
      <c r="G200" s="1751">
        <v>3188.75</v>
      </c>
      <c r="H200" s="892">
        <v>42475</v>
      </c>
      <c r="I200" s="892">
        <v>42485</v>
      </c>
      <c r="J200" s="873"/>
      <c r="K200" s="873"/>
      <c r="L200" s="873"/>
    </row>
    <row r="201" spans="1:12" s="369" customFormat="1" hidden="1">
      <c r="A201" s="1745"/>
      <c r="B201" s="885" t="s">
        <v>438</v>
      </c>
      <c r="C201" s="886">
        <v>200</v>
      </c>
      <c r="D201" s="886" t="s">
        <v>439</v>
      </c>
      <c r="E201" s="886">
        <v>137</v>
      </c>
      <c r="F201" s="933" t="s">
        <v>440</v>
      </c>
      <c r="G201" s="1752"/>
      <c r="H201" s="892">
        <v>42501</v>
      </c>
      <c r="I201" s="892">
        <v>42508</v>
      </c>
      <c r="J201" s="873"/>
      <c r="K201" s="873"/>
      <c r="L201" s="873"/>
    </row>
    <row r="202" spans="1:12" s="369" customFormat="1" hidden="1">
      <c r="A202" s="1744" t="s">
        <v>148</v>
      </c>
      <c r="B202" s="1746" t="s">
        <v>2215</v>
      </c>
      <c r="C202" s="1749"/>
      <c r="D202" s="1749"/>
      <c r="E202" s="1749"/>
      <c r="F202" s="1750"/>
      <c r="G202" s="1751">
        <v>2074.877144067797</v>
      </c>
      <c r="H202" s="1845">
        <v>42536</v>
      </c>
      <c r="I202" s="1845">
        <v>42566</v>
      </c>
      <c r="J202" s="873"/>
      <c r="K202" s="873"/>
      <c r="L202" s="873"/>
    </row>
    <row r="203" spans="1:12" s="369" customFormat="1" hidden="1">
      <c r="A203" s="1745"/>
      <c r="B203" s="885" t="s">
        <v>438</v>
      </c>
      <c r="C203" s="886">
        <v>500</v>
      </c>
      <c r="D203" s="886" t="s">
        <v>439</v>
      </c>
      <c r="E203" s="886">
        <v>48</v>
      </c>
      <c r="F203" s="887" t="s">
        <v>440</v>
      </c>
      <c r="G203" s="1752"/>
      <c r="H203" s="1846"/>
      <c r="I203" s="1846"/>
      <c r="J203" s="873"/>
      <c r="K203" s="873"/>
      <c r="L203" s="873"/>
    </row>
    <row r="204" spans="1:12" s="369" customFormat="1" hidden="1">
      <c r="A204" s="1744" t="s">
        <v>149</v>
      </c>
      <c r="B204" s="1746" t="s">
        <v>2216</v>
      </c>
      <c r="C204" s="1749"/>
      <c r="D204" s="1749"/>
      <c r="E204" s="1749"/>
      <c r="F204" s="1750"/>
      <c r="G204" s="1751">
        <v>1353.695813559322</v>
      </c>
      <c r="H204" s="1834">
        <v>42612</v>
      </c>
      <c r="I204" s="1834">
        <v>42658</v>
      </c>
      <c r="J204" s="873"/>
      <c r="K204" s="873"/>
      <c r="L204" s="873"/>
    </row>
    <row r="205" spans="1:12" s="369" customFormat="1" hidden="1">
      <c r="A205" s="1745"/>
      <c r="B205" s="881" t="s">
        <v>438</v>
      </c>
      <c r="C205" s="882">
        <v>300</v>
      </c>
      <c r="D205" s="882" t="s">
        <v>439</v>
      </c>
      <c r="E205" s="883">
        <v>31</v>
      </c>
      <c r="F205" s="884" t="s">
        <v>440</v>
      </c>
      <c r="G205" s="1752"/>
      <c r="H205" s="1847"/>
      <c r="I205" s="1847"/>
      <c r="J205" s="873"/>
      <c r="K205" s="873"/>
      <c r="L205" s="873"/>
    </row>
    <row r="206" spans="1:12" s="369" customFormat="1" hidden="1">
      <c r="A206" s="1744" t="s">
        <v>150</v>
      </c>
      <c r="B206" s="1805" t="s">
        <v>2217</v>
      </c>
      <c r="C206" s="1749"/>
      <c r="D206" s="1749"/>
      <c r="E206" s="1749"/>
      <c r="F206" s="1750"/>
      <c r="G206" s="1751">
        <v>2642.5260000000003</v>
      </c>
      <c r="H206" s="1848">
        <v>42634</v>
      </c>
      <c r="I206" s="1848">
        <v>42664</v>
      </c>
      <c r="J206" s="873"/>
      <c r="K206" s="873"/>
      <c r="L206" s="873"/>
    </row>
    <row r="207" spans="1:12" s="369" customFormat="1" hidden="1">
      <c r="A207" s="1745"/>
      <c r="B207" s="888" t="s">
        <v>438</v>
      </c>
      <c r="C207" s="882">
        <v>500</v>
      </c>
      <c r="D207" s="882" t="s">
        <v>439</v>
      </c>
      <c r="E207" s="882">
        <v>30</v>
      </c>
      <c r="F207" s="884" t="s">
        <v>440</v>
      </c>
      <c r="G207" s="1752"/>
      <c r="H207" s="1848"/>
      <c r="I207" s="1848"/>
      <c r="J207" s="873"/>
      <c r="K207" s="873"/>
      <c r="L207" s="873"/>
    </row>
    <row r="208" spans="1:12" s="369" customFormat="1" hidden="1">
      <c r="A208" s="1744" t="s">
        <v>151</v>
      </c>
      <c r="B208" s="1805" t="s">
        <v>2218</v>
      </c>
      <c r="C208" s="1749"/>
      <c r="D208" s="1749"/>
      <c r="E208" s="1749"/>
      <c r="F208" s="1750"/>
      <c r="G208" s="1751">
        <v>1300.8510000000001</v>
      </c>
      <c r="H208" s="1841" t="s">
        <v>2239</v>
      </c>
      <c r="I208" s="1834">
        <v>42638</v>
      </c>
      <c r="J208" s="873"/>
      <c r="K208" s="873"/>
      <c r="L208" s="873"/>
    </row>
    <row r="209" spans="1:12" s="369" customFormat="1" hidden="1">
      <c r="A209" s="1745"/>
      <c r="B209" s="888" t="s">
        <v>2238</v>
      </c>
      <c r="C209" s="886">
        <v>600</v>
      </c>
      <c r="D209" s="882" t="s">
        <v>439</v>
      </c>
      <c r="E209" s="886">
        <v>29</v>
      </c>
      <c r="F209" s="884" t="s">
        <v>440</v>
      </c>
      <c r="G209" s="1752"/>
      <c r="H209" s="1841"/>
      <c r="I209" s="1835"/>
      <c r="J209" s="873"/>
      <c r="K209" s="873"/>
      <c r="L209" s="873"/>
    </row>
    <row r="210" spans="1:12" s="369" customFormat="1" hidden="1">
      <c r="A210" s="1744" t="s">
        <v>152</v>
      </c>
      <c r="B210" s="1805" t="s">
        <v>2219</v>
      </c>
      <c r="C210" s="1749"/>
      <c r="D210" s="1749"/>
      <c r="E210" s="1749"/>
      <c r="F210" s="1750"/>
      <c r="G210" s="1751">
        <v>1021.01</v>
      </c>
      <c r="H210" s="1841" t="s">
        <v>2241</v>
      </c>
      <c r="I210" s="1834">
        <v>42734</v>
      </c>
      <c r="J210" s="873"/>
      <c r="K210" s="873"/>
      <c r="L210" s="873"/>
    </row>
    <row r="211" spans="1:12" s="369" customFormat="1" hidden="1">
      <c r="A211" s="1745"/>
      <c r="B211" s="888" t="s">
        <v>2238</v>
      </c>
      <c r="C211" s="886">
        <v>250</v>
      </c>
      <c r="D211" s="882" t="s">
        <v>439</v>
      </c>
      <c r="E211" s="886">
        <v>100</v>
      </c>
      <c r="F211" s="884" t="s">
        <v>440</v>
      </c>
      <c r="G211" s="1752"/>
      <c r="H211" s="1841"/>
      <c r="I211" s="1835"/>
      <c r="J211" s="873"/>
      <c r="K211" s="873"/>
      <c r="L211" s="873"/>
    </row>
    <row r="212" spans="1:12" s="369" customFormat="1" hidden="1">
      <c r="A212" s="1744" t="s">
        <v>153</v>
      </c>
      <c r="B212" s="1805" t="s">
        <v>2220</v>
      </c>
      <c r="C212" s="1749"/>
      <c r="D212" s="1749"/>
      <c r="E212" s="1749"/>
      <c r="F212" s="1750"/>
      <c r="G212" s="1751">
        <v>1296.6410000000001</v>
      </c>
      <c r="H212" s="1841" t="s">
        <v>2240</v>
      </c>
      <c r="I212" s="1834">
        <v>42598</v>
      </c>
      <c r="J212" s="873"/>
      <c r="K212" s="873"/>
      <c r="L212" s="873"/>
    </row>
    <row r="213" spans="1:12" s="369" customFormat="1" hidden="1">
      <c r="A213" s="1745"/>
      <c r="B213" s="888" t="s">
        <v>2238</v>
      </c>
      <c r="C213" s="886">
        <v>1500</v>
      </c>
      <c r="D213" s="882" t="s">
        <v>439</v>
      </c>
      <c r="E213" s="886">
        <v>16</v>
      </c>
      <c r="F213" s="884" t="s">
        <v>440</v>
      </c>
      <c r="G213" s="1752"/>
      <c r="H213" s="1841"/>
      <c r="I213" s="1835"/>
      <c r="J213" s="873"/>
      <c r="K213" s="873"/>
      <c r="L213" s="873"/>
    </row>
    <row r="214" spans="1:12" s="369" customFormat="1" hidden="1">
      <c r="A214" s="1744" t="s">
        <v>154</v>
      </c>
      <c r="B214" s="1805" t="s">
        <v>2221</v>
      </c>
      <c r="C214" s="1749"/>
      <c r="D214" s="1749"/>
      <c r="E214" s="1749"/>
      <c r="F214" s="1750"/>
      <c r="G214" s="1751">
        <v>539.84078999999997</v>
      </c>
      <c r="H214" s="1841" t="s">
        <v>2241</v>
      </c>
      <c r="I214" s="1834">
        <v>42734</v>
      </c>
      <c r="J214" s="873"/>
      <c r="K214" s="873"/>
      <c r="L214" s="873"/>
    </row>
    <row r="215" spans="1:12" s="369" customFormat="1" hidden="1">
      <c r="A215" s="1745"/>
      <c r="B215" s="888" t="s">
        <v>2238</v>
      </c>
      <c r="C215" s="886">
        <v>1500</v>
      </c>
      <c r="D215" s="882" t="s">
        <v>439</v>
      </c>
      <c r="E215" s="886">
        <v>2</v>
      </c>
      <c r="F215" s="884" t="s">
        <v>440</v>
      </c>
      <c r="G215" s="1752"/>
      <c r="H215" s="1841"/>
      <c r="I215" s="1835"/>
      <c r="J215" s="873"/>
      <c r="K215" s="873"/>
      <c r="L215" s="873"/>
    </row>
    <row r="216" spans="1:12" s="369" customFormat="1" hidden="1">
      <c r="A216" s="1744" t="s">
        <v>155</v>
      </c>
      <c r="B216" s="1805" t="s">
        <v>2222</v>
      </c>
      <c r="C216" s="1749"/>
      <c r="D216" s="1749"/>
      <c r="E216" s="1749"/>
      <c r="F216" s="1750"/>
      <c r="G216" s="1751">
        <v>525.91899999999998</v>
      </c>
      <c r="H216" s="1841" t="s">
        <v>2241</v>
      </c>
      <c r="I216" s="1834">
        <v>42734</v>
      </c>
      <c r="J216" s="873"/>
      <c r="K216" s="873"/>
      <c r="L216" s="873"/>
    </row>
    <row r="217" spans="1:12" s="369" customFormat="1" hidden="1">
      <c r="A217" s="1745"/>
      <c r="B217" s="888" t="s">
        <v>2238</v>
      </c>
      <c r="C217" s="886">
        <v>225</v>
      </c>
      <c r="D217" s="882" t="s">
        <v>439</v>
      </c>
      <c r="E217" s="886">
        <v>21</v>
      </c>
      <c r="F217" s="884" t="s">
        <v>440</v>
      </c>
      <c r="G217" s="1752"/>
      <c r="H217" s="1841"/>
      <c r="I217" s="1835"/>
      <c r="J217" s="873"/>
      <c r="K217" s="873"/>
      <c r="L217" s="873"/>
    </row>
    <row r="218" spans="1:12" s="369" customFormat="1" ht="18.75" hidden="1">
      <c r="A218" s="916" t="s">
        <v>738</v>
      </c>
      <c r="B218" s="889"/>
      <c r="C218" s="889"/>
      <c r="D218" s="889"/>
      <c r="E218" s="889"/>
      <c r="F218" s="932"/>
      <c r="G218" s="908">
        <v>188.55607627118644</v>
      </c>
      <c r="H218" s="872"/>
      <c r="I218" s="872"/>
      <c r="J218" s="873"/>
      <c r="K218" s="873"/>
      <c r="L218" s="873"/>
    </row>
    <row r="219" spans="1:12" s="369" customFormat="1" hidden="1">
      <c r="A219" s="917" t="s">
        <v>176</v>
      </c>
      <c r="B219" s="1809" t="s">
        <v>739</v>
      </c>
      <c r="C219" s="1810"/>
      <c r="D219" s="1810"/>
      <c r="E219" s="1810"/>
      <c r="F219" s="1811"/>
      <c r="G219" s="907">
        <v>122.5903220338983</v>
      </c>
      <c r="H219" s="893">
        <v>42472</v>
      </c>
      <c r="I219" s="918">
        <v>42533</v>
      </c>
      <c r="J219" s="873"/>
      <c r="K219" s="873"/>
      <c r="L219" s="873"/>
    </row>
    <row r="220" spans="1:12" s="369" customFormat="1" hidden="1">
      <c r="A220" s="917" t="s">
        <v>177</v>
      </c>
      <c r="B220" s="1809" t="s">
        <v>740</v>
      </c>
      <c r="C220" s="1810"/>
      <c r="D220" s="1810"/>
      <c r="E220" s="1810"/>
      <c r="F220" s="1811"/>
      <c r="G220" s="907">
        <v>65.965754237288138</v>
      </c>
      <c r="H220" s="893">
        <v>42472</v>
      </c>
      <c r="I220" s="918">
        <v>42533</v>
      </c>
      <c r="J220" s="873"/>
      <c r="K220" s="873"/>
      <c r="L220" s="873"/>
    </row>
    <row r="221" spans="1:12" s="369" customFormat="1" ht="15.75" hidden="1">
      <c r="A221" s="919" t="s">
        <v>741</v>
      </c>
      <c r="B221" s="891"/>
      <c r="C221" s="891"/>
      <c r="D221" s="891"/>
      <c r="E221" s="891"/>
      <c r="F221" s="935"/>
      <c r="G221" s="908">
        <v>844.62288000000001</v>
      </c>
      <c r="H221" s="894"/>
      <c r="I221" s="920"/>
      <c r="J221" s="873"/>
      <c r="K221" s="873"/>
      <c r="L221" s="873"/>
    </row>
    <row r="222" spans="1:12" s="369" customFormat="1" hidden="1">
      <c r="A222" s="917" t="s">
        <v>185</v>
      </c>
      <c r="B222" s="1806" t="s">
        <v>2223</v>
      </c>
      <c r="C222" s="1807"/>
      <c r="D222" s="1807"/>
      <c r="E222" s="1807"/>
      <c r="F222" s="1808"/>
      <c r="G222" s="907">
        <v>123.94237</v>
      </c>
      <c r="H222" s="895">
        <v>42291</v>
      </c>
      <c r="I222" s="921">
        <v>42480</v>
      </c>
      <c r="J222" s="873"/>
      <c r="K222" s="873"/>
      <c r="L222" s="873"/>
    </row>
    <row r="223" spans="1:12" s="369" customFormat="1" hidden="1">
      <c r="A223" s="917" t="s">
        <v>186</v>
      </c>
      <c r="B223" s="1806" t="s">
        <v>2224</v>
      </c>
      <c r="C223" s="1807"/>
      <c r="D223" s="1807"/>
      <c r="E223" s="1807"/>
      <c r="F223" s="1808"/>
      <c r="G223" s="907">
        <v>0</v>
      </c>
      <c r="H223" s="895">
        <v>42291</v>
      </c>
      <c r="I223" s="921">
        <v>42414</v>
      </c>
      <c r="J223" s="873"/>
      <c r="K223" s="873"/>
      <c r="L223" s="873"/>
    </row>
    <row r="224" spans="1:12" s="369" customFormat="1" hidden="1">
      <c r="A224" s="917" t="s">
        <v>187</v>
      </c>
      <c r="B224" s="1806" t="s">
        <v>2225</v>
      </c>
      <c r="C224" s="1807"/>
      <c r="D224" s="1807"/>
      <c r="E224" s="1807"/>
      <c r="F224" s="1808"/>
      <c r="G224" s="907">
        <v>74.692369999999997</v>
      </c>
      <c r="H224" s="895">
        <v>42291</v>
      </c>
      <c r="I224" s="921">
        <v>42480</v>
      </c>
      <c r="J224" s="873"/>
      <c r="K224" s="873"/>
      <c r="L224" s="873"/>
    </row>
    <row r="225" spans="1:12" s="369" customFormat="1" hidden="1">
      <c r="A225" s="917" t="s">
        <v>188</v>
      </c>
      <c r="B225" s="1806" t="s">
        <v>2226</v>
      </c>
      <c r="C225" s="1807"/>
      <c r="D225" s="1807"/>
      <c r="E225" s="1807"/>
      <c r="F225" s="1808"/>
      <c r="G225" s="907">
        <v>645.98814000000004</v>
      </c>
      <c r="H225" s="895">
        <v>42291</v>
      </c>
      <c r="I225" s="921">
        <v>42480</v>
      </c>
      <c r="J225" s="873"/>
      <c r="K225" s="873"/>
      <c r="L225" s="873"/>
    </row>
    <row r="226" spans="1:12" s="369" customFormat="1" ht="15.75" hidden="1">
      <c r="A226" s="919" t="s">
        <v>743</v>
      </c>
      <c r="B226" s="891"/>
      <c r="C226" s="891"/>
      <c r="D226" s="891"/>
      <c r="E226" s="891"/>
      <c r="F226" s="935"/>
      <c r="G226" s="908">
        <v>1497.1593869491526</v>
      </c>
      <c r="H226" s="894"/>
      <c r="I226" s="920"/>
      <c r="J226" s="873"/>
      <c r="K226" s="873"/>
      <c r="L226" s="873"/>
    </row>
    <row r="227" spans="1:12" s="369" customFormat="1" hidden="1">
      <c r="A227" s="917" t="s">
        <v>198</v>
      </c>
      <c r="B227" s="1809" t="s">
        <v>744</v>
      </c>
      <c r="C227" s="1810"/>
      <c r="D227" s="1810"/>
      <c r="E227" s="1810"/>
      <c r="F227" s="1811"/>
      <c r="G227" s="907">
        <v>466.91</v>
      </c>
      <c r="H227" s="896">
        <v>42535</v>
      </c>
      <c r="I227" s="922">
        <v>42596</v>
      </c>
      <c r="J227" s="873"/>
      <c r="K227" s="873"/>
      <c r="L227" s="873"/>
    </row>
    <row r="228" spans="1:12" s="369" customFormat="1" hidden="1">
      <c r="A228" s="917" t="s">
        <v>199</v>
      </c>
      <c r="B228" s="1809" t="s">
        <v>745</v>
      </c>
      <c r="C228" s="1810"/>
      <c r="D228" s="1810"/>
      <c r="E228" s="1810"/>
      <c r="F228" s="1811"/>
      <c r="G228" s="907">
        <v>359.57501694915254</v>
      </c>
      <c r="H228" s="896">
        <v>42535</v>
      </c>
      <c r="I228" s="922">
        <v>42597</v>
      </c>
      <c r="J228" s="873"/>
      <c r="K228" s="873"/>
      <c r="L228" s="873"/>
    </row>
    <row r="229" spans="1:12" s="369" customFormat="1" hidden="1">
      <c r="A229" s="917" t="s">
        <v>200</v>
      </c>
      <c r="B229" s="1809" t="s">
        <v>746</v>
      </c>
      <c r="C229" s="1810"/>
      <c r="D229" s="1810"/>
      <c r="E229" s="1810"/>
      <c r="F229" s="1811"/>
      <c r="G229" s="907">
        <v>428.98736000000002</v>
      </c>
      <c r="H229" s="896">
        <v>42535</v>
      </c>
      <c r="I229" s="922">
        <v>42598</v>
      </c>
      <c r="J229" s="873"/>
      <c r="K229" s="873"/>
      <c r="L229" s="873"/>
    </row>
    <row r="230" spans="1:12" s="369" customFormat="1" hidden="1">
      <c r="A230" s="917" t="s">
        <v>201</v>
      </c>
      <c r="B230" s="1809" t="s">
        <v>747</v>
      </c>
      <c r="C230" s="1810"/>
      <c r="D230" s="1810"/>
      <c r="E230" s="1810"/>
      <c r="F230" s="1811"/>
      <c r="G230" s="907">
        <v>130.13701</v>
      </c>
      <c r="H230" s="896">
        <v>42535</v>
      </c>
      <c r="I230" s="922">
        <v>42599</v>
      </c>
      <c r="J230" s="873"/>
      <c r="K230" s="873"/>
      <c r="L230" s="873"/>
    </row>
    <row r="231" spans="1:12" s="369" customFormat="1" hidden="1">
      <c r="A231" s="917" t="s">
        <v>202</v>
      </c>
      <c r="B231" s="1809" t="s">
        <v>748</v>
      </c>
      <c r="C231" s="1810"/>
      <c r="D231" s="1810"/>
      <c r="E231" s="1810"/>
      <c r="F231" s="1811"/>
      <c r="G231" s="907">
        <v>111.55</v>
      </c>
      <c r="H231" s="896">
        <v>42535</v>
      </c>
      <c r="I231" s="922">
        <v>42599</v>
      </c>
      <c r="J231" s="873"/>
      <c r="K231" s="873"/>
      <c r="L231" s="873"/>
    </row>
    <row r="232" spans="1:12" s="369" customFormat="1" ht="18.75" hidden="1">
      <c r="A232" s="919" t="s">
        <v>1950</v>
      </c>
      <c r="B232" s="891"/>
      <c r="C232" s="891"/>
      <c r="D232" s="891"/>
      <c r="E232" s="891"/>
      <c r="F232" s="935"/>
      <c r="G232" s="908">
        <v>1705.5300000000002</v>
      </c>
      <c r="H232" s="897"/>
      <c r="I232" s="923"/>
      <c r="J232" s="873"/>
      <c r="K232" s="873"/>
      <c r="L232" s="873"/>
    </row>
    <row r="233" spans="1:12" s="369" customFormat="1" ht="20.25" hidden="1" customHeight="1">
      <c r="A233" s="917" t="s">
        <v>224</v>
      </c>
      <c r="B233" s="1819" t="s">
        <v>752</v>
      </c>
      <c r="C233" s="1810"/>
      <c r="D233" s="1810"/>
      <c r="E233" s="1810"/>
      <c r="F233" s="1811"/>
      <c r="G233" s="909">
        <v>618.19000000000005</v>
      </c>
      <c r="H233" s="893">
        <v>42496</v>
      </c>
      <c r="I233" s="918">
        <v>42527</v>
      </c>
      <c r="J233" s="873"/>
      <c r="K233" s="873"/>
      <c r="L233" s="873"/>
    </row>
    <row r="234" spans="1:12" s="369" customFormat="1" ht="30.75" hidden="1" customHeight="1">
      <c r="A234" s="917" t="s">
        <v>461</v>
      </c>
      <c r="B234" s="1819" t="s">
        <v>2227</v>
      </c>
      <c r="C234" s="1810"/>
      <c r="D234" s="1810"/>
      <c r="E234" s="1810"/>
      <c r="F234" s="1811"/>
      <c r="G234" s="909">
        <v>1087.3400000000001</v>
      </c>
      <c r="H234" s="898">
        <v>42619</v>
      </c>
      <c r="I234" s="918">
        <v>42680</v>
      </c>
      <c r="J234" s="873"/>
      <c r="K234" s="873"/>
      <c r="L234" s="873"/>
    </row>
    <row r="235" spans="1:12" s="369" customFormat="1" ht="15.75" hidden="1">
      <c r="A235" s="1820" t="s">
        <v>1951</v>
      </c>
      <c r="B235" s="1810"/>
      <c r="C235" s="1810"/>
      <c r="D235" s="1810"/>
      <c r="E235" s="1810"/>
      <c r="F235" s="1811"/>
      <c r="G235" s="910">
        <v>11274.169933955933</v>
      </c>
      <c r="H235" s="894"/>
      <c r="I235" s="920"/>
      <c r="J235" s="873"/>
      <c r="K235" s="873"/>
      <c r="L235" s="873"/>
    </row>
    <row r="236" spans="1:12" s="369" customFormat="1" hidden="1">
      <c r="A236" s="917" t="s">
        <v>225</v>
      </c>
      <c r="B236" s="1818" t="s">
        <v>2228</v>
      </c>
      <c r="C236" s="1810"/>
      <c r="D236" s="1810"/>
      <c r="E236" s="1810"/>
      <c r="F236" s="1811"/>
      <c r="G236" s="911">
        <v>1417.4546499999999</v>
      </c>
      <c r="H236" s="899">
        <v>42502</v>
      </c>
      <c r="I236" s="924">
        <v>42563</v>
      </c>
      <c r="J236" s="873"/>
      <c r="K236" s="873"/>
      <c r="L236" s="873"/>
    </row>
    <row r="237" spans="1:12" s="369" customFormat="1" hidden="1">
      <c r="A237" s="917" t="s">
        <v>226</v>
      </c>
      <c r="B237" s="1818" t="s">
        <v>761</v>
      </c>
      <c r="C237" s="1810"/>
      <c r="D237" s="1810"/>
      <c r="E237" s="1810"/>
      <c r="F237" s="1811"/>
      <c r="G237" s="911">
        <v>387.03800000000001</v>
      </c>
      <c r="H237" s="899">
        <v>42502</v>
      </c>
      <c r="I237" s="924">
        <v>42563</v>
      </c>
      <c r="J237" s="873"/>
      <c r="K237" s="873"/>
      <c r="L237" s="873"/>
    </row>
    <row r="238" spans="1:12" s="369" customFormat="1" hidden="1">
      <c r="A238" s="917" t="s">
        <v>227</v>
      </c>
      <c r="B238" s="1818" t="s">
        <v>2229</v>
      </c>
      <c r="C238" s="1810"/>
      <c r="D238" s="1810"/>
      <c r="E238" s="1810"/>
      <c r="F238" s="1811"/>
      <c r="G238" s="911">
        <v>3322.1384661016955</v>
      </c>
      <c r="H238" s="900">
        <v>42522</v>
      </c>
      <c r="I238" s="925">
        <v>42561</v>
      </c>
      <c r="J238" s="873"/>
      <c r="K238" s="873"/>
      <c r="L238" s="873"/>
    </row>
    <row r="239" spans="1:12" s="369" customFormat="1" hidden="1">
      <c r="A239" s="917" t="s">
        <v>228</v>
      </c>
      <c r="B239" s="1818" t="s">
        <v>363</v>
      </c>
      <c r="C239" s="1810"/>
      <c r="D239" s="1810"/>
      <c r="E239" s="1810"/>
      <c r="F239" s="1811"/>
      <c r="G239" s="911">
        <v>448.93389999999999</v>
      </c>
      <c r="H239" s="900">
        <v>42291</v>
      </c>
      <c r="I239" s="925">
        <v>42480</v>
      </c>
      <c r="J239" s="873"/>
      <c r="K239" s="873"/>
      <c r="L239" s="873"/>
    </row>
    <row r="240" spans="1:12" s="369" customFormat="1" hidden="1">
      <c r="A240" s="917" t="s">
        <v>229</v>
      </c>
      <c r="B240" s="1818" t="s">
        <v>2230</v>
      </c>
      <c r="C240" s="1810"/>
      <c r="D240" s="1810"/>
      <c r="E240" s="1810"/>
      <c r="F240" s="1811"/>
      <c r="G240" s="911">
        <v>33.852400000000003</v>
      </c>
      <c r="H240" s="900">
        <v>42291</v>
      </c>
      <c r="I240" s="925">
        <v>42480</v>
      </c>
      <c r="J240" s="873"/>
      <c r="K240" s="873"/>
      <c r="L240" s="873"/>
    </row>
    <row r="241" spans="1:12" s="369" customFormat="1" hidden="1">
      <c r="A241" s="917" t="s">
        <v>230</v>
      </c>
      <c r="B241" s="1818" t="s">
        <v>365</v>
      </c>
      <c r="C241" s="1810"/>
      <c r="D241" s="1810"/>
      <c r="E241" s="1810"/>
      <c r="F241" s="1811"/>
      <c r="G241" s="911">
        <v>221.90678</v>
      </c>
      <c r="H241" s="900">
        <v>42291</v>
      </c>
      <c r="I241" s="925">
        <v>42480</v>
      </c>
      <c r="J241" s="873"/>
      <c r="K241" s="873"/>
      <c r="L241" s="873"/>
    </row>
    <row r="242" spans="1:12" s="369" customFormat="1" hidden="1">
      <c r="A242" s="917" t="s">
        <v>231</v>
      </c>
      <c r="B242" s="1818" t="s">
        <v>1355</v>
      </c>
      <c r="C242" s="1810"/>
      <c r="D242" s="1810"/>
      <c r="E242" s="1810"/>
      <c r="F242" s="1811"/>
      <c r="G242" s="911">
        <v>1016.6949152542373</v>
      </c>
      <c r="H242" s="900">
        <v>42307</v>
      </c>
      <c r="I242" s="925">
        <v>42475</v>
      </c>
      <c r="J242" s="873"/>
      <c r="K242" s="873"/>
      <c r="L242" s="873"/>
    </row>
    <row r="243" spans="1:12" s="369" customFormat="1" hidden="1">
      <c r="A243" s="917" t="s">
        <v>232</v>
      </c>
      <c r="B243" s="1818" t="s">
        <v>368</v>
      </c>
      <c r="C243" s="1810"/>
      <c r="D243" s="1810"/>
      <c r="E243" s="1810"/>
      <c r="F243" s="1811"/>
      <c r="G243" s="911">
        <v>233.12324260000003</v>
      </c>
      <c r="H243" s="900">
        <v>42366</v>
      </c>
      <c r="I243" s="925">
        <v>42480</v>
      </c>
      <c r="J243" s="873"/>
      <c r="K243" s="873"/>
      <c r="L243" s="873"/>
    </row>
    <row r="244" spans="1:12" s="369" customFormat="1" hidden="1">
      <c r="A244" s="917" t="s">
        <v>233</v>
      </c>
      <c r="B244" s="1818" t="s">
        <v>370</v>
      </c>
      <c r="C244" s="1810"/>
      <c r="D244" s="1810"/>
      <c r="E244" s="1810"/>
      <c r="F244" s="1811"/>
      <c r="G244" s="911">
        <v>2888.05321</v>
      </c>
      <c r="H244" s="900">
        <v>42366</v>
      </c>
      <c r="I244" s="925">
        <v>42480</v>
      </c>
      <c r="J244" s="873"/>
      <c r="K244" s="873"/>
      <c r="L244" s="873"/>
    </row>
    <row r="245" spans="1:12" s="369" customFormat="1" hidden="1">
      <c r="A245" s="917" t="s">
        <v>234</v>
      </c>
      <c r="B245" s="1818" t="s">
        <v>373</v>
      </c>
      <c r="C245" s="1810"/>
      <c r="D245" s="1810"/>
      <c r="E245" s="1810"/>
      <c r="F245" s="1811"/>
      <c r="G245" s="911">
        <v>1033.62437</v>
      </c>
      <c r="H245" s="900">
        <v>42366</v>
      </c>
      <c r="I245" s="925">
        <v>42480</v>
      </c>
      <c r="J245" s="873"/>
      <c r="K245" s="873"/>
      <c r="L245" s="873"/>
    </row>
    <row r="246" spans="1:12" s="369" customFormat="1" hidden="1">
      <c r="A246" s="917" t="s">
        <v>235</v>
      </c>
      <c r="B246" s="1818" t="s">
        <v>2231</v>
      </c>
      <c r="C246" s="1810"/>
      <c r="D246" s="1810"/>
      <c r="E246" s="1810"/>
      <c r="F246" s="1811"/>
      <c r="G246" s="911">
        <v>271.35000000000002</v>
      </c>
      <c r="H246" s="899">
        <v>42291</v>
      </c>
      <c r="I246" s="924">
        <v>42480</v>
      </c>
      <c r="J246" s="873"/>
      <c r="K246" s="873"/>
      <c r="L246" s="873"/>
    </row>
    <row r="247" spans="1:12" s="369" customFormat="1" ht="15.75" hidden="1">
      <c r="A247" s="1826" t="s">
        <v>1955</v>
      </c>
      <c r="B247" s="1810"/>
      <c r="C247" s="1810"/>
      <c r="D247" s="1810"/>
      <c r="E247" s="1810"/>
      <c r="F247" s="1811"/>
      <c r="G247" s="910">
        <v>11883.160705593218</v>
      </c>
      <c r="H247" s="894"/>
      <c r="I247" s="920"/>
      <c r="J247" s="873"/>
      <c r="K247" s="873"/>
      <c r="L247" s="873"/>
    </row>
    <row r="248" spans="1:12" s="369" customFormat="1" hidden="1">
      <c r="A248" s="926" t="s">
        <v>240</v>
      </c>
      <c r="B248" s="1817" t="s">
        <v>767</v>
      </c>
      <c r="C248" s="1810"/>
      <c r="D248" s="1810"/>
      <c r="E248" s="1810"/>
      <c r="F248" s="1811"/>
      <c r="G248" s="912">
        <v>1765.93</v>
      </c>
      <c r="H248" s="901"/>
      <c r="I248" s="927"/>
      <c r="J248" s="873"/>
      <c r="K248" s="873"/>
      <c r="L248" s="873"/>
    </row>
    <row r="249" spans="1:12" s="369" customFormat="1" hidden="1">
      <c r="A249" s="926" t="s">
        <v>241</v>
      </c>
      <c r="B249" s="1817" t="s">
        <v>776</v>
      </c>
      <c r="C249" s="1810"/>
      <c r="D249" s="1810"/>
      <c r="E249" s="1810"/>
      <c r="F249" s="1811"/>
      <c r="G249" s="912">
        <v>682.66107</v>
      </c>
      <c r="H249" s="903">
        <v>42590</v>
      </c>
      <c r="I249" s="928">
        <v>42651</v>
      </c>
      <c r="J249" s="873"/>
      <c r="K249" s="873"/>
      <c r="L249" s="873"/>
    </row>
    <row r="250" spans="1:12" s="369" customFormat="1" hidden="1">
      <c r="A250" s="926" t="s">
        <v>557</v>
      </c>
      <c r="B250" s="1817" t="s">
        <v>778</v>
      </c>
      <c r="C250" s="1810"/>
      <c r="D250" s="1810"/>
      <c r="E250" s="1810"/>
      <c r="F250" s="1811"/>
      <c r="G250" s="912">
        <v>978.697</v>
      </c>
      <c r="H250" s="903">
        <v>42590</v>
      </c>
      <c r="I250" s="928">
        <v>42651</v>
      </c>
      <c r="J250" s="873"/>
      <c r="K250" s="873"/>
      <c r="L250" s="873"/>
    </row>
    <row r="251" spans="1:12" s="369" customFormat="1" hidden="1">
      <c r="A251" s="926" t="s">
        <v>558</v>
      </c>
      <c r="B251" s="1817" t="s">
        <v>784</v>
      </c>
      <c r="C251" s="1810"/>
      <c r="D251" s="1810"/>
      <c r="E251" s="1810"/>
      <c r="F251" s="1811"/>
      <c r="G251" s="912">
        <v>69.288135593220346</v>
      </c>
      <c r="H251" s="901" t="s">
        <v>498</v>
      </c>
      <c r="I251" s="927" t="s">
        <v>498</v>
      </c>
      <c r="J251" s="873"/>
      <c r="K251" s="873"/>
      <c r="L251" s="873"/>
    </row>
    <row r="252" spans="1:12" s="369" customFormat="1" hidden="1">
      <c r="A252" s="926" t="s">
        <v>559</v>
      </c>
      <c r="B252" s="1817" t="s">
        <v>2232</v>
      </c>
      <c r="C252" s="1810"/>
      <c r="D252" s="1810"/>
      <c r="E252" s="1810"/>
      <c r="F252" s="1811"/>
      <c r="G252" s="912">
        <v>366.46999999999997</v>
      </c>
      <c r="H252" s="902">
        <v>42379</v>
      </c>
      <c r="I252" s="927">
        <v>42734</v>
      </c>
      <c r="J252" s="873"/>
      <c r="K252" s="873"/>
      <c r="L252" s="873"/>
    </row>
    <row r="253" spans="1:12" s="369" customFormat="1" hidden="1">
      <c r="A253" s="926" t="s">
        <v>561</v>
      </c>
      <c r="B253" s="1817" t="s">
        <v>2233</v>
      </c>
      <c r="C253" s="1810"/>
      <c r="D253" s="1810"/>
      <c r="E253" s="1810"/>
      <c r="F253" s="1811"/>
      <c r="G253" s="912">
        <v>337.61016999999998</v>
      </c>
      <c r="H253" s="902">
        <v>42291</v>
      </c>
      <c r="I253" s="927">
        <v>42480</v>
      </c>
      <c r="J253" s="873"/>
      <c r="K253" s="873"/>
      <c r="L253" s="873"/>
    </row>
    <row r="254" spans="1:12" s="369" customFormat="1" hidden="1">
      <c r="A254" s="926" t="s">
        <v>562</v>
      </c>
      <c r="B254" s="1817" t="s">
        <v>2234</v>
      </c>
      <c r="C254" s="1810"/>
      <c r="D254" s="1810"/>
      <c r="E254" s="1810"/>
      <c r="F254" s="1811"/>
      <c r="G254" s="912">
        <v>1989.65778</v>
      </c>
      <c r="H254" s="902">
        <v>42366</v>
      </c>
      <c r="I254" s="927">
        <v>42480</v>
      </c>
      <c r="J254" s="873"/>
      <c r="K254" s="873"/>
      <c r="L254" s="873"/>
    </row>
    <row r="255" spans="1:12" s="369" customFormat="1" hidden="1">
      <c r="A255" s="926" t="s">
        <v>1956</v>
      </c>
      <c r="B255" s="1817" t="s">
        <v>2235</v>
      </c>
      <c r="C255" s="1810"/>
      <c r="D255" s="1810"/>
      <c r="E255" s="1810"/>
      <c r="F255" s="1811"/>
      <c r="G255" s="912">
        <v>195.16831999999999</v>
      </c>
      <c r="H255" s="902">
        <v>42366</v>
      </c>
      <c r="I255" s="927">
        <v>42480</v>
      </c>
      <c r="J255" s="873"/>
      <c r="K255" s="873"/>
      <c r="L255" s="873"/>
    </row>
    <row r="256" spans="1:12" s="369" customFormat="1" hidden="1">
      <c r="A256" s="890" t="s">
        <v>1957</v>
      </c>
      <c r="B256" s="1822" t="s">
        <v>2236</v>
      </c>
      <c r="C256" s="1810"/>
      <c r="D256" s="1810"/>
      <c r="E256" s="1810"/>
      <c r="F256" s="1811"/>
      <c r="G256" s="912">
        <v>5497.6782299999995</v>
      </c>
      <c r="H256" s="902">
        <v>42650</v>
      </c>
      <c r="I256" s="927">
        <v>42742</v>
      </c>
      <c r="J256" s="873"/>
      <c r="K256" s="873"/>
      <c r="L256" s="873"/>
    </row>
    <row r="257" spans="1:12" s="369" customFormat="1" ht="15.75" hidden="1">
      <c r="A257" s="1823" t="s">
        <v>410</v>
      </c>
      <c r="B257" s="1824"/>
      <c r="C257" s="1824"/>
      <c r="D257" s="1824"/>
      <c r="E257" s="1824"/>
      <c r="F257" s="1825"/>
      <c r="G257" s="913">
        <v>286.62299999999999</v>
      </c>
      <c r="H257" s="904"/>
      <c r="I257" s="929"/>
      <c r="J257" s="873"/>
      <c r="K257" s="873"/>
      <c r="L257" s="873"/>
    </row>
    <row r="258" spans="1:12" s="369" customFormat="1" hidden="1">
      <c r="A258" s="917" t="s">
        <v>248</v>
      </c>
      <c r="B258" s="1815" t="s">
        <v>787</v>
      </c>
      <c r="C258" s="1816"/>
      <c r="D258" s="1816"/>
      <c r="E258" s="1816"/>
      <c r="F258" s="1816"/>
      <c r="G258" s="936">
        <v>49.898000000000003</v>
      </c>
      <c r="H258" s="905">
        <v>42379</v>
      </c>
      <c r="I258" s="927">
        <v>42734</v>
      </c>
      <c r="J258" s="873"/>
      <c r="K258" s="873"/>
      <c r="L258" s="873"/>
    </row>
    <row r="259" spans="1:12" s="369" customFormat="1" hidden="1">
      <c r="A259" s="917" t="s">
        <v>249</v>
      </c>
      <c r="B259" s="1815" t="s">
        <v>788</v>
      </c>
      <c r="C259" s="1816"/>
      <c r="D259" s="1816"/>
      <c r="E259" s="1816"/>
      <c r="F259" s="1816"/>
      <c r="G259" s="914">
        <v>30.68</v>
      </c>
      <c r="H259" s="905">
        <v>42379</v>
      </c>
      <c r="I259" s="927">
        <v>42734</v>
      </c>
      <c r="J259" s="873"/>
      <c r="K259" s="873"/>
      <c r="L259" s="873"/>
    </row>
    <row r="260" spans="1:12" s="369" customFormat="1" hidden="1">
      <c r="A260" s="917" t="s">
        <v>250</v>
      </c>
      <c r="B260" s="1815" t="s">
        <v>789</v>
      </c>
      <c r="C260" s="1816"/>
      <c r="D260" s="1816"/>
      <c r="E260" s="1816"/>
      <c r="F260" s="1816"/>
      <c r="G260" s="914">
        <v>30.856000000000002</v>
      </c>
      <c r="H260" s="905">
        <v>42379</v>
      </c>
      <c r="I260" s="927">
        <v>42734</v>
      </c>
      <c r="J260" s="873"/>
      <c r="K260" s="873"/>
      <c r="L260" s="873"/>
    </row>
    <row r="261" spans="1:12" s="369" customFormat="1" hidden="1">
      <c r="A261" s="917" t="s">
        <v>251</v>
      </c>
      <c r="B261" s="1815" t="s">
        <v>788</v>
      </c>
      <c r="C261" s="1816"/>
      <c r="D261" s="1816"/>
      <c r="E261" s="1816"/>
      <c r="F261" s="1816"/>
      <c r="G261" s="914">
        <v>30.68</v>
      </c>
      <c r="H261" s="905">
        <v>42379</v>
      </c>
      <c r="I261" s="927">
        <v>42734</v>
      </c>
      <c r="J261" s="873"/>
      <c r="K261" s="873"/>
      <c r="L261" s="873"/>
    </row>
    <row r="262" spans="1:12" s="369" customFormat="1" hidden="1">
      <c r="A262" s="917" t="s">
        <v>252</v>
      </c>
      <c r="B262" s="1815" t="s">
        <v>789</v>
      </c>
      <c r="C262" s="1816"/>
      <c r="D262" s="1816"/>
      <c r="E262" s="1816"/>
      <c r="F262" s="1816"/>
      <c r="G262" s="914">
        <v>30.856000000000002</v>
      </c>
      <c r="H262" s="905">
        <v>42379</v>
      </c>
      <c r="I262" s="927">
        <v>42734</v>
      </c>
      <c r="J262" s="873"/>
      <c r="K262" s="873"/>
      <c r="L262" s="873"/>
    </row>
    <row r="263" spans="1:12" s="369" customFormat="1" hidden="1">
      <c r="A263" s="917" t="s">
        <v>253</v>
      </c>
      <c r="B263" s="1815" t="s">
        <v>791</v>
      </c>
      <c r="C263" s="1816"/>
      <c r="D263" s="1816"/>
      <c r="E263" s="1816"/>
      <c r="F263" s="1816"/>
      <c r="G263" s="914">
        <v>29.581</v>
      </c>
      <c r="H263" s="905">
        <v>42379</v>
      </c>
      <c r="I263" s="927">
        <v>42734</v>
      </c>
      <c r="J263" s="873"/>
      <c r="K263" s="873"/>
      <c r="L263" s="873"/>
    </row>
    <row r="264" spans="1:12" s="369" customFormat="1" hidden="1">
      <c r="A264" s="917" t="s">
        <v>254</v>
      </c>
      <c r="B264" s="1815" t="s">
        <v>2237</v>
      </c>
      <c r="C264" s="1816"/>
      <c r="D264" s="1816"/>
      <c r="E264" s="1816"/>
      <c r="F264" s="1816"/>
      <c r="G264" s="914">
        <v>84.072000000000003</v>
      </c>
      <c r="H264" s="905">
        <v>42311</v>
      </c>
      <c r="I264" s="927">
        <v>42426</v>
      </c>
      <c r="J264" s="873"/>
      <c r="K264" s="873"/>
      <c r="L264" s="873"/>
    </row>
    <row r="265" spans="1:12" s="369" customFormat="1" ht="18.75" hidden="1">
      <c r="A265" s="1812" t="s">
        <v>802</v>
      </c>
      <c r="B265" s="1813"/>
      <c r="C265" s="1813"/>
      <c r="D265" s="1813"/>
      <c r="E265" s="1813"/>
      <c r="F265" s="1814"/>
      <c r="G265" s="915">
        <f>G257+G247+G235+G232+G226+G221+G218+G177</f>
        <v>59327.587885769492</v>
      </c>
      <c r="H265" s="872"/>
      <c r="I265" s="872"/>
      <c r="J265" s="873"/>
      <c r="K265" s="873"/>
      <c r="L265" s="873"/>
    </row>
    <row r="266" spans="1:12" s="369" customFormat="1" ht="18.75" hidden="1">
      <c r="A266" s="874"/>
      <c r="B266" s="876"/>
      <c r="C266" s="876"/>
      <c r="D266" s="876"/>
      <c r="E266" s="876"/>
      <c r="F266" s="876"/>
      <c r="G266" s="875"/>
      <c r="H266" s="872"/>
      <c r="I266" s="872"/>
      <c r="J266" s="873"/>
      <c r="K266" s="873"/>
      <c r="L266" s="873"/>
    </row>
    <row r="267" spans="1:12" ht="15.75" customHeight="1">
      <c r="A267" s="1739" t="s">
        <v>804</v>
      </c>
      <c r="B267" s="1739"/>
      <c r="C267" s="1739"/>
      <c r="D267" s="1739"/>
      <c r="E267" s="1739"/>
      <c r="F267" s="1739"/>
      <c r="G267" s="54">
        <v>56897.484432203397</v>
      </c>
      <c r="H267" s="173"/>
      <c r="I267" s="173"/>
      <c r="J267" s="550"/>
      <c r="K267" s="550"/>
      <c r="L267" s="550"/>
    </row>
    <row r="268" spans="1:12" ht="15.75" customHeight="1">
      <c r="A268" s="1740" t="s">
        <v>1422</v>
      </c>
      <c r="B268" s="1741"/>
      <c r="C268" s="1741"/>
      <c r="D268" s="1741"/>
      <c r="E268" s="1741"/>
      <c r="F268" s="1742"/>
      <c r="G268" s="149">
        <v>20723.036042372882</v>
      </c>
      <c r="H268" s="150"/>
      <c r="I268" s="939"/>
      <c r="J268" s="550"/>
      <c r="K268" s="550"/>
      <c r="L268" s="550"/>
    </row>
    <row r="269" spans="1:12" ht="15" customHeight="1">
      <c r="A269" s="1735" t="s">
        <v>137</v>
      </c>
      <c r="B269" s="1743" t="s">
        <v>725</v>
      </c>
      <c r="C269" s="1687"/>
      <c r="D269" s="1687"/>
      <c r="E269" s="1687"/>
      <c r="F269" s="1688"/>
      <c r="G269" s="1725">
        <v>142.41694915254237</v>
      </c>
      <c r="H269" s="1727" t="s">
        <v>519</v>
      </c>
      <c r="I269" s="1729" t="s">
        <v>495</v>
      </c>
      <c r="J269" s="550"/>
      <c r="K269" s="550"/>
      <c r="L269" s="550"/>
    </row>
    <row r="270" spans="1:12">
      <c r="A270" s="1736"/>
      <c r="B270" s="128" t="s">
        <v>438</v>
      </c>
      <c r="C270" s="129">
        <v>200</v>
      </c>
      <c r="D270" s="129" t="s">
        <v>803</v>
      </c>
      <c r="E270" s="129">
        <v>70</v>
      </c>
      <c r="F270" s="395" t="s">
        <v>727</v>
      </c>
      <c r="G270" s="1732"/>
      <c r="H270" s="1733"/>
      <c r="I270" s="1734"/>
      <c r="J270" s="550"/>
      <c r="K270" s="550"/>
      <c r="L270" s="550"/>
    </row>
    <row r="271" spans="1:12" ht="15" customHeight="1">
      <c r="A271" s="1721" t="s">
        <v>138</v>
      </c>
      <c r="B271" s="1743" t="s">
        <v>728</v>
      </c>
      <c r="C271" s="1687"/>
      <c r="D271" s="1687"/>
      <c r="E271" s="1687"/>
      <c r="F271" s="1688"/>
      <c r="G271" s="1725">
        <v>162.02118644067798</v>
      </c>
      <c r="H271" s="1727" t="s">
        <v>494</v>
      </c>
      <c r="I271" s="1729" t="s">
        <v>505</v>
      </c>
      <c r="J271" s="550"/>
      <c r="K271" s="550"/>
      <c r="L271" s="550"/>
    </row>
    <row r="272" spans="1:12">
      <c r="A272" s="1731"/>
      <c r="B272" s="130" t="s">
        <v>438</v>
      </c>
      <c r="C272" s="131">
        <v>200</v>
      </c>
      <c r="D272" s="129" t="s">
        <v>803</v>
      </c>
      <c r="E272" s="131">
        <v>80</v>
      </c>
      <c r="F272" s="396" t="s">
        <v>727</v>
      </c>
      <c r="G272" s="1732"/>
      <c r="H272" s="1733"/>
      <c r="I272" s="1734"/>
      <c r="J272" s="550"/>
      <c r="K272" s="550"/>
      <c r="L272" s="550"/>
    </row>
    <row r="273" spans="1:12" ht="15" customHeight="1">
      <c r="A273" s="1721" t="s">
        <v>139</v>
      </c>
      <c r="B273" s="1676" t="s">
        <v>729</v>
      </c>
      <c r="C273" s="1692"/>
      <c r="D273" s="1692"/>
      <c r="E273" s="1692"/>
      <c r="F273" s="1693"/>
      <c r="G273" s="1725">
        <v>2721.2440677966106</v>
      </c>
      <c r="H273" s="1727" t="s">
        <v>494</v>
      </c>
      <c r="I273" s="1729" t="s">
        <v>505</v>
      </c>
      <c r="J273" s="550"/>
      <c r="K273" s="550"/>
      <c r="L273" s="550"/>
    </row>
    <row r="274" spans="1:12">
      <c r="A274" s="1731"/>
      <c r="B274" s="130" t="s">
        <v>438</v>
      </c>
      <c r="C274" s="131">
        <v>300</v>
      </c>
      <c r="D274" s="129" t="s">
        <v>803</v>
      </c>
      <c r="E274" s="131">
        <v>700</v>
      </c>
      <c r="F274" s="396" t="s">
        <v>727</v>
      </c>
      <c r="G274" s="1732"/>
      <c r="H274" s="1733"/>
      <c r="I274" s="1734"/>
      <c r="J274" s="550"/>
      <c r="K274" s="550"/>
      <c r="L274" s="550"/>
    </row>
    <row r="275" spans="1:12" ht="15" customHeight="1">
      <c r="A275" s="1735" t="s">
        <v>136</v>
      </c>
      <c r="B275" s="1676" t="s">
        <v>730</v>
      </c>
      <c r="C275" s="1692"/>
      <c r="D275" s="1692"/>
      <c r="E275" s="1692"/>
      <c r="F275" s="1693"/>
      <c r="G275" s="1725">
        <v>2372.8824830508474</v>
      </c>
      <c r="H275" s="1727" t="s">
        <v>519</v>
      </c>
      <c r="I275" s="1729" t="s">
        <v>505</v>
      </c>
      <c r="J275" s="550"/>
      <c r="K275" s="550"/>
      <c r="L275" s="550"/>
    </row>
    <row r="276" spans="1:12">
      <c r="A276" s="1736"/>
      <c r="B276" s="130" t="s">
        <v>438</v>
      </c>
      <c r="C276" s="131">
        <v>250</v>
      </c>
      <c r="D276" s="129" t="s">
        <v>803</v>
      </c>
      <c r="E276" s="131">
        <v>400</v>
      </c>
      <c r="F276" s="396" t="s">
        <v>727</v>
      </c>
      <c r="G276" s="1732"/>
      <c r="H276" s="1733"/>
      <c r="I276" s="1734"/>
      <c r="J276" s="550"/>
      <c r="K276" s="550"/>
      <c r="L276" s="550"/>
    </row>
    <row r="277" spans="1:12" ht="15" customHeight="1">
      <c r="A277" s="1721" t="s">
        <v>140</v>
      </c>
      <c r="B277" s="1676" t="s">
        <v>731</v>
      </c>
      <c r="C277" s="1692"/>
      <c r="D277" s="1692"/>
      <c r="E277" s="1692"/>
      <c r="F277" s="1693"/>
      <c r="G277" s="1725">
        <v>1398.3059322033898</v>
      </c>
      <c r="H277" s="1727" t="s">
        <v>519</v>
      </c>
      <c r="I277" s="1729" t="s">
        <v>620</v>
      </c>
      <c r="J277" s="550"/>
      <c r="K277" s="550"/>
      <c r="L277" s="550"/>
    </row>
    <row r="278" spans="1:12">
      <c r="A278" s="1731"/>
      <c r="B278" s="130" t="s">
        <v>438</v>
      </c>
      <c r="C278" s="131">
        <v>400</v>
      </c>
      <c r="D278" s="129" t="s">
        <v>803</v>
      </c>
      <c r="E278" s="131">
        <v>180</v>
      </c>
      <c r="F278" s="396" t="s">
        <v>727</v>
      </c>
      <c r="G278" s="1732"/>
      <c r="H278" s="1733"/>
      <c r="I278" s="1734"/>
      <c r="J278" s="550"/>
      <c r="K278" s="550"/>
      <c r="L278" s="550"/>
    </row>
    <row r="279" spans="1:12" ht="15" customHeight="1">
      <c r="A279" s="1721" t="s">
        <v>141</v>
      </c>
      <c r="B279" s="1676" t="s">
        <v>732</v>
      </c>
      <c r="C279" s="1692"/>
      <c r="D279" s="1692"/>
      <c r="E279" s="1692"/>
      <c r="F279" s="1693"/>
      <c r="G279" s="1725">
        <v>59.322033898305087</v>
      </c>
      <c r="H279" s="1727" t="s">
        <v>519</v>
      </c>
      <c r="I279" s="1729" t="s">
        <v>620</v>
      </c>
      <c r="J279" s="550"/>
      <c r="K279" s="550"/>
      <c r="L279" s="550"/>
    </row>
    <row r="280" spans="1:12" ht="14.25" customHeight="1">
      <c r="A280" s="1731"/>
      <c r="B280" s="130" t="s">
        <v>438</v>
      </c>
      <c r="C280" s="131">
        <v>250</v>
      </c>
      <c r="D280" s="131" t="s">
        <v>726</v>
      </c>
      <c r="E280" s="131">
        <v>8</v>
      </c>
      <c r="F280" s="396" t="s">
        <v>727</v>
      </c>
      <c r="G280" s="1732"/>
      <c r="H280" s="1733"/>
      <c r="I280" s="1734"/>
      <c r="J280" s="550"/>
      <c r="K280" s="550"/>
      <c r="L280" s="550"/>
    </row>
    <row r="281" spans="1:12" ht="14.25" customHeight="1">
      <c r="A281" s="1721" t="s">
        <v>142</v>
      </c>
      <c r="B281" s="1676" t="s">
        <v>733</v>
      </c>
      <c r="C281" s="1692"/>
      <c r="D281" s="1692"/>
      <c r="E281" s="1692"/>
      <c r="F281" s="1693"/>
      <c r="G281" s="1725">
        <v>767.7966101694916</v>
      </c>
      <c r="H281" s="1727" t="s">
        <v>519</v>
      </c>
      <c r="I281" s="1729" t="s">
        <v>620</v>
      </c>
      <c r="J281" s="550"/>
      <c r="K281" s="550"/>
      <c r="L281" s="550"/>
    </row>
    <row r="282" spans="1:12" ht="14.25" customHeight="1">
      <c r="A282" s="1731"/>
      <c r="B282" s="130" t="s">
        <v>438</v>
      </c>
      <c r="C282" s="131">
        <v>1000</v>
      </c>
      <c r="D282" s="129" t="s">
        <v>803</v>
      </c>
      <c r="E282" s="131">
        <v>50</v>
      </c>
      <c r="F282" s="396" t="s">
        <v>727</v>
      </c>
      <c r="G282" s="1732"/>
      <c r="H282" s="1733"/>
      <c r="I282" s="1734"/>
      <c r="J282" s="550"/>
      <c r="K282" s="550"/>
      <c r="L282" s="550"/>
    </row>
    <row r="283" spans="1:12" ht="14.25" customHeight="1">
      <c r="A283" s="1721" t="s">
        <v>143</v>
      </c>
      <c r="B283" s="1676" t="s">
        <v>734</v>
      </c>
      <c r="C283" s="1692"/>
      <c r="D283" s="1692"/>
      <c r="E283" s="1692"/>
      <c r="F283" s="1693"/>
      <c r="G283" s="1725">
        <v>550</v>
      </c>
      <c r="H283" s="1727" t="s">
        <v>519</v>
      </c>
      <c r="I283" s="1729" t="s">
        <v>620</v>
      </c>
      <c r="J283" s="550"/>
      <c r="K283" s="550"/>
      <c r="L283" s="550"/>
    </row>
    <row r="284" spans="1:12" ht="14.25" customHeight="1">
      <c r="A284" s="1731"/>
      <c r="B284" s="130" t="s">
        <v>438</v>
      </c>
      <c r="C284" s="131">
        <v>500</v>
      </c>
      <c r="D284" s="129" t="s">
        <v>803</v>
      </c>
      <c r="E284" s="131">
        <v>70</v>
      </c>
      <c r="F284" s="396" t="s">
        <v>727</v>
      </c>
      <c r="G284" s="1732"/>
      <c r="H284" s="1733"/>
      <c r="I284" s="1734"/>
      <c r="J284" s="550"/>
      <c r="K284" s="550"/>
      <c r="L284" s="550"/>
    </row>
    <row r="285" spans="1:12" ht="14.25" customHeight="1">
      <c r="A285" s="1721" t="s">
        <v>144</v>
      </c>
      <c r="B285" s="1676" t="s">
        <v>342</v>
      </c>
      <c r="C285" s="1692"/>
      <c r="D285" s="1692"/>
      <c r="E285" s="1692"/>
      <c r="F285" s="1693"/>
      <c r="G285" s="1725">
        <v>757.87372881355941</v>
      </c>
      <c r="H285" s="1727" t="s">
        <v>519</v>
      </c>
      <c r="I285" s="1729" t="s">
        <v>620</v>
      </c>
      <c r="J285" s="550"/>
      <c r="K285" s="550"/>
      <c r="L285" s="550"/>
    </row>
    <row r="286" spans="1:12" ht="14.25" customHeight="1">
      <c r="A286" s="1731"/>
      <c r="B286" s="130" t="s">
        <v>438</v>
      </c>
      <c r="C286" s="131">
        <v>200</v>
      </c>
      <c r="D286" s="129" t="s">
        <v>803</v>
      </c>
      <c r="E286" s="131">
        <v>100</v>
      </c>
      <c r="F286" s="396" t="s">
        <v>727</v>
      </c>
      <c r="G286" s="1732"/>
      <c r="H286" s="1733"/>
      <c r="I286" s="1734"/>
      <c r="J286" s="550"/>
      <c r="K286" s="550"/>
      <c r="L286" s="550"/>
    </row>
    <row r="287" spans="1:12" ht="15" customHeight="1">
      <c r="A287" s="1721" t="s">
        <v>145</v>
      </c>
      <c r="B287" s="1676" t="s">
        <v>735</v>
      </c>
      <c r="C287" s="1692"/>
      <c r="D287" s="1692"/>
      <c r="E287" s="1692"/>
      <c r="F287" s="1693"/>
      <c r="G287" s="1725">
        <v>609.09491525423732</v>
      </c>
      <c r="H287" s="1727" t="s">
        <v>519</v>
      </c>
      <c r="I287" s="1729" t="s">
        <v>620</v>
      </c>
      <c r="J287" s="550"/>
      <c r="K287" s="550"/>
      <c r="L287" s="550"/>
    </row>
    <row r="288" spans="1:12">
      <c r="A288" s="1731"/>
      <c r="B288" s="130" t="s">
        <v>438</v>
      </c>
      <c r="C288" s="131">
        <v>200</v>
      </c>
      <c r="D288" s="129" t="s">
        <v>803</v>
      </c>
      <c r="E288" s="131">
        <v>100</v>
      </c>
      <c r="F288" s="396" t="s">
        <v>727</v>
      </c>
      <c r="G288" s="1732"/>
      <c r="H288" s="1733"/>
      <c r="I288" s="1734"/>
      <c r="J288" s="550"/>
      <c r="K288" s="550"/>
      <c r="L288" s="550"/>
    </row>
    <row r="289" spans="1:12" ht="15" customHeight="1">
      <c r="A289" s="1721" t="s">
        <v>146</v>
      </c>
      <c r="B289" s="1676" t="s">
        <v>858</v>
      </c>
      <c r="C289" s="1692"/>
      <c r="D289" s="1692"/>
      <c r="E289" s="1692"/>
      <c r="F289" s="1693"/>
      <c r="G289" s="1725">
        <v>44.322881355932211</v>
      </c>
      <c r="H289" s="1727" t="s">
        <v>519</v>
      </c>
      <c r="I289" s="1729" t="s">
        <v>620</v>
      </c>
      <c r="J289" s="550"/>
      <c r="K289" s="550"/>
      <c r="L289" s="550"/>
    </row>
    <row r="290" spans="1:12">
      <c r="A290" s="1731"/>
      <c r="B290" s="130" t="s">
        <v>438</v>
      </c>
      <c r="C290" s="131">
        <v>200</v>
      </c>
      <c r="D290" s="129" t="s">
        <v>803</v>
      </c>
      <c r="E290" s="131">
        <v>3</v>
      </c>
      <c r="F290" s="396" t="s">
        <v>727</v>
      </c>
      <c r="G290" s="1732"/>
      <c r="H290" s="1733"/>
      <c r="I290" s="1734"/>
      <c r="J290" s="550"/>
      <c r="K290" s="550"/>
      <c r="L290" s="550"/>
    </row>
    <row r="291" spans="1:12" ht="15" customHeight="1">
      <c r="A291" s="1721" t="s">
        <v>147</v>
      </c>
      <c r="B291" s="1676" t="s">
        <v>736</v>
      </c>
      <c r="C291" s="1692"/>
      <c r="D291" s="1692"/>
      <c r="E291" s="1692"/>
      <c r="F291" s="1693"/>
      <c r="G291" s="1725">
        <v>6677.9661016949158</v>
      </c>
      <c r="H291" s="1727" t="s">
        <v>494</v>
      </c>
      <c r="I291" s="1729" t="s">
        <v>498</v>
      </c>
      <c r="J291" s="550"/>
      <c r="K291" s="550"/>
      <c r="L291" s="550"/>
    </row>
    <row r="292" spans="1:12">
      <c r="A292" s="1731"/>
      <c r="B292" s="234" t="s">
        <v>438</v>
      </c>
      <c r="C292" s="132">
        <v>150</v>
      </c>
      <c r="D292" s="129" t="s">
        <v>803</v>
      </c>
      <c r="E292" s="132">
        <v>4495</v>
      </c>
      <c r="F292" s="397" t="s">
        <v>727</v>
      </c>
      <c r="G292" s="1731"/>
      <c r="H292" s="1733"/>
      <c r="I292" s="1734"/>
      <c r="J292" s="550"/>
      <c r="K292" s="550"/>
      <c r="L292" s="550"/>
    </row>
    <row r="293" spans="1:12" ht="15" customHeight="1">
      <c r="A293" s="1721" t="s">
        <v>148</v>
      </c>
      <c r="B293" s="1723" t="s">
        <v>737</v>
      </c>
      <c r="C293" s="1692"/>
      <c r="D293" s="1692"/>
      <c r="E293" s="1692"/>
      <c r="F293" s="1724"/>
      <c r="G293" s="1725">
        <v>3397.4491525423728</v>
      </c>
      <c r="H293" s="1727" t="s">
        <v>494</v>
      </c>
      <c r="I293" s="1729" t="s">
        <v>505</v>
      </c>
      <c r="J293" s="550"/>
      <c r="K293" s="550"/>
      <c r="L293" s="550"/>
    </row>
    <row r="294" spans="1:12">
      <c r="A294" s="1722"/>
      <c r="B294" s="234" t="s">
        <v>438</v>
      </c>
      <c r="C294" s="132">
        <v>150</v>
      </c>
      <c r="D294" s="129" t="s">
        <v>803</v>
      </c>
      <c r="E294" s="132">
        <v>626</v>
      </c>
      <c r="F294" s="397" t="s">
        <v>727</v>
      </c>
      <c r="G294" s="1726"/>
      <c r="H294" s="1728"/>
      <c r="I294" s="1730"/>
      <c r="J294" s="550"/>
      <c r="K294" s="550"/>
      <c r="L294" s="550"/>
    </row>
    <row r="295" spans="1:12">
      <c r="A295" s="1721" t="s">
        <v>148</v>
      </c>
      <c r="B295" s="1723" t="s">
        <v>2220</v>
      </c>
      <c r="C295" s="1692"/>
      <c r="D295" s="1692"/>
      <c r="E295" s="1692"/>
      <c r="F295" s="1724"/>
      <c r="G295" s="1725">
        <v>1062.3399999999999</v>
      </c>
      <c r="H295" s="1727" t="s">
        <v>494</v>
      </c>
      <c r="I295" s="1729" t="s">
        <v>505</v>
      </c>
      <c r="J295" s="550"/>
      <c r="K295" s="550"/>
      <c r="L295" s="550"/>
    </row>
    <row r="296" spans="1:12" ht="15" customHeight="1">
      <c r="A296" s="1722"/>
      <c r="B296" s="234" t="s">
        <v>438</v>
      </c>
      <c r="C296" s="132">
        <v>1500</v>
      </c>
      <c r="D296" s="129" t="s">
        <v>803</v>
      </c>
      <c r="E296" s="132">
        <v>8</v>
      </c>
      <c r="F296" s="397" t="s">
        <v>727</v>
      </c>
      <c r="G296" s="1726"/>
      <c r="H296" s="1728"/>
      <c r="I296" s="1730"/>
      <c r="J296" s="550"/>
      <c r="K296" s="550"/>
      <c r="L296" s="550"/>
    </row>
    <row r="297" spans="1:12" ht="15" customHeight="1">
      <c r="A297" s="1720" t="s">
        <v>738</v>
      </c>
      <c r="B297" s="1660"/>
      <c r="C297" s="1660"/>
      <c r="D297" s="1660"/>
      <c r="E297" s="1660"/>
      <c r="F297" s="1661"/>
      <c r="G297" s="133">
        <v>313.55</v>
      </c>
      <c r="H297" s="134"/>
      <c r="I297" s="135"/>
      <c r="J297" s="550"/>
      <c r="K297" s="550"/>
      <c r="L297" s="550"/>
    </row>
    <row r="298" spans="1:12">
      <c r="A298" s="944" t="s">
        <v>176</v>
      </c>
      <c r="B298" s="1659" t="s">
        <v>739</v>
      </c>
      <c r="C298" s="1660"/>
      <c r="D298" s="1660"/>
      <c r="E298" s="1660"/>
      <c r="F298" s="1661"/>
      <c r="G298" s="136">
        <v>220.70338983050848</v>
      </c>
      <c r="H298" s="134" t="s">
        <v>495</v>
      </c>
      <c r="I298" s="135" t="s">
        <v>495</v>
      </c>
      <c r="J298" s="550"/>
      <c r="K298" s="550"/>
      <c r="L298" s="550"/>
    </row>
    <row r="299" spans="1:12" ht="15" customHeight="1">
      <c r="A299" s="944" t="s">
        <v>177</v>
      </c>
      <c r="B299" s="1659" t="s">
        <v>740</v>
      </c>
      <c r="C299" s="1660"/>
      <c r="D299" s="1660"/>
      <c r="E299" s="1660"/>
      <c r="F299" s="1661"/>
      <c r="G299" s="136">
        <v>92.846610169491527</v>
      </c>
      <c r="H299" s="134" t="s">
        <v>495</v>
      </c>
      <c r="I299" s="135" t="s">
        <v>495</v>
      </c>
      <c r="J299" s="550"/>
      <c r="K299" s="550"/>
      <c r="L299" s="550"/>
    </row>
    <row r="300" spans="1:12" ht="15.75">
      <c r="A300" s="1720" t="s">
        <v>741</v>
      </c>
      <c r="B300" s="1660"/>
      <c r="C300" s="1660"/>
      <c r="D300" s="1660"/>
      <c r="E300" s="1660"/>
      <c r="F300" s="1661"/>
      <c r="G300" s="133">
        <v>175.23559322033898</v>
      </c>
      <c r="H300" s="134"/>
      <c r="I300" s="568"/>
      <c r="J300" s="550"/>
      <c r="K300" s="550"/>
      <c r="L300" s="550"/>
    </row>
    <row r="301" spans="1:12" ht="15" customHeight="1">
      <c r="A301" s="944" t="s">
        <v>185</v>
      </c>
      <c r="B301" s="1659" t="s">
        <v>742</v>
      </c>
      <c r="C301" s="1660"/>
      <c r="D301" s="1660"/>
      <c r="E301" s="1660"/>
      <c r="F301" s="1661"/>
      <c r="G301" s="362">
        <v>175.23559322033898</v>
      </c>
      <c r="H301" s="134" t="s">
        <v>572</v>
      </c>
      <c r="I301" s="135" t="s">
        <v>572</v>
      </c>
      <c r="J301" s="550"/>
      <c r="K301" s="550"/>
      <c r="L301" s="550"/>
    </row>
    <row r="302" spans="1:12" ht="15" customHeight="1">
      <c r="A302" s="1720" t="s">
        <v>743</v>
      </c>
      <c r="B302" s="1660"/>
      <c r="C302" s="1660"/>
      <c r="D302" s="1660"/>
      <c r="E302" s="1660"/>
      <c r="F302" s="1661"/>
      <c r="G302" s="133">
        <v>3299.20093220339</v>
      </c>
      <c r="H302" s="134"/>
      <c r="I302" s="568"/>
      <c r="J302" s="550"/>
      <c r="K302" s="550"/>
      <c r="L302" s="550"/>
    </row>
    <row r="303" spans="1:12" ht="15" customHeight="1">
      <c r="A303" s="944" t="s">
        <v>198</v>
      </c>
      <c r="B303" s="1659" t="s">
        <v>744</v>
      </c>
      <c r="C303" s="1660"/>
      <c r="D303" s="1660"/>
      <c r="E303" s="1660"/>
      <c r="F303" s="1661"/>
      <c r="G303" s="136">
        <v>1437.0847457627119</v>
      </c>
      <c r="H303" s="134" t="s">
        <v>494</v>
      </c>
      <c r="I303" s="135" t="s">
        <v>494</v>
      </c>
      <c r="J303" s="550"/>
      <c r="K303" s="550"/>
      <c r="L303" s="550"/>
    </row>
    <row r="304" spans="1:12" ht="15" customHeight="1">
      <c r="A304" s="944" t="s">
        <v>199</v>
      </c>
      <c r="B304" s="1659" t="s">
        <v>745</v>
      </c>
      <c r="C304" s="1660"/>
      <c r="D304" s="1660"/>
      <c r="E304" s="1660"/>
      <c r="F304" s="1661"/>
      <c r="G304" s="136">
        <v>728.68728813559323</v>
      </c>
      <c r="H304" s="134" t="s">
        <v>509</v>
      </c>
      <c r="I304" s="135" t="s">
        <v>509</v>
      </c>
      <c r="J304" s="550"/>
      <c r="K304" s="550"/>
      <c r="L304" s="550"/>
    </row>
    <row r="305" spans="1:12" ht="15" customHeight="1">
      <c r="A305" s="944" t="s">
        <v>200</v>
      </c>
      <c r="B305" s="1659" t="s">
        <v>746</v>
      </c>
      <c r="C305" s="1660"/>
      <c r="D305" s="1660"/>
      <c r="E305" s="1660"/>
      <c r="F305" s="1661"/>
      <c r="G305" s="136">
        <v>592.04398305084749</v>
      </c>
      <c r="H305" s="134" t="s">
        <v>509</v>
      </c>
      <c r="I305" s="135" t="s">
        <v>509</v>
      </c>
      <c r="J305" s="550"/>
      <c r="K305" s="550"/>
      <c r="L305" s="550"/>
    </row>
    <row r="306" spans="1:12">
      <c r="A306" s="944" t="s">
        <v>201</v>
      </c>
      <c r="B306" s="1659" t="s">
        <v>747</v>
      </c>
      <c r="C306" s="1660"/>
      <c r="D306" s="1660"/>
      <c r="E306" s="1660"/>
      <c r="F306" s="1661"/>
      <c r="G306" s="136">
        <v>178.85000000000002</v>
      </c>
      <c r="H306" s="134" t="s">
        <v>572</v>
      </c>
      <c r="I306" s="135" t="s">
        <v>572</v>
      </c>
      <c r="J306" s="550"/>
      <c r="K306" s="550"/>
      <c r="L306" s="550"/>
    </row>
    <row r="307" spans="1:12" ht="15" customHeight="1">
      <c r="A307" s="944" t="s">
        <v>202</v>
      </c>
      <c r="B307" s="1659" t="s">
        <v>748</v>
      </c>
      <c r="C307" s="1660"/>
      <c r="D307" s="1660"/>
      <c r="E307" s="1660"/>
      <c r="F307" s="1661"/>
      <c r="G307" s="136">
        <v>362.53491525423732</v>
      </c>
      <c r="H307" s="134" t="s">
        <v>572</v>
      </c>
      <c r="I307" s="135" t="s">
        <v>572</v>
      </c>
      <c r="J307" s="550"/>
      <c r="K307" s="550"/>
      <c r="L307" s="550"/>
    </row>
    <row r="308" spans="1:12" ht="15" customHeight="1">
      <c r="A308" s="1720" t="s">
        <v>749</v>
      </c>
      <c r="B308" s="1660"/>
      <c r="C308" s="1660"/>
      <c r="D308" s="1660"/>
      <c r="E308" s="1660"/>
      <c r="F308" s="1660"/>
      <c r="G308" s="138">
        <v>997.66779661016949</v>
      </c>
      <c r="H308" s="134"/>
      <c r="I308" s="135"/>
      <c r="J308" s="550"/>
      <c r="K308" s="550"/>
      <c r="L308" s="550"/>
    </row>
    <row r="309" spans="1:12">
      <c r="A309" s="944" t="s">
        <v>224</v>
      </c>
      <c r="B309" s="1716" t="s">
        <v>1217</v>
      </c>
      <c r="C309" s="1660"/>
      <c r="D309" s="1660"/>
      <c r="E309" s="1660"/>
      <c r="F309" s="1661"/>
      <c r="G309" s="136">
        <v>586.83983050847462</v>
      </c>
      <c r="H309" s="134" t="s">
        <v>620</v>
      </c>
      <c r="I309" s="135" t="s">
        <v>620</v>
      </c>
      <c r="J309" s="550"/>
      <c r="K309" s="550"/>
      <c r="L309" s="550"/>
    </row>
    <row r="310" spans="1:12" ht="15" customHeight="1">
      <c r="A310" s="944" t="s">
        <v>461</v>
      </c>
      <c r="B310" s="1716" t="s">
        <v>750</v>
      </c>
      <c r="C310" s="1660"/>
      <c r="D310" s="1660"/>
      <c r="E310" s="1660"/>
      <c r="F310" s="1661"/>
      <c r="G310" s="136">
        <v>410.82796610169493</v>
      </c>
      <c r="H310" s="134" t="s">
        <v>620</v>
      </c>
      <c r="I310" s="135" t="s">
        <v>620</v>
      </c>
      <c r="J310" s="550"/>
      <c r="K310" s="550"/>
      <c r="L310" s="550"/>
    </row>
    <row r="311" spans="1:12" ht="15" customHeight="1">
      <c r="A311" s="1720" t="s">
        <v>751</v>
      </c>
      <c r="B311" s="1660"/>
      <c r="C311" s="1660"/>
      <c r="D311" s="1660"/>
      <c r="E311" s="1660"/>
      <c r="F311" s="1660"/>
      <c r="G311" s="138">
        <v>2044.9779661016948</v>
      </c>
      <c r="H311" s="134"/>
      <c r="I311" s="135"/>
      <c r="J311" s="550"/>
      <c r="K311" s="550"/>
      <c r="L311" s="550"/>
    </row>
    <row r="312" spans="1:12" ht="15" customHeight="1">
      <c r="A312" s="944" t="s">
        <v>225</v>
      </c>
      <c r="B312" s="1716" t="s">
        <v>752</v>
      </c>
      <c r="C312" s="1660"/>
      <c r="D312" s="1660"/>
      <c r="E312" s="1660"/>
      <c r="F312" s="1661"/>
      <c r="G312" s="136">
        <v>625.82203389830511</v>
      </c>
      <c r="H312" s="134" t="s">
        <v>505</v>
      </c>
      <c r="I312" s="135" t="s">
        <v>505</v>
      </c>
      <c r="J312" s="550"/>
      <c r="K312" s="550"/>
      <c r="L312" s="550"/>
    </row>
    <row r="313" spans="1:12" ht="15" customHeight="1">
      <c r="A313" s="944" t="s">
        <v>226</v>
      </c>
      <c r="B313" s="1716" t="s">
        <v>753</v>
      </c>
      <c r="C313" s="1660"/>
      <c r="D313" s="1660"/>
      <c r="E313" s="1660"/>
      <c r="F313" s="1661"/>
      <c r="G313" s="136">
        <v>86.584745762711876</v>
      </c>
      <c r="H313" s="134" t="s">
        <v>507</v>
      </c>
      <c r="I313" s="135" t="s">
        <v>507</v>
      </c>
      <c r="J313" s="550"/>
      <c r="K313" s="550"/>
      <c r="L313" s="550"/>
    </row>
    <row r="314" spans="1:12" ht="15" customHeight="1">
      <c r="A314" s="944" t="s">
        <v>227</v>
      </c>
      <c r="B314" s="1716" t="s">
        <v>754</v>
      </c>
      <c r="C314" s="1660"/>
      <c r="D314" s="1660"/>
      <c r="E314" s="1660"/>
      <c r="F314" s="1661"/>
      <c r="G314" s="136">
        <v>54.723728813559326</v>
      </c>
      <c r="H314" s="134" t="s">
        <v>620</v>
      </c>
      <c r="I314" s="135" t="s">
        <v>620</v>
      </c>
      <c r="J314" s="550"/>
      <c r="K314" s="550"/>
      <c r="L314" s="550"/>
    </row>
    <row r="315" spans="1:12" ht="15" customHeight="1">
      <c r="A315" s="944" t="s">
        <v>228</v>
      </c>
      <c r="B315" s="1716" t="s">
        <v>755</v>
      </c>
      <c r="C315" s="1660"/>
      <c r="D315" s="1660"/>
      <c r="E315" s="1660"/>
      <c r="F315" s="1661"/>
      <c r="G315" s="136">
        <v>108.35593220338984</v>
      </c>
      <c r="H315" s="134" t="s">
        <v>620</v>
      </c>
      <c r="I315" s="135" t="s">
        <v>620</v>
      </c>
      <c r="J315" s="550"/>
      <c r="K315" s="550"/>
      <c r="L315" s="550"/>
    </row>
    <row r="316" spans="1:12" ht="15.75" customHeight="1">
      <c r="A316" s="944" t="s">
        <v>229</v>
      </c>
      <c r="B316" s="1716" t="s">
        <v>756</v>
      </c>
      <c r="C316" s="1660"/>
      <c r="D316" s="1660"/>
      <c r="E316" s="1660"/>
      <c r="F316" s="1661"/>
      <c r="G316" s="136">
        <v>762.71186440677968</v>
      </c>
      <c r="H316" s="134" t="s">
        <v>620</v>
      </c>
      <c r="I316" s="135" t="s">
        <v>620</v>
      </c>
      <c r="J316" s="550"/>
      <c r="K316" s="550"/>
      <c r="L316" s="550"/>
    </row>
    <row r="317" spans="1:12" ht="15" customHeight="1">
      <c r="A317" s="944" t="s">
        <v>230</v>
      </c>
      <c r="B317" s="1716" t="s">
        <v>757</v>
      </c>
      <c r="C317" s="1660"/>
      <c r="D317" s="1660"/>
      <c r="E317" s="1660"/>
      <c r="F317" s="1661"/>
      <c r="G317" s="136">
        <v>406.77966101694915</v>
      </c>
      <c r="H317" s="134" t="s">
        <v>507</v>
      </c>
      <c r="I317" s="135" t="s">
        <v>507</v>
      </c>
      <c r="J317" s="550"/>
      <c r="K317" s="550"/>
      <c r="L317" s="550"/>
    </row>
    <row r="318" spans="1:12" ht="15" customHeight="1">
      <c r="A318" s="1719" t="s">
        <v>758</v>
      </c>
      <c r="B318" s="1660"/>
      <c r="C318" s="1660"/>
      <c r="D318" s="1660"/>
      <c r="E318" s="1660"/>
      <c r="F318" s="1661"/>
      <c r="G318" s="133">
        <v>8757.2762711864416</v>
      </c>
      <c r="H318" s="134"/>
      <c r="I318" s="135"/>
      <c r="J318" s="550"/>
      <c r="K318" s="550"/>
      <c r="L318" s="550"/>
    </row>
    <row r="319" spans="1:12" ht="15" customHeight="1">
      <c r="A319" s="944" t="s">
        <v>240</v>
      </c>
      <c r="B319" s="1717" t="s">
        <v>759</v>
      </c>
      <c r="C319" s="1660"/>
      <c r="D319" s="1660"/>
      <c r="E319" s="1660"/>
      <c r="F319" s="1661"/>
      <c r="G319" s="139">
        <v>305.68135593220342</v>
      </c>
      <c r="H319" s="134" t="s">
        <v>495</v>
      </c>
      <c r="I319" s="135" t="s">
        <v>495</v>
      </c>
      <c r="J319" s="550"/>
      <c r="K319" s="550"/>
      <c r="L319" s="550"/>
    </row>
    <row r="320" spans="1:12" ht="15" customHeight="1">
      <c r="A320" s="944" t="s">
        <v>241</v>
      </c>
      <c r="B320" s="1718" t="s">
        <v>760</v>
      </c>
      <c r="C320" s="1660"/>
      <c r="D320" s="1660"/>
      <c r="E320" s="1660"/>
      <c r="F320" s="1661"/>
      <c r="G320" s="139">
        <v>483.39830508474574</v>
      </c>
      <c r="H320" s="134" t="s">
        <v>500</v>
      </c>
      <c r="I320" s="135" t="s">
        <v>500</v>
      </c>
      <c r="J320" s="550"/>
      <c r="K320" s="550"/>
      <c r="L320" s="550"/>
    </row>
    <row r="321" spans="1:12" ht="15" customHeight="1">
      <c r="A321" s="944" t="s">
        <v>557</v>
      </c>
      <c r="B321" s="1718" t="s">
        <v>761</v>
      </c>
      <c r="C321" s="1660"/>
      <c r="D321" s="1660"/>
      <c r="E321" s="1660"/>
      <c r="F321" s="1661"/>
      <c r="G321" s="139">
        <v>176.24830508474579</v>
      </c>
      <c r="H321" s="134" t="s">
        <v>500</v>
      </c>
      <c r="I321" s="135" t="s">
        <v>500</v>
      </c>
      <c r="J321" s="550"/>
      <c r="K321" s="550"/>
      <c r="L321" s="550"/>
    </row>
    <row r="322" spans="1:12" ht="15" customHeight="1">
      <c r="A322" s="944" t="s">
        <v>558</v>
      </c>
      <c r="B322" s="1718" t="s">
        <v>762</v>
      </c>
      <c r="C322" s="1660"/>
      <c r="D322" s="1660"/>
      <c r="E322" s="1660"/>
      <c r="F322" s="1661"/>
      <c r="G322" s="139">
        <v>693.28898305084749</v>
      </c>
      <c r="H322" s="134" t="s">
        <v>498</v>
      </c>
      <c r="I322" s="135" t="s">
        <v>498</v>
      </c>
      <c r="J322" s="550"/>
      <c r="K322" s="550"/>
      <c r="L322" s="550"/>
    </row>
    <row r="323" spans="1:12" ht="15" customHeight="1">
      <c r="A323" s="944" t="s">
        <v>559</v>
      </c>
      <c r="B323" s="1718" t="s">
        <v>763</v>
      </c>
      <c r="C323" s="1660"/>
      <c r="D323" s="1660"/>
      <c r="E323" s="1660"/>
      <c r="F323" s="1661"/>
      <c r="G323" s="139">
        <v>4096.1652542372885</v>
      </c>
      <c r="H323" s="134" t="s">
        <v>498</v>
      </c>
      <c r="I323" s="135" t="s">
        <v>498</v>
      </c>
      <c r="J323" s="550"/>
      <c r="K323" s="550"/>
      <c r="L323" s="550"/>
    </row>
    <row r="324" spans="1:12" ht="15.75" customHeight="1">
      <c r="A324" s="944" t="s">
        <v>561</v>
      </c>
      <c r="B324" s="1717" t="s">
        <v>764</v>
      </c>
      <c r="C324" s="1660"/>
      <c r="D324" s="1660"/>
      <c r="E324" s="1660"/>
      <c r="F324" s="1661"/>
      <c r="G324" s="139">
        <v>390.60423728813561</v>
      </c>
      <c r="H324" s="134" t="s">
        <v>500</v>
      </c>
      <c r="I324" s="135" t="s">
        <v>500</v>
      </c>
      <c r="J324" s="550"/>
      <c r="K324" s="550"/>
      <c r="L324" s="550"/>
    </row>
    <row r="325" spans="1:12" ht="15" customHeight="1">
      <c r="A325" s="944" t="s">
        <v>562</v>
      </c>
      <c r="B325" s="1717" t="s">
        <v>765</v>
      </c>
      <c r="C325" s="1660"/>
      <c r="D325" s="1660"/>
      <c r="E325" s="1660"/>
      <c r="F325" s="1661"/>
      <c r="G325" s="365">
        <v>2611.8898305084749</v>
      </c>
      <c r="H325" s="134" t="s">
        <v>500</v>
      </c>
      <c r="I325" s="135" t="s">
        <v>500</v>
      </c>
      <c r="J325" s="550"/>
      <c r="K325" s="550"/>
      <c r="L325" s="550"/>
    </row>
    <row r="326" spans="1:12" ht="15" customHeight="1">
      <c r="A326" s="1715" t="s">
        <v>766</v>
      </c>
      <c r="B326" s="1660"/>
      <c r="C326" s="1660"/>
      <c r="D326" s="1660"/>
      <c r="E326" s="1660"/>
      <c r="F326" s="1661"/>
      <c r="G326" s="133">
        <v>20586.539830508482</v>
      </c>
      <c r="H326" s="134"/>
      <c r="I326" s="135"/>
      <c r="J326" s="550"/>
      <c r="K326" s="550"/>
      <c r="L326" s="550"/>
    </row>
    <row r="327" spans="1:12" ht="15" customHeight="1">
      <c r="A327" s="945" t="s">
        <v>242</v>
      </c>
      <c r="B327" s="1709" t="s">
        <v>357</v>
      </c>
      <c r="C327" s="1710"/>
      <c r="D327" s="1710"/>
      <c r="E327" s="1710"/>
      <c r="F327" s="1711"/>
      <c r="G327" s="140">
        <v>5500.5508474576272</v>
      </c>
      <c r="H327" s="134" t="s">
        <v>498</v>
      </c>
      <c r="I327" s="135" t="s">
        <v>505</v>
      </c>
      <c r="J327" s="550"/>
      <c r="K327" s="550"/>
      <c r="L327" s="550"/>
    </row>
    <row r="328" spans="1:12" ht="15" customHeight="1">
      <c r="A328" s="945" t="s">
        <v>243</v>
      </c>
      <c r="B328" s="1709" t="s">
        <v>767</v>
      </c>
      <c r="C328" s="1710"/>
      <c r="D328" s="1710"/>
      <c r="E328" s="1710"/>
      <c r="F328" s="1711"/>
      <c r="G328" s="140">
        <v>1496.0542372881357</v>
      </c>
      <c r="H328" s="134" t="s">
        <v>505</v>
      </c>
      <c r="I328" s="135" t="s">
        <v>620</v>
      </c>
      <c r="J328" s="550"/>
      <c r="K328" s="550"/>
      <c r="L328" s="550"/>
    </row>
    <row r="329" spans="1:12" ht="28.5" customHeight="1">
      <c r="A329" s="945" t="s">
        <v>567</v>
      </c>
      <c r="B329" s="1709" t="s">
        <v>768</v>
      </c>
      <c r="C329" s="1710"/>
      <c r="D329" s="1710"/>
      <c r="E329" s="1710"/>
      <c r="F329" s="1711"/>
      <c r="G329" s="141">
        <v>1422.4152542372883</v>
      </c>
      <c r="H329" s="134" t="s">
        <v>505</v>
      </c>
      <c r="I329" s="135" t="s">
        <v>620</v>
      </c>
      <c r="J329" s="550"/>
      <c r="K329" s="550"/>
      <c r="L329" s="550"/>
    </row>
    <row r="330" spans="1:12" ht="15" customHeight="1">
      <c r="A330" s="945" t="s">
        <v>568</v>
      </c>
      <c r="B330" s="1709" t="s">
        <v>769</v>
      </c>
      <c r="C330" s="1710"/>
      <c r="D330" s="1710"/>
      <c r="E330" s="1710"/>
      <c r="F330" s="1711"/>
      <c r="G330" s="141">
        <v>62.982203389830516</v>
      </c>
      <c r="H330" s="134" t="s">
        <v>519</v>
      </c>
      <c r="I330" s="135" t="s">
        <v>519</v>
      </c>
      <c r="J330" s="550"/>
      <c r="K330" s="550"/>
      <c r="L330" s="550"/>
    </row>
    <row r="331" spans="1:12" ht="24.75" customHeight="1">
      <c r="A331" s="945" t="s">
        <v>569</v>
      </c>
      <c r="B331" s="1709" t="s">
        <v>770</v>
      </c>
      <c r="C331" s="1710"/>
      <c r="D331" s="1710"/>
      <c r="E331" s="1710"/>
      <c r="F331" s="1711"/>
      <c r="G331" s="141">
        <v>1034.1694915254238</v>
      </c>
      <c r="H331" s="134" t="s">
        <v>495</v>
      </c>
      <c r="I331" s="135" t="s">
        <v>495</v>
      </c>
      <c r="J331" s="550"/>
      <c r="K331" s="550"/>
      <c r="L331" s="550"/>
    </row>
    <row r="332" spans="1:12" ht="15" customHeight="1">
      <c r="A332" s="945" t="s">
        <v>771</v>
      </c>
      <c r="B332" s="1709" t="s">
        <v>772</v>
      </c>
      <c r="C332" s="1710"/>
      <c r="D332" s="1710"/>
      <c r="E332" s="1710"/>
      <c r="F332" s="1711"/>
      <c r="G332" s="141">
        <v>332.87711864406782</v>
      </c>
      <c r="H332" s="134" t="s">
        <v>495</v>
      </c>
      <c r="I332" s="135" t="s">
        <v>495</v>
      </c>
      <c r="J332" s="550"/>
      <c r="K332" s="550"/>
      <c r="L332" s="550"/>
    </row>
    <row r="333" spans="1:12" ht="15" customHeight="1">
      <c r="A333" s="945" t="s">
        <v>773</v>
      </c>
      <c r="B333" s="1709" t="s">
        <v>774</v>
      </c>
      <c r="C333" s="1710"/>
      <c r="D333" s="1710"/>
      <c r="E333" s="1710"/>
      <c r="F333" s="1711"/>
      <c r="G333" s="142">
        <v>3349.4754237288134</v>
      </c>
      <c r="H333" s="134" t="s">
        <v>505</v>
      </c>
      <c r="I333" s="135" t="s">
        <v>620</v>
      </c>
      <c r="J333" s="550"/>
      <c r="K333" s="550"/>
      <c r="L333" s="550"/>
    </row>
    <row r="334" spans="1:12" ht="15" customHeight="1">
      <c r="A334" s="945" t="s">
        <v>775</v>
      </c>
      <c r="B334" s="1709" t="s">
        <v>776</v>
      </c>
      <c r="C334" s="1710"/>
      <c r="D334" s="1710"/>
      <c r="E334" s="1710"/>
      <c r="F334" s="1711"/>
      <c r="G334" s="141">
        <v>292.79576271186443</v>
      </c>
      <c r="H334" s="134" t="s">
        <v>620</v>
      </c>
      <c r="I334" s="135" t="s">
        <v>620</v>
      </c>
      <c r="J334" s="550"/>
      <c r="K334" s="550"/>
      <c r="L334" s="550"/>
    </row>
    <row r="335" spans="1:12" ht="15" customHeight="1">
      <c r="A335" s="945" t="s">
        <v>777</v>
      </c>
      <c r="B335" s="1709" t="s">
        <v>778</v>
      </c>
      <c r="C335" s="1710"/>
      <c r="D335" s="1710"/>
      <c r="E335" s="1710"/>
      <c r="F335" s="1711"/>
      <c r="G335" s="140">
        <v>877.42627118644077</v>
      </c>
      <c r="H335" s="134" t="s">
        <v>519</v>
      </c>
      <c r="I335" s="135" t="s">
        <v>519</v>
      </c>
      <c r="J335" s="550"/>
      <c r="K335" s="550"/>
      <c r="L335" s="550"/>
    </row>
    <row r="336" spans="1:12" ht="15" customHeight="1">
      <c r="A336" s="945" t="s">
        <v>779</v>
      </c>
      <c r="B336" s="1709" t="s">
        <v>780</v>
      </c>
      <c r="C336" s="1710"/>
      <c r="D336" s="1710"/>
      <c r="E336" s="1710"/>
      <c r="F336" s="1711"/>
      <c r="G336" s="141">
        <v>3322.0338983050851</v>
      </c>
      <c r="H336" s="134" t="s">
        <v>495</v>
      </c>
      <c r="I336" s="135" t="s">
        <v>495</v>
      </c>
      <c r="J336" s="550"/>
      <c r="K336" s="550"/>
      <c r="L336" s="550"/>
    </row>
    <row r="337" spans="1:12" ht="29.25" customHeight="1">
      <c r="A337" s="945" t="s">
        <v>781</v>
      </c>
      <c r="B337" s="1709" t="s">
        <v>782</v>
      </c>
      <c r="C337" s="1710"/>
      <c r="D337" s="1710"/>
      <c r="E337" s="1710"/>
      <c r="F337" s="1711"/>
      <c r="G337" s="141">
        <v>423.72881355932208</v>
      </c>
      <c r="H337" s="134" t="s">
        <v>495</v>
      </c>
      <c r="I337" s="135" t="s">
        <v>500</v>
      </c>
      <c r="J337" s="550"/>
      <c r="K337" s="550"/>
      <c r="L337" s="550"/>
    </row>
    <row r="338" spans="1:12" ht="15.75" customHeight="1">
      <c r="A338" s="945" t="s">
        <v>783</v>
      </c>
      <c r="B338" s="1709" t="s">
        <v>784</v>
      </c>
      <c r="C338" s="1710"/>
      <c r="D338" s="1710"/>
      <c r="E338" s="1710"/>
      <c r="F338" s="1711"/>
      <c r="G338" s="141">
        <v>127.12372881355932</v>
      </c>
      <c r="H338" s="134" t="s">
        <v>498</v>
      </c>
      <c r="I338" s="135" t="s">
        <v>498</v>
      </c>
      <c r="J338" s="550"/>
      <c r="K338" s="550"/>
      <c r="L338" s="550"/>
    </row>
    <row r="339" spans="1:12" ht="15" customHeight="1">
      <c r="A339" s="945" t="s">
        <v>785</v>
      </c>
      <c r="B339" s="1709" t="s">
        <v>786</v>
      </c>
      <c r="C339" s="1710"/>
      <c r="D339" s="1710"/>
      <c r="E339" s="1710"/>
      <c r="F339" s="1711"/>
      <c r="G339" s="140">
        <v>2344.906779661017</v>
      </c>
      <c r="H339" s="134" t="s">
        <v>519</v>
      </c>
      <c r="I339" s="135" t="s">
        <v>519</v>
      </c>
      <c r="J339" s="550"/>
      <c r="K339" s="550"/>
      <c r="L339" s="550"/>
    </row>
    <row r="340" spans="1:12" ht="15" customHeight="1">
      <c r="A340" s="1712" t="s">
        <v>410</v>
      </c>
      <c r="B340" s="1713"/>
      <c r="C340" s="1713"/>
      <c r="D340" s="1713"/>
      <c r="E340" s="1713"/>
      <c r="F340" s="1714"/>
      <c r="G340" s="388">
        <v>2430.093220338983</v>
      </c>
      <c r="H340" s="143"/>
      <c r="I340" s="135"/>
      <c r="J340" s="550"/>
      <c r="K340" s="550"/>
      <c r="L340" s="550"/>
    </row>
    <row r="341" spans="1:12" ht="15" customHeight="1">
      <c r="A341" s="944" t="s">
        <v>248</v>
      </c>
      <c r="B341" s="1708" t="s">
        <v>787</v>
      </c>
      <c r="C341" s="1660"/>
      <c r="D341" s="1660"/>
      <c r="E341" s="1660"/>
      <c r="F341" s="1661"/>
      <c r="G341" s="141">
        <v>72.422033898305088</v>
      </c>
      <c r="H341" s="134" t="s">
        <v>494</v>
      </c>
      <c r="I341" s="135" t="s">
        <v>494</v>
      </c>
      <c r="J341" s="550"/>
      <c r="K341" s="550"/>
      <c r="L341" s="550"/>
    </row>
    <row r="342" spans="1:12" ht="15" customHeight="1">
      <c r="A342" s="944" t="s">
        <v>249</v>
      </c>
      <c r="B342" s="1708" t="s">
        <v>788</v>
      </c>
      <c r="C342" s="1660"/>
      <c r="D342" s="1660"/>
      <c r="E342" s="1660"/>
      <c r="F342" s="1661"/>
      <c r="G342" s="141">
        <v>46.722033898305085</v>
      </c>
      <c r="H342" s="134" t="s">
        <v>494</v>
      </c>
      <c r="I342" s="135" t="s">
        <v>494</v>
      </c>
      <c r="J342" s="550"/>
      <c r="K342" s="550"/>
      <c r="L342" s="550"/>
    </row>
    <row r="343" spans="1:12" ht="15" customHeight="1">
      <c r="A343" s="944" t="s">
        <v>250</v>
      </c>
      <c r="B343" s="1708" t="s">
        <v>789</v>
      </c>
      <c r="C343" s="1660"/>
      <c r="D343" s="1660"/>
      <c r="E343" s="1660"/>
      <c r="F343" s="1661"/>
      <c r="G343" s="141">
        <v>46.640677966101698</v>
      </c>
      <c r="H343" s="134" t="s">
        <v>494</v>
      </c>
      <c r="I343" s="135" t="s">
        <v>494</v>
      </c>
      <c r="J343" s="550"/>
      <c r="K343" s="550"/>
      <c r="L343" s="550"/>
    </row>
    <row r="344" spans="1:12" ht="15" customHeight="1">
      <c r="A344" s="944" t="s">
        <v>251</v>
      </c>
      <c r="B344" s="1708" t="s">
        <v>790</v>
      </c>
      <c r="C344" s="1660"/>
      <c r="D344" s="1660"/>
      <c r="E344" s="1660"/>
      <c r="F344" s="1661"/>
      <c r="G344" s="141">
        <v>62.79915254237288</v>
      </c>
      <c r="H344" s="134" t="s">
        <v>494</v>
      </c>
      <c r="I344" s="135" t="s">
        <v>494</v>
      </c>
      <c r="J344" s="550"/>
      <c r="K344" s="550"/>
      <c r="L344" s="550"/>
    </row>
    <row r="345" spans="1:12" ht="15" customHeight="1">
      <c r="A345" s="944" t="s">
        <v>252</v>
      </c>
      <c r="B345" s="1708" t="s">
        <v>788</v>
      </c>
      <c r="C345" s="1660"/>
      <c r="D345" s="1660"/>
      <c r="E345" s="1660"/>
      <c r="F345" s="1661"/>
      <c r="G345" s="141">
        <v>66.870338983050843</v>
      </c>
      <c r="H345" s="134" t="s">
        <v>494</v>
      </c>
      <c r="I345" s="135" t="s">
        <v>494</v>
      </c>
      <c r="J345" s="550"/>
      <c r="K345" s="550"/>
      <c r="L345" s="550"/>
    </row>
    <row r="346" spans="1:12" ht="15" customHeight="1">
      <c r="A346" s="944" t="s">
        <v>253</v>
      </c>
      <c r="B346" s="1708" t="s">
        <v>789</v>
      </c>
      <c r="C346" s="1660"/>
      <c r="D346" s="1660"/>
      <c r="E346" s="1660"/>
      <c r="F346" s="1661"/>
      <c r="G346" s="141">
        <v>66.870338983050843</v>
      </c>
      <c r="H346" s="134" t="s">
        <v>494</v>
      </c>
      <c r="I346" s="135" t="s">
        <v>494</v>
      </c>
      <c r="J346" s="550"/>
      <c r="K346" s="550"/>
      <c r="L346" s="550"/>
    </row>
    <row r="347" spans="1:12" ht="52.5" customHeight="1">
      <c r="A347" s="944" t="s">
        <v>254</v>
      </c>
      <c r="B347" s="1708" t="s">
        <v>791</v>
      </c>
      <c r="C347" s="1660"/>
      <c r="D347" s="1660"/>
      <c r="E347" s="1660"/>
      <c r="F347" s="1661"/>
      <c r="G347" s="141">
        <v>46.722033898305085</v>
      </c>
      <c r="H347" s="134" t="s">
        <v>494</v>
      </c>
      <c r="I347" s="135" t="s">
        <v>494</v>
      </c>
      <c r="J347" s="550"/>
      <c r="K347" s="550"/>
      <c r="L347" s="550"/>
    </row>
    <row r="348" spans="1:12" ht="21" hidden="1" customHeight="1">
      <c r="A348" s="944" t="s">
        <v>255</v>
      </c>
      <c r="B348" s="1708" t="s">
        <v>792</v>
      </c>
      <c r="C348" s="1660"/>
      <c r="D348" s="1660"/>
      <c r="E348" s="1660"/>
      <c r="F348" s="1661"/>
      <c r="G348" s="141">
        <v>65.148305084745772</v>
      </c>
      <c r="H348" s="134" t="s">
        <v>519</v>
      </c>
      <c r="I348" s="135" t="s">
        <v>519</v>
      </c>
      <c r="J348" s="550"/>
      <c r="K348" s="550"/>
      <c r="L348" s="550"/>
    </row>
    <row r="349" spans="1:12" ht="41.25" hidden="1" customHeight="1">
      <c r="A349" s="944" t="s">
        <v>256</v>
      </c>
      <c r="B349" s="1709" t="s">
        <v>857</v>
      </c>
      <c r="C349" s="1660"/>
      <c r="D349" s="1660"/>
      <c r="E349" s="1660"/>
      <c r="F349" s="1661"/>
      <c r="G349" s="140">
        <v>1955.898305084746</v>
      </c>
      <c r="H349" s="134" t="s">
        <v>620</v>
      </c>
      <c r="I349" s="135" t="s">
        <v>507</v>
      </c>
      <c r="J349" s="550"/>
      <c r="K349" s="550"/>
      <c r="L349" s="550"/>
    </row>
    <row r="350" spans="1:12" ht="39.75" hidden="1" customHeight="1">
      <c r="A350" s="1623" t="s">
        <v>802</v>
      </c>
      <c r="B350" s="1704"/>
      <c r="C350" s="1704"/>
      <c r="D350" s="1704"/>
      <c r="E350" s="1704"/>
      <c r="F350" s="1704"/>
      <c r="G350" s="146">
        <v>59327.577652542379</v>
      </c>
      <c r="H350" s="363"/>
      <c r="I350" s="167"/>
      <c r="J350" s="550"/>
      <c r="K350" s="550"/>
      <c r="L350" s="550"/>
    </row>
    <row r="351" spans="1:12" ht="39.75" hidden="1" customHeight="1">
      <c r="A351" s="45" t="s">
        <v>261</v>
      </c>
      <c r="B351" s="1698" t="s">
        <v>793</v>
      </c>
      <c r="C351" s="1699"/>
      <c r="D351" s="1699"/>
      <c r="E351" s="1699"/>
      <c r="F351" s="1700"/>
      <c r="G351" s="47">
        <v>338.19</v>
      </c>
      <c r="H351" s="144" t="s">
        <v>494</v>
      </c>
      <c r="I351" s="145" t="s">
        <v>507</v>
      </c>
      <c r="J351" s="550"/>
      <c r="K351" s="550"/>
      <c r="L351" s="550"/>
    </row>
    <row r="352" spans="1:12" ht="39.75" hidden="1" customHeight="1">
      <c r="A352" s="45" t="s">
        <v>262</v>
      </c>
      <c r="B352" s="1701" t="s">
        <v>794</v>
      </c>
      <c r="C352" s="1702"/>
      <c r="D352" s="1702"/>
      <c r="E352" s="1702"/>
      <c r="F352" s="1703"/>
      <c r="G352" s="47">
        <v>23.6</v>
      </c>
      <c r="H352" s="144" t="s">
        <v>507</v>
      </c>
      <c r="I352" s="145" t="s">
        <v>507</v>
      </c>
      <c r="J352" s="550"/>
      <c r="K352" s="550"/>
      <c r="L352" s="550"/>
    </row>
    <row r="353" spans="1:12" ht="39.75" hidden="1" customHeight="1">
      <c r="A353" s="45" t="s">
        <v>263</v>
      </c>
      <c r="B353" s="1698" t="s">
        <v>795</v>
      </c>
      <c r="C353" s="1699"/>
      <c r="D353" s="1699"/>
      <c r="E353" s="1699"/>
      <c r="F353" s="1700"/>
      <c r="G353" s="47">
        <v>354</v>
      </c>
      <c r="H353" s="144" t="s">
        <v>509</v>
      </c>
      <c r="I353" s="145" t="s">
        <v>509</v>
      </c>
      <c r="J353" s="550"/>
      <c r="K353" s="550"/>
      <c r="L353" s="550"/>
    </row>
    <row r="354" spans="1:12" ht="44.25" hidden="1" customHeight="1">
      <c r="A354" s="45" t="s">
        <v>264</v>
      </c>
      <c r="B354" s="1698" t="s">
        <v>796</v>
      </c>
      <c r="C354" s="1699"/>
      <c r="D354" s="1699"/>
      <c r="E354" s="1699"/>
      <c r="F354" s="1700"/>
      <c r="G354" s="47">
        <v>826</v>
      </c>
      <c r="H354" s="144" t="s">
        <v>519</v>
      </c>
      <c r="I354" s="145" t="s">
        <v>519</v>
      </c>
      <c r="J354" s="550"/>
      <c r="K354" s="550"/>
      <c r="L354" s="550"/>
    </row>
    <row r="355" spans="1:12" ht="42.75" hidden="1" customHeight="1">
      <c r="A355" s="45" t="s">
        <v>265</v>
      </c>
      <c r="B355" s="1701" t="s">
        <v>797</v>
      </c>
      <c r="C355" s="1702"/>
      <c r="D355" s="1702"/>
      <c r="E355" s="1702"/>
      <c r="F355" s="1703"/>
      <c r="G355" s="47">
        <v>826</v>
      </c>
      <c r="H355" s="144" t="s">
        <v>519</v>
      </c>
      <c r="I355" s="145" t="s">
        <v>519</v>
      </c>
      <c r="J355" s="550"/>
      <c r="K355" s="550"/>
      <c r="L355" s="550"/>
    </row>
    <row r="356" spans="1:12" ht="39.75" hidden="1" customHeight="1">
      <c r="A356" s="45" t="s">
        <v>266</v>
      </c>
      <c r="B356" s="1698" t="s">
        <v>798</v>
      </c>
      <c r="C356" s="1699"/>
      <c r="D356" s="1699"/>
      <c r="E356" s="1699"/>
      <c r="F356" s="1700"/>
      <c r="G356" s="47">
        <v>1180</v>
      </c>
      <c r="H356" s="144" t="s">
        <v>494</v>
      </c>
      <c r="I356" s="145" t="s">
        <v>507</v>
      </c>
      <c r="J356" s="550"/>
      <c r="K356" s="550"/>
      <c r="L356" s="550"/>
    </row>
    <row r="357" spans="1:12" ht="39.75" hidden="1" customHeight="1">
      <c r="A357" s="45" t="s">
        <v>267</v>
      </c>
      <c r="B357" s="1698" t="s">
        <v>799</v>
      </c>
      <c r="C357" s="1699"/>
      <c r="D357" s="1699"/>
      <c r="E357" s="1699"/>
      <c r="F357" s="1700"/>
      <c r="G357" s="47">
        <v>346</v>
      </c>
      <c r="H357" s="144" t="s">
        <v>494</v>
      </c>
      <c r="I357" s="145" t="s">
        <v>507</v>
      </c>
      <c r="J357" s="550"/>
      <c r="K357" s="550"/>
      <c r="L357" s="550"/>
    </row>
    <row r="358" spans="1:12" ht="81" hidden="1" customHeight="1">
      <c r="A358" s="45" t="s">
        <v>268</v>
      </c>
      <c r="B358" s="1698" t="s">
        <v>800</v>
      </c>
      <c r="C358" s="1699"/>
      <c r="D358" s="1699"/>
      <c r="E358" s="1699"/>
      <c r="F358" s="1700"/>
      <c r="G358" s="47">
        <v>649</v>
      </c>
      <c r="H358" s="144" t="s">
        <v>495</v>
      </c>
      <c r="I358" s="145" t="s">
        <v>495</v>
      </c>
      <c r="J358" s="550"/>
      <c r="K358" s="550"/>
      <c r="L358" s="550"/>
    </row>
    <row r="359" spans="1:12" ht="102.75" hidden="1" customHeight="1">
      <c r="A359" s="45" t="s">
        <v>269</v>
      </c>
      <c r="B359" s="1698" t="s">
        <v>801</v>
      </c>
      <c r="C359" s="1699"/>
      <c r="D359" s="1699"/>
      <c r="E359" s="1699"/>
      <c r="F359" s="1700"/>
      <c r="G359" s="47">
        <v>1000</v>
      </c>
      <c r="H359" s="144" t="s">
        <v>494</v>
      </c>
      <c r="I359" s="145" t="s">
        <v>507</v>
      </c>
      <c r="J359" s="550"/>
      <c r="K359" s="550"/>
      <c r="L359" s="550"/>
    </row>
    <row r="360" spans="1:12" ht="15.75">
      <c r="A360" s="1623" t="s">
        <v>802</v>
      </c>
      <c r="B360" s="1704"/>
      <c r="C360" s="1704"/>
      <c r="D360" s="1704"/>
      <c r="E360" s="1704"/>
      <c r="F360" s="1704"/>
      <c r="G360" s="146">
        <f>G267+G340</f>
        <v>59327.577652542379</v>
      </c>
      <c r="H360" s="363"/>
      <c r="I360" s="167"/>
      <c r="J360" s="550"/>
      <c r="K360" s="550"/>
      <c r="L360" s="550"/>
    </row>
    <row r="361" spans="1:12" ht="18.75">
      <c r="A361" s="1705" t="s">
        <v>320</v>
      </c>
      <c r="B361" s="1706"/>
      <c r="C361" s="1706"/>
      <c r="D361" s="1706"/>
      <c r="E361" s="1706"/>
      <c r="F361" s="1706"/>
      <c r="G361" s="1706"/>
      <c r="H361" s="1706"/>
      <c r="I361" s="1707"/>
      <c r="J361" s="550"/>
      <c r="K361" s="550"/>
      <c r="L361" s="550"/>
    </row>
    <row r="362" spans="1:12" ht="18.75">
      <c r="A362" s="151">
        <v>1</v>
      </c>
      <c r="B362" s="1653" t="s">
        <v>805</v>
      </c>
      <c r="C362" s="1653"/>
      <c r="D362" s="1653"/>
      <c r="E362" s="1653"/>
      <c r="F362" s="1653"/>
      <c r="G362" s="366">
        <f>G363+G390+G393+G398+G404+G408+G415+G426</f>
        <v>44170.215880000003</v>
      </c>
      <c r="H362" s="367"/>
      <c r="I362" s="367"/>
      <c r="J362" s="550"/>
      <c r="K362" s="569"/>
      <c r="L362" s="550"/>
    </row>
    <row r="363" spans="1:12">
      <c r="A363" s="181" t="s">
        <v>634</v>
      </c>
      <c r="B363" s="1697" t="s">
        <v>1448</v>
      </c>
      <c r="C363" s="1697"/>
      <c r="D363" s="1697"/>
      <c r="E363" s="1697"/>
      <c r="F363" s="1697"/>
      <c r="G363" s="431">
        <f>SUM(G364:G389)</f>
        <v>14830.7165</v>
      </c>
      <c r="H363" s="182"/>
      <c r="I363" s="183"/>
      <c r="J363" s="550"/>
      <c r="K363" s="550"/>
      <c r="L363" s="550"/>
    </row>
    <row r="364" spans="1:12">
      <c r="A364" s="1664" t="s">
        <v>137</v>
      </c>
      <c r="B364" s="1676" t="s">
        <v>1452</v>
      </c>
      <c r="C364" s="1692"/>
      <c r="D364" s="1692"/>
      <c r="E364" s="1692"/>
      <c r="F364" s="1693"/>
      <c r="G364" s="1679">
        <v>696.71007999999995</v>
      </c>
      <c r="H364" s="1671">
        <v>42736</v>
      </c>
      <c r="I364" s="1673">
        <v>43100</v>
      </c>
      <c r="J364" s="550"/>
      <c r="K364" s="550"/>
      <c r="L364" s="550"/>
    </row>
    <row r="365" spans="1:12">
      <c r="A365" s="1675"/>
      <c r="B365" s="130" t="s">
        <v>438</v>
      </c>
      <c r="C365" s="131">
        <v>315</v>
      </c>
      <c r="D365" s="129" t="s">
        <v>803</v>
      </c>
      <c r="E365" s="131">
        <v>64</v>
      </c>
      <c r="F365" s="398" t="s">
        <v>727</v>
      </c>
      <c r="G365" s="1680"/>
      <c r="H365" s="1672"/>
      <c r="I365" s="1674"/>
      <c r="J365" s="550"/>
      <c r="K365" s="550"/>
      <c r="L365" s="550"/>
    </row>
    <row r="366" spans="1:12">
      <c r="A366" s="1664" t="s">
        <v>138</v>
      </c>
      <c r="B366" s="1676" t="s">
        <v>1453</v>
      </c>
      <c r="C366" s="1692"/>
      <c r="D366" s="1692"/>
      <c r="E366" s="1692"/>
      <c r="F366" s="1693"/>
      <c r="G366" s="1679">
        <v>165.40958000000001</v>
      </c>
      <c r="H366" s="1671">
        <v>42736</v>
      </c>
      <c r="I366" s="1673">
        <v>43100</v>
      </c>
      <c r="J366" s="550"/>
      <c r="K366" s="550"/>
      <c r="L366" s="550"/>
    </row>
    <row r="367" spans="1:12">
      <c r="A367" s="1675"/>
      <c r="B367" s="130" t="s">
        <v>438</v>
      </c>
      <c r="C367" s="131">
        <v>160</v>
      </c>
      <c r="D367" s="129" t="s">
        <v>803</v>
      </c>
      <c r="E367" s="131">
        <v>15</v>
      </c>
      <c r="F367" s="398" t="s">
        <v>727</v>
      </c>
      <c r="G367" s="1680"/>
      <c r="H367" s="1672"/>
      <c r="I367" s="1674"/>
    </row>
    <row r="368" spans="1:12">
      <c r="A368" s="1664" t="s">
        <v>139</v>
      </c>
      <c r="B368" s="1676" t="s">
        <v>1454</v>
      </c>
      <c r="C368" s="1692"/>
      <c r="D368" s="1692"/>
      <c r="E368" s="1692"/>
      <c r="F368" s="1693"/>
      <c r="G368" s="1679">
        <v>654.30862000000002</v>
      </c>
      <c r="H368" s="1671">
        <v>42736</v>
      </c>
      <c r="I368" s="1673">
        <v>43100</v>
      </c>
    </row>
    <row r="369" spans="1:9">
      <c r="A369" s="1675"/>
      <c r="B369" s="130" t="s">
        <v>438</v>
      </c>
      <c r="C369" s="131">
        <v>160</v>
      </c>
      <c r="D369" s="129" t="s">
        <v>803</v>
      </c>
      <c r="E369" s="131">
        <v>82</v>
      </c>
      <c r="F369" s="398" t="s">
        <v>727</v>
      </c>
      <c r="G369" s="1680"/>
      <c r="H369" s="1672"/>
      <c r="I369" s="1674"/>
    </row>
    <row r="370" spans="1:9">
      <c r="A370" s="1664" t="s">
        <v>136</v>
      </c>
      <c r="B370" s="1676" t="s">
        <v>1455</v>
      </c>
      <c r="C370" s="1692"/>
      <c r="D370" s="1692"/>
      <c r="E370" s="1692"/>
      <c r="F370" s="1693"/>
      <c r="G370" s="1679">
        <v>561.20048999999995</v>
      </c>
      <c r="H370" s="1671">
        <v>42736</v>
      </c>
      <c r="I370" s="1673">
        <v>43100</v>
      </c>
    </row>
    <row r="371" spans="1:9">
      <c r="A371" s="1675"/>
      <c r="B371" s="130" t="s">
        <v>438</v>
      </c>
      <c r="C371" s="131">
        <v>225</v>
      </c>
      <c r="D371" s="129" t="s">
        <v>803</v>
      </c>
      <c r="E371" s="131">
        <v>60</v>
      </c>
      <c r="F371" s="398" t="s">
        <v>727</v>
      </c>
      <c r="G371" s="1680"/>
      <c r="H371" s="1672"/>
      <c r="I371" s="1674"/>
    </row>
    <row r="372" spans="1:9">
      <c r="A372" s="1664" t="s">
        <v>140</v>
      </c>
      <c r="B372" s="1676" t="s">
        <v>1456</v>
      </c>
      <c r="C372" s="1692"/>
      <c r="D372" s="1692"/>
      <c r="E372" s="1692"/>
      <c r="F372" s="1693"/>
      <c r="G372" s="1679">
        <v>124.10868000000001</v>
      </c>
      <c r="H372" s="1671">
        <v>42736</v>
      </c>
      <c r="I372" s="1673">
        <v>43100</v>
      </c>
    </row>
    <row r="373" spans="1:9">
      <c r="A373" s="1675"/>
      <c r="B373" s="130" t="s">
        <v>438</v>
      </c>
      <c r="C373" s="131">
        <v>160</v>
      </c>
      <c r="D373" s="129" t="s">
        <v>803</v>
      </c>
      <c r="E373" s="131">
        <v>3.03</v>
      </c>
      <c r="F373" s="398" t="s">
        <v>727</v>
      </c>
      <c r="G373" s="1680"/>
      <c r="H373" s="1672"/>
      <c r="I373" s="1674"/>
    </row>
    <row r="374" spans="1:9">
      <c r="A374" s="1664" t="s">
        <v>141</v>
      </c>
      <c r="B374" s="1676" t="s">
        <v>1457</v>
      </c>
      <c r="C374" s="1692"/>
      <c r="D374" s="1692"/>
      <c r="E374" s="1692"/>
      <c r="F374" s="1693"/>
      <c r="G374" s="1679">
        <v>538.67600000000004</v>
      </c>
      <c r="H374" s="1671">
        <v>42736</v>
      </c>
      <c r="I374" s="1673">
        <v>43100</v>
      </c>
    </row>
    <row r="375" spans="1:9">
      <c r="A375" s="1675"/>
      <c r="B375" s="130" t="s">
        <v>438</v>
      </c>
      <c r="C375" s="131">
        <v>225</v>
      </c>
      <c r="D375" s="129" t="s">
        <v>803</v>
      </c>
      <c r="E375" s="131">
        <v>57</v>
      </c>
      <c r="F375" s="398" t="s">
        <v>727</v>
      </c>
      <c r="G375" s="1696"/>
      <c r="H375" s="1672"/>
      <c r="I375" s="1674"/>
    </row>
    <row r="376" spans="1:9" ht="15.75" customHeight="1">
      <c r="A376" s="1664" t="s">
        <v>142</v>
      </c>
      <c r="B376" s="1676" t="s">
        <v>1458</v>
      </c>
      <c r="C376" s="1692"/>
      <c r="D376" s="1692"/>
      <c r="E376" s="1692"/>
      <c r="F376" s="1693"/>
      <c r="G376" s="1679">
        <v>3074.4742000000001</v>
      </c>
      <c r="H376" s="1671">
        <v>42736</v>
      </c>
      <c r="I376" s="1673">
        <v>43100</v>
      </c>
    </row>
    <row r="377" spans="1:9">
      <c r="A377" s="1675"/>
      <c r="B377" s="234" t="s">
        <v>438</v>
      </c>
      <c r="C377" s="132">
        <v>800</v>
      </c>
      <c r="D377" s="132" t="s">
        <v>803</v>
      </c>
      <c r="E377" s="132">
        <v>80</v>
      </c>
      <c r="F377" s="399" t="s">
        <v>727</v>
      </c>
      <c r="G377" s="1680"/>
      <c r="H377" s="1672"/>
      <c r="I377" s="1674"/>
    </row>
    <row r="378" spans="1:9" ht="15" customHeight="1">
      <c r="A378" s="1683" t="s">
        <v>143</v>
      </c>
      <c r="B378" s="1686" t="s">
        <v>1459</v>
      </c>
      <c r="C378" s="1694"/>
      <c r="D378" s="1694"/>
      <c r="E378" s="1694"/>
      <c r="F378" s="1695"/>
      <c r="G378" s="1679">
        <v>430.39659</v>
      </c>
      <c r="H378" s="1671">
        <v>42736</v>
      </c>
      <c r="I378" s="1673">
        <v>42766</v>
      </c>
    </row>
    <row r="379" spans="1:9">
      <c r="A379" s="1684"/>
      <c r="B379" s="400" t="s">
        <v>438</v>
      </c>
      <c r="C379" s="132">
        <v>100</v>
      </c>
      <c r="D379" s="132" t="s">
        <v>803</v>
      </c>
      <c r="E379" s="132">
        <v>70</v>
      </c>
      <c r="F379" s="399" t="s">
        <v>727</v>
      </c>
      <c r="G379" s="1689"/>
      <c r="H379" s="1690"/>
      <c r="I379" s="1691"/>
    </row>
    <row r="380" spans="1:9">
      <c r="A380" s="1685"/>
      <c r="B380" s="128" t="s">
        <v>438</v>
      </c>
      <c r="C380" s="129">
        <v>225</v>
      </c>
      <c r="D380" s="129" t="s">
        <v>803</v>
      </c>
      <c r="E380" s="129">
        <v>70.7</v>
      </c>
      <c r="F380" s="401" t="s">
        <v>727</v>
      </c>
      <c r="G380" s="1680"/>
      <c r="H380" s="1672"/>
      <c r="I380" s="1674"/>
    </row>
    <row r="381" spans="1:9">
      <c r="A381" s="1664" t="s">
        <v>144</v>
      </c>
      <c r="B381" s="1666" t="s">
        <v>1460</v>
      </c>
      <c r="C381" s="1681"/>
      <c r="D381" s="1681"/>
      <c r="E381" s="1681"/>
      <c r="F381" s="1682"/>
      <c r="G381" s="1679">
        <v>400.62939</v>
      </c>
      <c r="H381" s="1671">
        <v>42736</v>
      </c>
      <c r="I381" s="1673">
        <v>43100</v>
      </c>
    </row>
    <row r="382" spans="1:9">
      <c r="A382" s="1675"/>
      <c r="B382" s="234" t="s">
        <v>438</v>
      </c>
      <c r="C382" s="132">
        <v>300</v>
      </c>
      <c r="D382" s="132" t="s">
        <v>803</v>
      </c>
      <c r="E382" s="132">
        <v>75</v>
      </c>
      <c r="F382" s="399" t="s">
        <v>727</v>
      </c>
      <c r="G382" s="1680"/>
      <c r="H382" s="1672"/>
      <c r="I382" s="1674"/>
    </row>
    <row r="383" spans="1:9" ht="27.75" customHeight="1">
      <c r="A383" s="1683" t="s">
        <v>145</v>
      </c>
      <c r="B383" s="1686" t="s">
        <v>1461</v>
      </c>
      <c r="C383" s="1687"/>
      <c r="D383" s="1687"/>
      <c r="E383" s="1687"/>
      <c r="F383" s="1688"/>
      <c r="G383" s="1679">
        <v>138.97526999999999</v>
      </c>
      <c r="H383" s="1671">
        <v>42736</v>
      </c>
      <c r="I383" s="1673">
        <v>42766</v>
      </c>
    </row>
    <row r="384" spans="1:9">
      <c r="A384" s="1684"/>
      <c r="B384" s="400" t="s">
        <v>438</v>
      </c>
      <c r="C384" s="132">
        <v>200</v>
      </c>
      <c r="D384" s="132" t="s">
        <v>803</v>
      </c>
      <c r="E384" s="132">
        <v>32</v>
      </c>
      <c r="F384" s="399" t="s">
        <v>727</v>
      </c>
      <c r="G384" s="1689"/>
      <c r="H384" s="1690"/>
      <c r="I384" s="1691"/>
    </row>
    <row r="385" spans="1:10">
      <c r="A385" s="1685"/>
      <c r="B385" s="128" t="s">
        <v>438</v>
      </c>
      <c r="C385" s="129">
        <v>225</v>
      </c>
      <c r="D385" s="129" t="s">
        <v>803</v>
      </c>
      <c r="E385" s="129">
        <v>32.32</v>
      </c>
      <c r="F385" s="401" t="s">
        <v>727</v>
      </c>
      <c r="G385" s="1680"/>
      <c r="H385" s="1672"/>
      <c r="I385" s="1674"/>
    </row>
    <row r="386" spans="1:10">
      <c r="A386" s="1664" t="s">
        <v>146</v>
      </c>
      <c r="B386" s="1666" t="s">
        <v>1462</v>
      </c>
      <c r="C386" s="1667"/>
      <c r="D386" s="1667"/>
      <c r="E386" s="1667"/>
      <c r="F386" s="1668"/>
      <c r="G386" s="1669">
        <v>3835.183</v>
      </c>
      <c r="H386" s="1671">
        <v>42736</v>
      </c>
      <c r="I386" s="1673">
        <v>43100</v>
      </c>
      <c r="J386" s="550"/>
    </row>
    <row r="387" spans="1:10">
      <c r="A387" s="1665"/>
      <c r="B387" s="130" t="s">
        <v>438</v>
      </c>
      <c r="C387" s="131">
        <v>315</v>
      </c>
      <c r="D387" s="129" t="s">
        <v>803</v>
      </c>
      <c r="E387" s="131">
        <v>330</v>
      </c>
      <c r="F387" s="398" t="s">
        <v>727</v>
      </c>
      <c r="G387" s="1670"/>
      <c r="H387" s="1672"/>
      <c r="I387" s="1674"/>
      <c r="J387" s="550"/>
    </row>
    <row r="388" spans="1:10">
      <c r="A388" s="1664" t="s">
        <v>147</v>
      </c>
      <c r="B388" s="1676" t="s">
        <v>1463</v>
      </c>
      <c r="C388" s="1677"/>
      <c r="D388" s="1677"/>
      <c r="E388" s="1677"/>
      <c r="F388" s="1678"/>
      <c r="G388" s="1679">
        <v>4210.6445999999996</v>
      </c>
      <c r="H388" s="1671">
        <v>42736</v>
      </c>
      <c r="I388" s="1673">
        <v>43100</v>
      </c>
      <c r="J388" s="550"/>
    </row>
    <row r="389" spans="1:10">
      <c r="A389" s="1675"/>
      <c r="B389" s="130" t="s">
        <v>438</v>
      </c>
      <c r="C389" s="131">
        <v>500</v>
      </c>
      <c r="D389" s="129" t="s">
        <v>803</v>
      </c>
      <c r="E389" s="131">
        <v>300</v>
      </c>
      <c r="F389" s="398" t="s">
        <v>727</v>
      </c>
      <c r="G389" s="1680"/>
      <c r="H389" s="1672"/>
      <c r="I389" s="1674"/>
      <c r="J389" s="550"/>
    </row>
    <row r="390" spans="1:10" ht="15" customHeight="1">
      <c r="A390" s="1638" t="s">
        <v>738</v>
      </c>
      <c r="B390" s="1654"/>
      <c r="C390" s="1654"/>
      <c r="D390" s="1654"/>
      <c r="E390" s="1654"/>
      <c r="F390" s="1655"/>
      <c r="G390" s="435">
        <f>SUM(G391:G392)</f>
        <v>87.528000000000006</v>
      </c>
      <c r="H390" s="182"/>
      <c r="I390" s="183"/>
      <c r="J390" s="550"/>
    </row>
    <row r="391" spans="1:10">
      <c r="A391" s="179" t="s">
        <v>176</v>
      </c>
      <c r="B391" s="1646" t="s">
        <v>1449</v>
      </c>
      <c r="C391" s="1647"/>
      <c r="D391" s="1647"/>
      <c r="E391" s="1647"/>
      <c r="F391" s="1648"/>
      <c r="G391" s="394">
        <v>43.764000000000003</v>
      </c>
      <c r="H391" s="180">
        <v>42736</v>
      </c>
      <c r="I391" s="571">
        <v>43100</v>
      </c>
      <c r="J391" s="550"/>
    </row>
    <row r="392" spans="1:10">
      <c r="A392" s="179" t="s">
        <v>177</v>
      </c>
      <c r="B392" s="1646" t="s">
        <v>1450</v>
      </c>
      <c r="C392" s="1647"/>
      <c r="D392" s="1647"/>
      <c r="E392" s="1647"/>
      <c r="F392" s="1648"/>
      <c r="G392" s="394">
        <v>43.764000000000003</v>
      </c>
      <c r="H392" s="180">
        <v>42736</v>
      </c>
      <c r="I392" s="571">
        <v>43100</v>
      </c>
      <c r="J392" s="550"/>
    </row>
    <row r="393" spans="1:10" ht="15" customHeight="1">
      <c r="A393" s="1638" t="s">
        <v>741</v>
      </c>
      <c r="B393" s="1654"/>
      <c r="C393" s="1654"/>
      <c r="D393" s="1654"/>
      <c r="E393" s="1654"/>
      <c r="F393" s="1655"/>
      <c r="G393" s="435">
        <f>SUM(G394:G397)</f>
        <v>1994.1308899999999</v>
      </c>
      <c r="H393" s="182"/>
      <c r="I393" s="183"/>
    </row>
    <row r="394" spans="1:10">
      <c r="A394" s="179" t="s">
        <v>185</v>
      </c>
      <c r="B394" s="1646" t="s">
        <v>1449</v>
      </c>
      <c r="C394" s="1647"/>
      <c r="D394" s="1647"/>
      <c r="E394" s="1647"/>
      <c r="F394" s="1648"/>
      <c r="G394" s="394">
        <v>399.68110999999999</v>
      </c>
      <c r="H394" s="180">
        <v>42736</v>
      </c>
      <c r="I394" s="571">
        <v>43100</v>
      </c>
    </row>
    <row r="395" spans="1:10">
      <c r="A395" s="179" t="s">
        <v>186</v>
      </c>
      <c r="B395" s="1646" t="s">
        <v>1450</v>
      </c>
      <c r="C395" s="1647"/>
      <c r="D395" s="1647"/>
      <c r="E395" s="1647"/>
      <c r="F395" s="1648"/>
      <c r="G395" s="394">
        <v>623.11027999999999</v>
      </c>
      <c r="H395" s="180">
        <v>42736</v>
      </c>
      <c r="I395" s="571">
        <v>43100</v>
      </c>
    </row>
    <row r="396" spans="1:10">
      <c r="A396" s="179" t="s">
        <v>187</v>
      </c>
      <c r="B396" s="1646" t="s">
        <v>1451</v>
      </c>
      <c r="C396" s="1647"/>
      <c r="D396" s="1647"/>
      <c r="E396" s="1647"/>
      <c r="F396" s="1648"/>
      <c r="G396" s="394">
        <v>431.11450000000002</v>
      </c>
      <c r="H396" s="180">
        <v>42736</v>
      </c>
      <c r="I396" s="571">
        <v>43100</v>
      </c>
    </row>
    <row r="397" spans="1:10">
      <c r="A397" s="179" t="s">
        <v>188</v>
      </c>
      <c r="B397" s="1659" t="s">
        <v>742</v>
      </c>
      <c r="C397" s="1662"/>
      <c r="D397" s="1662"/>
      <c r="E397" s="1662"/>
      <c r="F397" s="1663"/>
      <c r="G397" s="572">
        <v>540.22499999999991</v>
      </c>
      <c r="H397" s="180">
        <v>42736</v>
      </c>
      <c r="I397" s="571">
        <v>43100</v>
      </c>
    </row>
    <row r="398" spans="1:10" ht="15" customHeight="1">
      <c r="A398" s="1638" t="s">
        <v>1900</v>
      </c>
      <c r="B398" s="1654"/>
      <c r="C398" s="1654"/>
      <c r="D398" s="1654"/>
      <c r="E398" s="1654"/>
      <c r="F398" s="1655"/>
      <c r="G398" s="435">
        <f>SUM(G399:G403)</f>
        <v>1296.30018</v>
      </c>
      <c r="H398" s="182"/>
      <c r="I398" s="183"/>
    </row>
    <row r="399" spans="1:10" ht="15" customHeight="1">
      <c r="A399" s="179" t="s">
        <v>198</v>
      </c>
      <c r="B399" s="1646" t="s">
        <v>1481</v>
      </c>
      <c r="C399" s="1647"/>
      <c r="D399" s="1647"/>
      <c r="E399" s="1647"/>
      <c r="F399" s="1648"/>
      <c r="G399" s="394">
        <v>149.44</v>
      </c>
      <c r="H399" s="180">
        <v>42736</v>
      </c>
      <c r="I399" s="571">
        <v>43100</v>
      </c>
    </row>
    <row r="400" spans="1:10" ht="15" customHeight="1">
      <c r="A400" s="179" t="s">
        <v>199</v>
      </c>
      <c r="B400" s="1646" t="s">
        <v>1483</v>
      </c>
      <c r="C400" s="1647"/>
      <c r="D400" s="1647"/>
      <c r="E400" s="1647"/>
      <c r="F400" s="1648"/>
      <c r="G400" s="394">
        <v>397.53399999999999</v>
      </c>
      <c r="H400" s="180">
        <v>42736</v>
      </c>
      <c r="I400" s="571">
        <v>43100</v>
      </c>
    </row>
    <row r="401" spans="1:10" ht="15" customHeight="1">
      <c r="A401" s="179" t="s">
        <v>200</v>
      </c>
      <c r="B401" s="1646" t="s">
        <v>1484</v>
      </c>
      <c r="C401" s="1647"/>
      <c r="D401" s="1647"/>
      <c r="E401" s="1647"/>
      <c r="F401" s="1648"/>
      <c r="G401" s="394">
        <v>96.676000000000002</v>
      </c>
      <c r="H401" s="180">
        <v>42736</v>
      </c>
      <c r="I401" s="571">
        <v>43100</v>
      </c>
    </row>
    <row r="402" spans="1:10" ht="15" customHeight="1">
      <c r="A402" s="179" t="s">
        <v>201</v>
      </c>
      <c r="B402" s="1646" t="s">
        <v>1482</v>
      </c>
      <c r="C402" s="1647"/>
      <c r="D402" s="1647"/>
      <c r="E402" s="1647"/>
      <c r="F402" s="1648"/>
      <c r="G402" s="394">
        <v>266.279</v>
      </c>
      <c r="H402" s="180">
        <v>42736</v>
      </c>
      <c r="I402" s="571">
        <v>43100</v>
      </c>
    </row>
    <row r="403" spans="1:10">
      <c r="A403" s="179" t="s">
        <v>202</v>
      </c>
      <c r="B403" s="1659" t="s">
        <v>748</v>
      </c>
      <c r="C403" s="1660"/>
      <c r="D403" s="1660"/>
      <c r="E403" s="1660"/>
      <c r="F403" s="1661"/>
      <c r="G403" s="573">
        <v>386.37117999999998</v>
      </c>
      <c r="H403" s="180">
        <v>42736</v>
      </c>
      <c r="I403" s="571">
        <v>43100</v>
      </c>
    </row>
    <row r="404" spans="1:10" ht="15" customHeight="1">
      <c r="A404" s="1638" t="s">
        <v>1950</v>
      </c>
      <c r="B404" s="1654"/>
      <c r="C404" s="1654"/>
      <c r="D404" s="1654"/>
      <c r="E404" s="1654"/>
      <c r="F404" s="1655"/>
      <c r="G404" s="435">
        <f>SUM(G405:G407)</f>
        <v>1692.4859999999999</v>
      </c>
      <c r="H404" s="182"/>
      <c r="I404" s="182"/>
    </row>
    <row r="405" spans="1:10" ht="37.5" customHeight="1">
      <c r="A405" s="179" t="s">
        <v>224</v>
      </c>
      <c r="B405" s="1646" t="s">
        <v>1475</v>
      </c>
      <c r="C405" s="1647"/>
      <c r="D405" s="1647"/>
      <c r="E405" s="1647"/>
      <c r="F405" s="1648"/>
      <c r="G405" s="394">
        <v>815.80399999999997</v>
      </c>
      <c r="H405" s="180">
        <v>42736</v>
      </c>
      <c r="I405" s="571">
        <v>43100</v>
      </c>
    </row>
    <row r="406" spans="1:10" ht="27.75" customHeight="1">
      <c r="A406" s="179" t="s">
        <v>461</v>
      </c>
      <c r="B406" s="1646" t="s">
        <v>1476</v>
      </c>
      <c r="C406" s="1647"/>
      <c r="D406" s="1647"/>
      <c r="E406" s="1647"/>
      <c r="F406" s="1648"/>
      <c r="G406" s="394">
        <v>624.20000000000005</v>
      </c>
      <c r="H406" s="180">
        <v>42736</v>
      </c>
      <c r="I406" s="571">
        <v>43100</v>
      </c>
    </row>
    <row r="407" spans="1:10" ht="27.75" customHeight="1">
      <c r="A407" s="179" t="s">
        <v>462</v>
      </c>
      <c r="B407" s="1646" t="s">
        <v>1477</v>
      </c>
      <c r="C407" s="1647"/>
      <c r="D407" s="1647"/>
      <c r="E407" s="1647"/>
      <c r="F407" s="1648"/>
      <c r="G407" s="394">
        <v>252.482</v>
      </c>
      <c r="H407" s="180">
        <v>42736</v>
      </c>
      <c r="I407" s="571">
        <v>43100</v>
      </c>
      <c r="J407" s="436"/>
    </row>
    <row r="408" spans="1:10" ht="27.75" customHeight="1">
      <c r="A408" s="1638" t="s">
        <v>1951</v>
      </c>
      <c r="B408" s="1654"/>
      <c r="C408" s="1654"/>
      <c r="D408" s="1654"/>
      <c r="E408" s="1654"/>
      <c r="F408" s="1655"/>
      <c r="G408" s="435">
        <f>SUM(G409:G414)</f>
        <v>6001.4234400000005</v>
      </c>
      <c r="H408" s="182"/>
      <c r="I408" s="183"/>
    </row>
    <row r="409" spans="1:10" ht="27.75" customHeight="1">
      <c r="A409" s="179" t="s">
        <v>225</v>
      </c>
      <c r="B409" s="1646" t="s">
        <v>1472</v>
      </c>
      <c r="C409" s="1647"/>
      <c r="D409" s="1647"/>
      <c r="E409" s="1647"/>
      <c r="F409" s="1648"/>
      <c r="G409" s="394">
        <v>477.35226999999998</v>
      </c>
      <c r="H409" s="180">
        <v>42736</v>
      </c>
      <c r="I409" s="571">
        <v>43100</v>
      </c>
    </row>
    <row r="410" spans="1:10" ht="27.75" customHeight="1">
      <c r="A410" s="179" t="s">
        <v>226</v>
      </c>
      <c r="B410" s="1646" t="s">
        <v>1473</v>
      </c>
      <c r="C410" s="1647"/>
      <c r="D410" s="1647"/>
      <c r="E410" s="1647"/>
      <c r="F410" s="1648"/>
      <c r="G410" s="394">
        <v>291.55007999999998</v>
      </c>
      <c r="H410" s="180">
        <v>42736</v>
      </c>
      <c r="I410" s="571">
        <v>43100</v>
      </c>
    </row>
    <row r="411" spans="1:10" ht="27.75" customHeight="1">
      <c r="A411" s="179" t="s">
        <v>227</v>
      </c>
      <c r="B411" s="1646" t="s">
        <v>1474</v>
      </c>
      <c r="C411" s="1647"/>
      <c r="D411" s="1647"/>
      <c r="E411" s="1647"/>
      <c r="F411" s="1648"/>
      <c r="G411" s="394">
        <v>2853.1430999999998</v>
      </c>
      <c r="H411" s="180">
        <v>42736</v>
      </c>
      <c r="I411" s="571">
        <v>43100</v>
      </c>
    </row>
    <row r="412" spans="1:10" ht="27.75" customHeight="1">
      <c r="A412" s="179" t="s">
        <v>228</v>
      </c>
      <c r="B412" s="1656" t="s">
        <v>1952</v>
      </c>
      <c r="C412" s="1657"/>
      <c r="D412" s="1657"/>
      <c r="E412" s="1657"/>
      <c r="F412" s="1658"/>
      <c r="G412" s="394">
        <v>1357.9839999999999</v>
      </c>
      <c r="H412" s="180">
        <v>42736</v>
      </c>
      <c r="I412" s="571">
        <v>43100</v>
      </c>
    </row>
    <row r="413" spans="1:10" ht="27.75" customHeight="1">
      <c r="A413" s="179" t="s">
        <v>229</v>
      </c>
      <c r="B413" s="1656" t="s">
        <v>1953</v>
      </c>
      <c r="C413" s="1657"/>
      <c r="D413" s="1657"/>
      <c r="E413" s="1657"/>
      <c r="F413" s="1658"/>
      <c r="G413" s="394">
        <v>512.78449000000001</v>
      </c>
      <c r="H413" s="180">
        <v>42736</v>
      </c>
      <c r="I413" s="571">
        <v>43100</v>
      </c>
    </row>
    <row r="414" spans="1:10" ht="27.75" customHeight="1">
      <c r="A414" s="179" t="s">
        <v>230</v>
      </c>
      <c r="B414" s="1656" t="s">
        <v>1954</v>
      </c>
      <c r="C414" s="1657"/>
      <c r="D414" s="1657"/>
      <c r="E414" s="1657"/>
      <c r="F414" s="1658"/>
      <c r="G414" s="394">
        <v>508.60950000000003</v>
      </c>
      <c r="H414" s="180">
        <v>42736</v>
      </c>
      <c r="I414" s="571">
        <v>43100</v>
      </c>
    </row>
    <row r="415" spans="1:10" ht="27.75" customHeight="1">
      <c r="A415" s="1638" t="s">
        <v>1955</v>
      </c>
      <c r="B415" s="1654"/>
      <c r="C415" s="1654"/>
      <c r="D415" s="1654"/>
      <c r="E415" s="1654"/>
      <c r="F415" s="1655"/>
      <c r="G415" s="435">
        <f>SUM(G416:G425)</f>
        <v>16238.298509999999</v>
      </c>
      <c r="H415" s="182"/>
      <c r="I415" s="183"/>
    </row>
    <row r="416" spans="1:10" ht="27.75" customHeight="1">
      <c r="A416" s="179" t="s">
        <v>240</v>
      </c>
      <c r="B416" s="1646" t="s">
        <v>1465</v>
      </c>
      <c r="C416" s="1647"/>
      <c r="D416" s="1647"/>
      <c r="E416" s="1647"/>
      <c r="F416" s="1648"/>
      <c r="G416" s="394">
        <v>237.71301</v>
      </c>
      <c r="H416" s="180">
        <v>42736</v>
      </c>
      <c r="I416" s="571">
        <v>43100</v>
      </c>
    </row>
    <row r="417" spans="1:9" ht="27.75" customHeight="1">
      <c r="A417" s="179" t="s">
        <v>241</v>
      </c>
      <c r="B417" s="1646" t="s">
        <v>1466</v>
      </c>
      <c r="C417" s="1647"/>
      <c r="D417" s="1647"/>
      <c r="E417" s="1647"/>
      <c r="F417" s="1648"/>
      <c r="G417" s="394">
        <v>242.3349</v>
      </c>
      <c r="H417" s="180">
        <v>42736</v>
      </c>
      <c r="I417" s="571">
        <v>43100</v>
      </c>
    </row>
    <row r="418" spans="1:9" ht="27.75" customHeight="1">
      <c r="A418" s="179" t="s">
        <v>557</v>
      </c>
      <c r="B418" s="1646" t="s">
        <v>1467</v>
      </c>
      <c r="C418" s="1647"/>
      <c r="D418" s="1647"/>
      <c r="E418" s="1647"/>
      <c r="F418" s="1648"/>
      <c r="G418" s="394">
        <v>4682.2518300000002</v>
      </c>
      <c r="H418" s="180">
        <v>42736</v>
      </c>
      <c r="I418" s="571">
        <v>43100</v>
      </c>
    </row>
    <row r="419" spans="1:9" ht="27.75" customHeight="1">
      <c r="A419" s="179" t="s">
        <v>558</v>
      </c>
      <c r="B419" s="1646" t="s">
        <v>1468</v>
      </c>
      <c r="C419" s="1647"/>
      <c r="D419" s="1647"/>
      <c r="E419" s="1647"/>
      <c r="F419" s="1648"/>
      <c r="G419" s="394">
        <v>2343.7155400000001</v>
      </c>
      <c r="H419" s="180">
        <v>42736</v>
      </c>
      <c r="I419" s="571">
        <v>43100</v>
      </c>
    </row>
    <row r="420" spans="1:9" ht="27.75" customHeight="1">
      <c r="A420" s="179" t="s">
        <v>559</v>
      </c>
      <c r="B420" s="1646" t="s">
        <v>1469</v>
      </c>
      <c r="C420" s="1647"/>
      <c r="D420" s="1647"/>
      <c r="E420" s="1647"/>
      <c r="F420" s="1648"/>
      <c r="G420" s="394">
        <v>746.54737</v>
      </c>
      <c r="H420" s="180">
        <v>42736</v>
      </c>
      <c r="I420" s="571">
        <v>43100</v>
      </c>
    </row>
    <row r="421" spans="1:9" ht="27.75" customHeight="1">
      <c r="A421" s="179" t="s">
        <v>561</v>
      </c>
      <c r="B421" s="1646" t="s">
        <v>1470</v>
      </c>
      <c r="C421" s="1647"/>
      <c r="D421" s="1647"/>
      <c r="E421" s="1647"/>
      <c r="F421" s="1648"/>
      <c r="G421" s="394">
        <v>327.99304999999998</v>
      </c>
      <c r="H421" s="180">
        <v>42736</v>
      </c>
      <c r="I421" s="571">
        <v>43100</v>
      </c>
    </row>
    <row r="422" spans="1:9" ht="27.75" customHeight="1">
      <c r="A422" s="179" t="s">
        <v>562</v>
      </c>
      <c r="B422" s="1646" t="s">
        <v>1471</v>
      </c>
      <c r="C422" s="1647"/>
      <c r="D422" s="1647"/>
      <c r="E422" s="1647"/>
      <c r="F422" s="1648"/>
      <c r="G422" s="394">
        <v>1141.5403100000001</v>
      </c>
      <c r="H422" s="180">
        <v>42736</v>
      </c>
      <c r="I422" s="571">
        <v>43100</v>
      </c>
    </row>
    <row r="423" spans="1:9" ht="19.5" customHeight="1">
      <c r="A423" s="179" t="s">
        <v>1956</v>
      </c>
      <c r="B423" s="1646" t="s">
        <v>1464</v>
      </c>
      <c r="C423" s="1647"/>
      <c r="D423" s="1647"/>
      <c r="E423" s="1647"/>
      <c r="F423" s="1648"/>
      <c r="G423" s="394">
        <v>780.95550000000003</v>
      </c>
      <c r="H423" s="180">
        <v>42736</v>
      </c>
      <c r="I423" s="571">
        <v>43100</v>
      </c>
    </row>
    <row r="424" spans="1:9" ht="19.5" customHeight="1">
      <c r="A424" s="179" t="s">
        <v>1957</v>
      </c>
      <c r="B424" s="1646" t="s">
        <v>1958</v>
      </c>
      <c r="C424" s="1647"/>
      <c r="D424" s="1647"/>
      <c r="E424" s="1647"/>
      <c r="F424" s="1648"/>
      <c r="G424" s="394">
        <v>3084.7829999999999</v>
      </c>
      <c r="H424" s="180">
        <v>42736</v>
      </c>
      <c r="I424" s="571">
        <v>43100</v>
      </c>
    </row>
    <row r="425" spans="1:9" ht="19.5" customHeight="1">
      <c r="A425" s="179" t="s">
        <v>1959</v>
      </c>
      <c r="B425" s="1646" t="s">
        <v>1960</v>
      </c>
      <c r="C425" s="1647"/>
      <c r="D425" s="1647"/>
      <c r="E425" s="1647"/>
      <c r="F425" s="1648"/>
      <c r="G425" s="394">
        <v>2650.4639999999999</v>
      </c>
      <c r="H425" s="180">
        <v>42736</v>
      </c>
      <c r="I425" s="571">
        <v>43100</v>
      </c>
    </row>
    <row r="426" spans="1:9" ht="15" customHeight="1">
      <c r="A426" s="1638" t="s">
        <v>1901</v>
      </c>
      <c r="B426" s="1654"/>
      <c r="C426" s="1654"/>
      <c r="D426" s="1654"/>
      <c r="E426" s="1654"/>
      <c r="F426" s="1655"/>
      <c r="G426" s="435">
        <f>SUM(G427:G436)</f>
        <v>2029.3323599999999</v>
      </c>
      <c r="H426" s="182"/>
      <c r="I426" s="182"/>
    </row>
    <row r="427" spans="1:9" ht="30.75" customHeight="1">
      <c r="A427" s="179" t="s">
        <v>248</v>
      </c>
      <c r="B427" s="1646" t="s">
        <v>1478</v>
      </c>
      <c r="C427" s="1647"/>
      <c r="D427" s="1647"/>
      <c r="E427" s="1647"/>
      <c r="F427" s="1648"/>
      <c r="G427" s="394">
        <v>132.434</v>
      </c>
      <c r="H427" s="180">
        <v>42736</v>
      </c>
      <c r="I427" s="571">
        <v>43100</v>
      </c>
    </row>
    <row r="428" spans="1:9" ht="30.75" customHeight="1">
      <c r="A428" s="179" t="s">
        <v>249</v>
      </c>
      <c r="B428" s="1646" t="s">
        <v>1479</v>
      </c>
      <c r="C428" s="1647"/>
      <c r="D428" s="1647"/>
      <c r="E428" s="1647"/>
      <c r="F428" s="1648"/>
      <c r="G428" s="394">
        <v>96.55</v>
      </c>
      <c r="H428" s="180">
        <v>42736</v>
      </c>
      <c r="I428" s="571">
        <v>43100</v>
      </c>
    </row>
    <row r="429" spans="1:9" ht="30.75" customHeight="1">
      <c r="A429" s="179" t="s">
        <v>250</v>
      </c>
      <c r="B429" s="1646" t="s">
        <v>1480</v>
      </c>
      <c r="C429" s="1647"/>
      <c r="D429" s="1647"/>
      <c r="E429" s="1647"/>
      <c r="F429" s="1648"/>
      <c r="G429" s="394">
        <v>125.619</v>
      </c>
      <c r="H429" s="180">
        <v>42736</v>
      </c>
      <c r="I429" s="571">
        <v>43100</v>
      </c>
    </row>
    <row r="430" spans="1:9" ht="30.75" customHeight="1">
      <c r="A430" s="179" t="s">
        <v>251</v>
      </c>
      <c r="B430" s="1646" t="s">
        <v>1485</v>
      </c>
      <c r="C430" s="1647"/>
      <c r="D430" s="1647"/>
      <c r="E430" s="1647"/>
      <c r="F430" s="1648"/>
      <c r="G430" s="394">
        <v>281.75229000000002</v>
      </c>
      <c r="H430" s="180">
        <v>42736</v>
      </c>
      <c r="I430" s="571">
        <v>43100</v>
      </c>
    </row>
    <row r="431" spans="1:9" ht="41.25" customHeight="1">
      <c r="A431" s="179" t="s">
        <v>252</v>
      </c>
      <c r="B431" s="1646" t="s">
        <v>1486</v>
      </c>
      <c r="C431" s="1647"/>
      <c r="D431" s="1647"/>
      <c r="E431" s="1647"/>
      <c r="F431" s="1648"/>
      <c r="G431" s="394">
        <v>182.57339999999999</v>
      </c>
      <c r="H431" s="180">
        <v>42736</v>
      </c>
      <c r="I431" s="571">
        <v>43100</v>
      </c>
    </row>
    <row r="432" spans="1:9" ht="41.25" customHeight="1">
      <c r="A432" s="179" t="s">
        <v>253</v>
      </c>
      <c r="B432" s="1646" t="s">
        <v>1487</v>
      </c>
      <c r="C432" s="1647"/>
      <c r="D432" s="1647"/>
      <c r="E432" s="1647"/>
      <c r="F432" s="1648"/>
      <c r="G432" s="394">
        <v>281.75229000000002</v>
      </c>
      <c r="H432" s="180">
        <v>42736</v>
      </c>
      <c r="I432" s="571">
        <v>43100</v>
      </c>
    </row>
    <row r="433" spans="1:9" ht="41.25" customHeight="1">
      <c r="A433" s="179" t="s">
        <v>254</v>
      </c>
      <c r="B433" s="1646" t="s">
        <v>1488</v>
      </c>
      <c r="C433" s="1647"/>
      <c r="D433" s="1647"/>
      <c r="E433" s="1647"/>
      <c r="F433" s="1648"/>
      <c r="G433" s="394">
        <v>281.75229000000002</v>
      </c>
      <c r="H433" s="180">
        <v>42736</v>
      </c>
      <c r="I433" s="571">
        <v>43100</v>
      </c>
    </row>
    <row r="434" spans="1:9" ht="41.25" customHeight="1">
      <c r="A434" s="179" t="s">
        <v>255</v>
      </c>
      <c r="B434" s="1646" t="s">
        <v>1489</v>
      </c>
      <c r="C434" s="1647"/>
      <c r="D434" s="1647"/>
      <c r="E434" s="1647"/>
      <c r="F434" s="1648"/>
      <c r="G434" s="394">
        <v>182.57339999999999</v>
      </c>
      <c r="H434" s="180">
        <v>42736</v>
      </c>
      <c r="I434" s="571">
        <v>43100</v>
      </c>
    </row>
    <row r="435" spans="1:9" ht="41.25" customHeight="1">
      <c r="A435" s="179" t="s">
        <v>256</v>
      </c>
      <c r="B435" s="1646" t="s">
        <v>1490</v>
      </c>
      <c r="C435" s="1647"/>
      <c r="D435" s="1647"/>
      <c r="E435" s="1647"/>
      <c r="F435" s="1648"/>
      <c r="G435" s="394">
        <v>182.57339999999999</v>
      </c>
      <c r="H435" s="180">
        <v>42736</v>
      </c>
      <c r="I435" s="571">
        <v>43100</v>
      </c>
    </row>
    <row r="436" spans="1:9" ht="41.25" customHeight="1">
      <c r="A436" s="179" t="s">
        <v>257</v>
      </c>
      <c r="B436" s="1646" t="s">
        <v>1491</v>
      </c>
      <c r="C436" s="1647"/>
      <c r="D436" s="1647"/>
      <c r="E436" s="1647"/>
      <c r="F436" s="1648"/>
      <c r="G436" s="394">
        <v>281.75229000000002</v>
      </c>
      <c r="H436" s="180">
        <v>42736</v>
      </c>
      <c r="I436" s="571">
        <v>43100</v>
      </c>
    </row>
    <row r="437" spans="1:9" hidden="1">
      <c r="A437" s="432" t="s">
        <v>670</v>
      </c>
      <c r="B437" s="1649" t="s">
        <v>134</v>
      </c>
      <c r="C437" s="1650"/>
      <c r="D437" s="1650"/>
      <c r="E437" s="1650"/>
      <c r="F437" s="1651"/>
      <c r="G437" s="574">
        <v>9112.86</v>
      </c>
      <c r="H437" s="433">
        <v>42736</v>
      </c>
      <c r="I437" s="434">
        <v>43100</v>
      </c>
    </row>
    <row r="438" spans="1:9" ht="15.75" hidden="1">
      <c r="A438" s="1623" t="s">
        <v>813</v>
      </c>
      <c r="B438" s="1652"/>
      <c r="C438" s="1652"/>
      <c r="D438" s="1652"/>
      <c r="E438" s="1652"/>
      <c r="F438" s="1652"/>
      <c r="G438" s="575" t="e">
        <f>#REF!+#REF!+G437</f>
        <v>#REF!</v>
      </c>
      <c r="H438" s="166"/>
      <c r="I438" s="184"/>
    </row>
    <row r="439" spans="1:9" ht="15.75">
      <c r="A439" s="1623" t="s">
        <v>813</v>
      </c>
      <c r="B439" s="1652"/>
      <c r="C439" s="1652"/>
      <c r="D439" s="1652"/>
      <c r="E439" s="1652"/>
      <c r="F439" s="1652"/>
      <c r="G439" s="575">
        <f>G362</f>
        <v>44170.215880000003</v>
      </c>
      <c r="H439" s="166"/>
      <c r="I439" s="184"/>
    </row>
    <row r="440" spans="1:9" ht="18.75">
      <c r="A440" s="1605" t="s">
        <v>321</v>
      </c>
      <c r="B440" s="1606"/>
      <c r="C440" s="1606"/>
      <c r="D440" s="1606"/>
      <c r="E440" s="1606"/>
      <c r="F440" s="1606"/>
      <c r="G440" s="1606"/>
      <c r="H440" s="1606"/>
      <c r="I440" s="1607"/>
    </row>
    <row r="441" spans="1:9" ht="15.75">
      <c r="A441" s="151">
        <v>1</v>
      </c>
      <c r="B441" s="1653" t="s">
        <v>805</v>
      </c>
      <c r="C441" s="1653"/>
      <c r="D441" s="1653"/>
      <c r="E441" s="1653"/>
      <c r="F441" s="1653"/>
      <c r="G441" s="366">
        <v>43826.518860800003</v>
      </c>
      <c r="H441" s="368"/>
      <c r="I441" s="368"/>
    </row>
    <row r="442" spans="1:9">
      <c r="A442" s="179" t="s">
        <v>634</v>
      </c>
      <c r="B442" s="1637" t="s">
        <v>1425</v>
      </c>
      <c r="C442" s="1637"/>
      <c r="D442" s="1637"/>
      <c r="E442" s="1637"/>
      <c r="F442" s="1637"/>
      <c r="G442" s="185">
        <v>15423.945160000001</v>
      </c>
      <c r="H442" s="180">
        <v>43101</v>
      </c>
      <c r="I442" s="571">
        <v>43465</v>
      </c>
    </row>
    <row r="443" spans="1:9">
      <c r="A443" s="179" t="s">
        <v>636</v>
      </c>
      <c r="B443" s="1637" t="s">
        <v>1426</v>
      </c>
      <c r="C443" s="1637"/>
      <c r="D443" s="1637"/>
      <c r="E443" s="1637"/>
      <c r="F443" s="1637"/>
      <c r="G443" s="186">
        <v>91.029120000000006</v>
      </c>
      <c r="H443" s="180">
        <v>43101</v>
      </c>
      <c r="I443" s="571">
        <v>43465</v>
      </c>
    </row>
    <row r="444" spans="1:9" ht="18" customHeight="1">
      <c r="A444" s="179" t="s">
        <v>638</v>
      </c>
      <c r="B444" s="1637" t="s">
        <v>808</v>
      </c>
      <c r="C444" s="1637"/>
      <c r="D444" s="1637"/>
      <c r="E444" s="1637"/>
      <c r="F444" s="1637"/>
      <c r="G444" s="186">
        <v>2073.8961255999998</v>
      </c>
      <c r="H444" s="180">
        <v>43101</v>
      </c>
      <c r="I444" s="571">
        <v>43465</v>
      </c>
    </row>
    <row r="445" spans="1:9" ht="17.25" customHeight="1">
      <c r="A445" s="179" t="s">
        <v>640</v>
      </c>
      <c r="B445" s="1637" t="s">
        <v>1430</v>
      </c>
      <c r="C445" s="1637"/>
      <c r="D445" s="1637"/>
      <c r="E445" s="1637"/>
      <c r="F445" s="1637"/>
      <c r="G445" s="186">
        <v>1348.1521872000001</v>
      </c>
      <c r="H445" s="180">
        <v>43101</v>
      </c>
      <c r="I445" s="571">
        <v>43465</v>
      </c>
    </row>
    <row r="446" spans="1:9">
      <c r="A446" s="179" t="s">
        <v>642</v>
      </c>
      <c r="B446" s="1637" t="s">
        <v>1427</v>
      </c>
      <c r="C446" s="1637"/>
      <c r="D446" s="1637"/>
      <c r="E446" s="1637"/>
      <c r="F446" s="1637"/>
      <c r="G446" s="186">
        <v>1760.18544</v>
      </c>
      <c r="H446" s="180">
        <v>43101</v>
      </c>
      <c r="I446" s="571">
        <v>43465</v>
      </c>
    </row>
    <row r="447" spans="1:9" ht="27.75" customHeight="1">
      <c r="A447" s="179" t="s">
        <v>644</v>
      </c>
      <c r="B447" s="1637" t="s">
        <v>811</v>
      </c>
      <c r="C447" s="1637"/>
      <c r="D447" s="1637"/>
      <c r="E447" s="1637"/>
      <c r="F447" s="1637"/>
      <c r="G447" s="186">
        <v>6241.4803776000008</v>
      </c>
      <c r="H447" s="180">
        <v>43101</v>
      </c>
      <c r="I447" s="571">
        <v>43465</v>
      </c>
    </row>
    <row r="448" spans="1:9" ht="27.75" customHeight="1">
      <c r="A448" s="179" t="s">
        <v>646</v>
      </c>
      <c r="B448" s="1637" t="s">
        <v>812</v>
      </c>
      <c r="C448" s="1637"/>
      <c r="D448" s="1637"/>
      <c r="E448" s="1637"/>
      <c r="F448" s="1637"/>
      <c r="G448" s="186">
        <v>16887.830450400001</v>
      </c>
      <c r="H448" s="180">
        <v>43101</v>
      </c>
      <c r="I448" s="571">
        <v>43465</v>
      </c>
    </row>
    <row r="449" spans="1:9">
      <c r="A449" s="181" t="s">
        <v>667</v>
      </c>
      <c r="B449" s="1638" t="s">
        <v>1428</v>
      </c>
      <c r="C449" s="1639"/>
      <c r="D449" s="1639"/>
      <c r="E449" s="1639"/>
      <c r="F449" s="1640"/>
      <c r="G449" s="187">
        <v>2110.5056543999999</v>
      </c>
      <c r="H449" s="182">
        <v>43101</v>
      </c>
      <c r="I449" s="183">
        <v>43465</v>
      </c>
    </row>
    <row r="450" spans="1:9" ht="15.75">
      <c r="A450" s="1623" t="s">
        <v>815</v>
      </c>
      <c r="B450" s="1641"/>
      <c r="C450" s="1641"/>
      <c r="D450" s="1641"/>
      <c r="E450" s="1641"/>
      <c r="F450" s="1641"/>
      <c r="G450" s="65">
        <v>45937.024515199999</v>
      </c>
      <c r="H450" s="166"/>
      <c r="I450" s="184"/>
    </row>
    <row r="451" spans="1:9" ht="18.75">
      <c r="A451" s="1642" t="s">
        <v>322</v>
      </c>
      <c r="B451" s="1643"/>
      <c r="C451" s="1643"/>
      <c r="D451" s="1643"/>
      <c r="E451" s="1643"/>
      <c r="F451" s="1643"/>
      <c r="G451" s="1643"/>
      <c r="H451" s="1643"/>
      <c r="I451" s="1644"/>
    </row>
    <row r="452" spans="1:9" ht="15.75">
      <c r="A452" s="151">
        <v>1</v>
      </c>
      <c r="B452" s="1039" t="s">
        <v>816</v>
      </c>
      <c r="C452" s="1040"/>
      <c r="D452" s="1040"/>
      <c r="E452" s="1040"/>
      <c r="F452" s="1041"/>
      <c r="G452" s="177">
        <v>45579.579615231996</v>
      </c>
      <c r="H452" s="178"/>
      <c r="I452" s="178"/>
    </row>
    <row r="453" spans="1:9">
      <c r="A453" s="188" t="s">
        <v>634</v>
      </c>
      <c r="B453" s="1645" t="s">
        <v>1429</v>
      </c>
      <c r="C453" s="1645"/>
      <c r="D453" s="1645"/>
      <c r="E453" s="1645"/>
      <c r="F453" s="1645"/>
      <c r="G453" s="189">
        <v>16040.902966400001</v>
      </c>
      <c r="H453" s="190">
        <v>43466</v>
      </c>
      <c r="I453" s="570">
        <v>43830</v>
      </c>
    </row>
    <row r="454" spans="1:9" ht="15" customHeight="1">
      <c r="A454" s="188" t="s">
        <v>636</v>
      </c>
      <c r="B454" s="1637" t="s">
        <v>1426</v>
      </c>
      <c r="C454" s="1637"/>
      <c r="D454" s="1637"/>
      <c r="E454" s="1637"/>
      <c r="F454" s="1637"/>
      <c r="G454" s="191">
        <v>94.670284800000005</v>
      </c>
      <c r="H454" s="180">
        <v>43466</v>
      </c>
      <c r="I454" s="571">
        <v>43830</v>
      </c>
    </row>
    <row r="455" spans="1:9" ht="15" customHeight="1">
      <c r="A455" s="188" t="s">
        <v>638</v>
      </c>
      <c r="B455" s="1637" t="s">
        <v>808</v>
      </c>
      <c r="C455" s="1637"/>
      <c r="D455" s="1637"/>
      <c r="E455" s="1637"/>
      <c r="F455" s="1637"/>
      <c r="G455" s="191">
        <v>2156.8519706239999</v>
      </c>
      <c r="H455" s="180">
        <v>43466</v>
      </c>
      <c r="I455" s="571">
        <v>43830</v>
      </c>
    </row>
    <row r="456" spans="1:9" ht="15" customHeight="1">
      <c r="A456" s="188" t="s">
        <v>640</v>
      </c>
      <c r="B456" s="1637" t="s">
        <v>1430</v>
      </c>
      <c r="C456" s="1637"/>
      <c r="D456" s="1637"/>
      <c r="E456" s="1637"/>
      <c r="F456" s="1637"/>
      <c r="G456" s="191">
        <v>1402.0782746880002</v>
      </c>
      <c r="H456" s="180">
        <v>43466</v>
      </c>
      <c r="I456" s="571">
        <v>43830</v>
      </c>
    </row>
    <row r="457" spans="1:9" ht="15" customHeight="1">
      <c r="A457" s="188" t="s">
        <v>642</v>
      </c>
      <c r="B457" s="1637" t="s">
        <v>1427</v>
      </c>
      <c r="C457" s="1637"/>
      <c r="D457" s="1637"/>
      <c r="E457" s="1637"/>
      <c r="F457" s="1637"/>
      <c r="G457" s="191">
        <v>1830.5928576000001</v>
      </c>
      <c r="H457" s="180">
        <v>43466</v>
      </c>
      <c r="I457" s="571">
        <v>43830</v>
      </c>
    </row>
    <row r="458" spans="1:9" ht="27" customHeight="1">
      <c r="A458" s="188" t="s">
        <v>644</v>
      </c>
      <c r="B458" s="1637" t="s">
        <v>811</v>
      </c>
      <c r="C458" s="1637"/>
      <c r="D458" s="1637"/>
      <c r="E458" s="1637"/>
      <c r="F458" s="1637"/>
      <c r="G458" s="191">
        <v>6491.1395927040012</v>
      </c>
      <c r="H458" s="180">
        <v>43466</v>
      </c>
      <c r="I458" s="571">
        <v>43830</v>
      </c>
    </row>
    <row r="459" spans="1:9" ht="27" customHeight="1">
      <c r="A459" s="188" t="s">
        <v>646</v>
      </c>
      <c r="B459" s="1637" t="s">
        <v>812</v>
      </c>
      <c r="C459" s="1637"/>
      <c r="D459" s="1637"/>
      <c r="E459" s="1637"/>
      <c r="F459" s="1637"/>
      <c r="G459" s="191">
        <v>17563.343668416001</v>
      </c>
      <c r="H459" s="180">
        <v>43466</v>
      </c>
      <c r="I459" s="571">
        <v>43830</v>
      </c>
    </row>
    <row r="460" spans="1:9" ht="15" customHeight="1">
      <c r="A460" s="181" t="s">
        <v>667</v>
      </c>
      <c r="B460" s="1638" t="s">
        <v>1428</v>
      </c>
      <c r="C460" s="1639"/>
      <c r="D460" s="1639"/>
      <c r="E460" s="1639"/>
      <c r="F460" s="1640"/>
      <c r="G460" s="192">
        <v>2194.9258805760001</v>
      </c>
      <c r="H460" s="182">
        <v>43466</v>
      </c>
      <c r="I460" s="183">
        <v>43830</v>
      </c>
    </row>
    <row r="461" spans="1:9" ht="15.75">
      <c r="A461" s="1623" t="s">
        <v>818</v>
      </c>
      <c r="B461" s="1641"/>
      <c r="C461" s="1641"/>
      <c r="D461" s="1641"/>
      <c r="E461" s="1641"/>
      <c r="F461" s="1641"/>
      <c r="G461" s="193">
        <v>47774.505495808</v>
      </c>
      <c r="H461" s="166"/>
      <c r="I461" s="184"/>
    </row>
  </sheetData>
  <mergeCells count="801">
    <mergeCell ref="A210:A211"/>
    <mergeCell ref="A212:A213"/>
    <mergeCell ref="A214:A215"/>
    <mergeCell ref="A216:A217"/>
    <mergeCell ref="A196:A197"/>
    <mergeCell ref="A198:A199"/>
    <mergeCell ref="A200:A201"/>
    <mergeCell ref="A202:A203"/>
    <mergeCell ref="A204:A205"/>
    <mergeCell ref="A206:A207"/>
    <mergeCell ref="H214:H215"/>
    <mergeCell ref="I214:I215"/>
    <mergeCell ref="H216:H217"/>
    <mergeCell ref="I216:I217"/>
    <mergeCell ref="A177:F177"/>
    <mergeCell ref="A178:A179"/>
    <mergeCell ref="A180:A181"/>
    <mergeCell ref="A182:A183"/>
    <mergeCell ref="A184:A185"/>
    <mergeCell ref="A186:A187"/>
    <mergeCell ref="H208:H209"/>
    <mergeCell ref="I208:I209"/>
    <mergeCell ref="H210:H211"/>
    <mergeCell ref="I210:I211"/>
    <mergeCell ref="H212:H213"/>
    <mergeCell ref="I212:I213"/>
    <mergeCell ref="H202:H203"/>
    <mergeCell ref="I202:I203"/>
    <mergeCell ref="H204:H205"/>
    <mergeCell ref="I204:I205"/>
    <mergeCell ref="H206:H207"/>
    <mergeCell ref="I206:I207"/>
    <mergeCell ref="H196:H197"/>
    <mergeCell ref="I196:I197"/>
    <mergeCell ref="H178:H179"/>
    <mergeCell ref="I178:I179"/>
    <mergeCell ref="G202:G203"/>
    <mergeCell ref="H198:H199"/>
    <mergeCell ref="I198:I199"/>
    <mergeCell ref="H194:H195"/>
    <mergeCell ref="I194:I195"/>
    <mergeCell ref="H188:H189"/>
    <mergeCell ref="I188:I189"/>
    <mergeCell ref="H190:H191"/>
    <mergeCell ref="I190:I191"/>
    <mergeCell ref="H192:H193"/>
    <mergeCell ref="I192:I193"/>
    <mergeCell ref="G192:G193"/>
    <mergeCell ref="G194:G195"/>
    <mergeCell ref="G196:G197"/>
    <mergeCell ref="G198:G199"/>
    <mergeCell ref="H184:H185"/>
    <mergeCell ref="I184:I185"/>
    <mergeCell ref="H186:H187"/>
    <mergeCell ref="I186:I187"/>
    <mergeCell ref="H180:H181"/>
    <mergeCell ref="I180:I181"/>
    <mergeCell ref="B263:F263"/>
    <mergeCell ref="B264:F264"/>
    <mergeCell ref="G178:G179"/>
    <mergeCell ref="G180:G181"/>
    <mergeCell ref="G182:G183"/>
    <mergeCell ref="B255:F255"/>
    <mergeCell ref="B256:F256"/>
    <mergeCell ref="A257:F257"/>
    <mergeCell ref="B258:F258"/>
    <mergeCell ref="B244:F244"/>
    <mergeCell ref="B245:F245"/>
    <mergeCell ref="B246:F246"/>
    <mergeCell ref="A247:F247"/>
    <mergeCell ref="B248:F248"/>
    <mergeCell ref="B249:F249"/>
    <mergeCell ref="B227:F227"/>
    <mergeCell ref="B228:F228"/>
    <mergeCell ref="B229:F229"/>
    <mergeCell ref="B230:F230"/>
    <mergeCell ref="B231:F231"/>
    <mergeCell ref="B233:F233"/>
    <mergeCell ref="B196:F196"/>
    <mergeCell ref="B178:F178"/>
    <mergeCell ref="B180:F180"/>
    <mergeCell ref="B182:F182"/>
    <mergeCell ref="B184:F184"/>
    <mergeCell ref="B186:F186"/>
    <mergeCell ref="A265:F265"/>
    <mergeCell ref="B260:F260"/>
    <mergeCell ref="B261:F261"/>
    <mergeCell ref="B262:F262"/>
    <mergeCell ref="B259:F259"/>
    <mergeCell ref="B251:F251"/>
    <mergeCell ref="B252:F252"/>
    <mergeCell ref="B253:F253"/>
    <mergeCell ref="B254:F254"/>
    <mergeCell ref="B250:F250"/>
    <mergeCell ref="B240:F240"/>
    <mergeCell ref="B241:F241"/>
    <mergeCell ref="B242:F242"/>
    <mergeCell ref="B243:F243"/>
    <mergeCell ref="B237:F237"/>
    <mergeCell ref="B238:F238"/>
    <mergeCell ref="B239:F239"/>
    <mergeCell ref="B234:F234"/>
    <mergeCell ref="A235:F235"/>
    <mergeCell ref="B236:F236"/>
    <mergeCell ref="B222:F222"/>
    <mergeCell ref="B223:F223"/>
    <mergeCell ref="B224:F224"/>
    <mergeCell ref="B225:F225"/>
    <mergeCell ref="B216:F216"/>
    <mergeCell ref="B219:F219"/>
    <mergeCell ref="B220:F220"/>
    <mergeCell ref="G216:G217"/>
    <mergeCell ref="B210:F210"/>
    <mergeCell ref="B212:F212"/>
    <mergeCell ref="B214:F214"/>
    <mergeCell ref="G214:G215"/>
    <mergeCell ref="G210:G211"/>
    <mergeCell ref="G212:G213"/>
    <mergeCell ref="B204:F204"/>
    <mergeCell ref="B206:F206"/>
    <mergeCell ref="B208:F208"/>
    <mergeCell ref="A208:A209"/>
    <mergeCell ref="B198:F198"/>
    <mergeCell ref="B200:F200"/>
    <mergeCell ref="B202:F202"/>
    <mergeCell ref="G200:G201"/>
    <mergeCell ref="B194:F194"/>
    <mergeCell ref="G204:G205"/>
    <mergeCell ref="G206:G207"/>
    <mergeCell ref="G208:G209"/>
    <mergeCell ref="A1:I1"/>
    <mergeCell ref="A3:A4"/>
    <mergeCell ref="B3:F4"/>
    <mergeCell ref="G3:G4"/>
    <mergeCell ref="H3:I3"/>
    <mergeCell ref="B5:F5"/>
    <mergeCell ref="A6:I6"/>
    <mergeCell ref="A7:F7"/>
    <mergeCell ref="A8:F8"/>
    <mergeCell ref="A9:A10"/>
    <mergeCell ref="B9:F9"/>
    <mergeCell ref="G9:G10"/>
    <mergeCell ref="H9:H10"/>
    <mergeCell ref="I9:I10"/>
    <mergeCell ref="A11:A12"/>
    <mergeCell ref="B11:F11"/>
    <mergeCell ref="G11:G12"/>
    <mergeCell ref="H11:H12"/>
    <mergeCell ref="I11:I12"/>
    <mergeCell ref="A13:A14"/>
    <mergeCell ref="B13:F13"/>
    <mergeCell ref="G13:G14"/>
    <mergeCell ref="H13:H14"/>
    <mergeCell ref="I13:I14"/>
    <mergeCell ref="A15:A16"/>
    <mergeCell ref="B15:F15"/>
    <mergeCell ref="G15:G16"/>
    <mergeCell ref="H15:H16"/>
    <mergeCell ref="I15:I16"/>
    <mergeCell ref="A17:A18"/>
    <mergeCell ref="B17:F17"/>
    <mergeCell ref="G17:G18"/>
    <mergeCell ref="H17:H18"/>
    <mergeCell ref="I17:I18"/>
    <mergeCell ref="A19:A20"/>
    <mergeCell ref="B19:F19"/>
    <mergeCell ref="G19:G20"/>
    <mergeCell ref="H19:H20"/>
    <mergeCell ref="I19:I20"/>
    <mergeCell ref="A21:A22"/>
    <mergeCell ref="B21:F21"/>
    <mergeCell ref="G21:G22"/>
    <mergeCell ref="H21:H22"/>
    <mergeCell ref="I21:I22"/>
    <mergeCell ref="A23:A24"/>
    <mergeCell ref="B23:F23"/>
    <mergeCell ref="G23:G24"/>
    <mergeCell ref="H23:H24"/>
    <mergeCell ref="I23:I24"/>
    <mergeCell ref="A25:A26"/>
    <mergeCell ref="B25:F25"/>
    <mergeCell ref="G25:G26"/>
    <mergeCell ref="H25:H26"/>
    <mergeCell ref="I25:I26"/>
    <mergeCell ref="A27:A28"/>
    <mergeCell ref="B27:F27"/>
    <mergeCell ref="G27:G28"/>
    <mergeCell ref="H27:H28"/>
    <mergeCell ref="I27:I28"/>
    <mergeCell ref="A29:A30"/>
    <mergeCell ref="B29:F29"/>
    <mergeCell ref="G29:G30"/>
    <mergeCell ref="H29:H30"/>
    <mergeCell ref="I29:I30"/>
    <mergeCell ref="A31:A32"/>
    <mergeCell ref="B31:F31"/>
    <mergeCell ref="G31:G32"/>
    <mergeCell ref="H31:H32"/>
    <mergeCell ref="I31:I32"/>
    <mergeCell ref="A33:A34"/>
    <mergeCell ref="B33:F33"/>
    <mergeCell ref="G33:G34"/>
    <mergeCell ref="H33:H34"/>
    <mergeCell ref="I33:I34"/>
    <mergeCell ref="A35:A36"/>
    <mergeCell ref="B35:F35"/>
    <mergeCell ref="G35:G36"/>
    <mergeCell ref="H35:H36"/>
    <mergeCell ref="I35:I36"/>
    <mergeCell ref="A37:F37"/>
    <mergeCell ref="A38:A39"/>
    <mergeCell ref="B38:F39"/>
    <mergeCell ref="G38:G39"/>
    <mergeCell ref="H38:H39"/>
    <mergeCell ref="I38:I39"/>
    <mergeCell ref="A40:A41"/>
    <mergeCell ref="B40:F41"/>
    <mergeCell ref="G40:G41"/>
    <mergeCell ref="H40:H41"/>
    <mergeCell ref="I40:I41"/>
    <mergeCell ref="A42:A43"/>
    <mergeCell ref="B42:F43"/>
    <mergeCell ref="G42:G43"/>
    <mergeCell ref="H42:H43"/>
    <mergeCell ref="I42:I43"/>
    <mergeCell ref="A44:A45"/>
    <mergeCell ref="B44:F45"/>
    <mergeCell ref="G44:G45"/>
    <mergeCell ref="H44:H45"/>
    <mergeCell ref="I44:I45"/>
    <mergeCell ref="A46:A47"/>
    <mergeCell ref="B46:F47"/>
    <mergeCell ref="G46:G47"/>
    <mergeCell ref="H46:H47"/>
    <mergeCell ref="I46:I47"/>
    <mergeCell ref="A48:F48"/>
    <mergeCell ref="A49:A50"/>
    <mergeCell ref="B49:F50"/>
    <mergeCell ref="G49:G50"/>
    <mergeCell ref="H49:H50"/>
    <mergeCell ref="I49:I50"/>
    <mergeCell ref="A51:A52"/>
    <mergeCell ref="B51:F52"/>
    <mergeCell ref="G51:G52"/>
    <mergeCell ref="H51:H52"/>
    <mergeCell ref="I51:I52"/>
    <mergeCell ref="A53:A54"/>
    <mergeCell ref="B53:F54"/>
    <mergeCell ref="G53:G54"/>
    <mergeCell ref="H53:H54"/>
    <mergeCell ref="I53:I54"/>
    <mergeCell ref="A55:A56"/>
    <mergeCell ref="B55:F56"/>
    <mergeCell ref="G55:G56"/>
    <mergeCell ref="H55:H56"/>
    <mergeCell ref="I55:I56"/>
    <mergeCell ref="A57:A58"/>
    <mergeCell ref="B57:F58"/>
    <mergeCell ref="G57:G58"/>
    <mergeCell ref="H57:H58"/>
    <mergeCell ref="I57:I58"/>
    <mergeCell ref="A59:A60"/>
    <mergeCell ref="B59:F60"/>
    <mergeCell ref="G59:G60"/>
    <mergeCell ref="H59:H60"/>
    <mergeCell ref="I59:I60"/>
    <mergeCell ref="A61:A62"/>
    <mergeCell ref="B61:F62"/>
    <mergeCell ref="G61:G62"/>
    <mergeCell ref="H61:H62"/>
    <mergeCell ref="I61:I62"/>
    <mergeCell ref="A63:F63"/>
    <mergeCell ref="A64:A65"/>
    <mergeCell ref="B64:F65"/>
    <mergeCell ref="G64:G65"/>
    <mergeCell ref="H64:H65"/>
    <mergeCell ref="I64:I65"/>
    <mergeCell ref="A66:A67"/>
    <mergeCell ref="B66:F67"/>
    <mergeCell ref="G66:G67"/>
    <mergeCell ref="H66:H67"/>
    <mergeCell ref="I66:I67"/>
    <mergeCell ref="A68:A69"/>
    <mergeCell ref="B68:F69"/>
    <mergeCell ref="G68:G69"/>
    <mergeCell ref="H68:H69"/>
    <mergeCell ref="I68:I69"/>
    <mergeCell ref="A70:F70"/>
    <mergeCell ref="A71:A72"/>
    <mergeCell ref="B71:F72"/>
    <mergeCell ref="G71:G72"/>
    <mergeCell ref="H71:H72"/>
    <mergeCell ref="I71:I72"/>
    <mergeCell ref="A73:A74"/>
    <mergeCell ref="B73:F74"/>
    <mergeCell ref="G73:G74"/>
    <mergeCell ref="H73:H74"/>
    <mergeCell ref="I73:I74"/>
    <mergeCell ref="A75:A76"/>
    <mergeCell ref="B75:F76"/>
    <mergeCell ref="G75:G76"/>
    <mergeCell ref="H75:H76"/>
    <mergeCell ref="I75:I76"/>
    <mergeCell ref="A77:A78"/>
    <mergeCell ref="B77:F78"/>
    <mergeCell ref="G77:G78"/>
    <mergeCell ref="H77:H78"/>
    <mergeCell ref="I77:I78"/>
    <mergeCell ref="A79:A80"/>
    <mergeCell ref="B79:F80"/>
    <mergeCell ref="G79:G80"/>
    <mergeCell ref="H79:H80"/>
    <mergeCell ref="I79:I80"/>
    <mergeCell ref="A81:A82"/>
    <mergeCell ref="B81:F82"/>
    <mergeCell ref="G81:G82"/>
    <mergeCell ref="H81:H82"/>
    <mergeCell ref="I81:I82"/>
    <mergeCell ref="A83:F83"/>
    <mergeCell ref="A84:F84"/>
    <mergeCell ref="A85:A86"/>
    <mergeCell ref="B85:F86"/>
    <mergeCell ref="G85:G86"/>
    <mergeCell ref="H85:H86"/>
    <mergeCell ref="I85:I86"/>
    <mergeCell ref="A87:A88"/>
    <mergeCell ref="B87:F88"/>
    <mergeCell ref="G87:G88"/>
    <mergeCell ref="H87:H88"/>
    <mergeCell ref="I87:I88"/>
    <mergeCell ref="A89:A90"/>
    <mergeCell ref="B89:F90"/>
    <mergeCell ref="G89:G90"/>
    <mergeCell ref="H89:H90"/>
    <mergeCell ref="I89:I90"/>
    <mergeCell ref="A91:A92"/>
    <mergeCell ref="B91:F92"/>
    <mergeCell ref="G91:G92"/>
    <mergeCell ref="H91:H92"/>
    <mergeCell ref="I91:I92"/>
    <mergeCell ref="A93:A94"/>
    <mergeCell ref="B93:F94"/>
    <mergeCell ref="G93:G94"/>
    <mergeCell ref="H93:H94"/>
    <mergeCell ref="I93:I94"/>
    <mergeCell ref="A95:A96"/>
    <mergeCell ref="B95:F96"/>
    <mergeCell ref="G95:G96"/>
    <mergeCell ref="H95:H96"/>
    <mergeCell ref="I95:I96"/>
    <mergeCell ref="A97:A98"/>
    <mergeCell ref="B97:F98"/>
    <mergeCell ref="G97:G98"/>
    <mergeCell ref="H97:H98"/>
    <mergeCell ref="I97:I98"/>
    <mergeCell ref="A99:A100"/>
    <mergeCell ref="B99:F100"/>
    <mergeCell ref="G99:G100"/>
    <mergeCell ref="H99:H100"/>
    <mergeCell ref="I99:I100"/>
    <mergeCell ref="A101:A102"/>
    <mergeCell ref="B101:F102"/>
    <mergeCell ref="G101:G102"/>
    <mergeCell ref="H101:H102"/>
    <mergeCell ref="I101:I102"/>
    <mergeCell ref="A103:A104"/>
    <mergeCell ref="B103:F104"/>
    <mergeCell ref="G103:G104"/>
    <mergeCell ref="H103:H104"/>
    <mergeCell ref="I103:I104"/>
    <mergeCell ref="A105:A106"/>
    <mergeCell ref="B105:F106"/>
    <mergeCell ref="G105:G106"/>
    <mergeCell ref="H105:H106"/>
    <mergeCell ref="I105:I106"/>
    <mergeCell ref="A107:F107"/>
    <mergeCell ref="A108:A109"/>
    <mergeCell ref="B108:F109"/>
    <mergeCell ref="G108:G109"/>
    <mergeCell ref="H108:H109"/>
    <mergeCell ref="I108:I109"/>
    <mergeCell ref="A110:A111"/>
    <mergeCell ref="B110:F111"/>
    <mergeCell ref="G110:G111"/>
    <mergeCell ref="H110:H111"/>
    <mergeCell ref="I110:I111"/>
    <mergeCell ref="A112:A113"/>
    <mergeCell ref="B112:F113"/>
    <mergeCell ref="G112:G113"/>
    <mergeCell ref="H112:H113"/>
    <mergeCell ref="I112:I113"/>
    <mergeCell ref="A114:F114"/>
    <mergeCell ref="A115:A116"/>
    <mergeCell ref="B115:F116"/>
    <mergeCell ref="G115:G116"/>
    <mergeCell ref="H115:H116"/>
    <mergeCell ref="I115:I116"/>
    <mergeCell ref="A117:A118"/>
    <mergeCell ref="B117:F118"/>
    <mergeCell ref="G117:G118"/>
    <mergeCell ref="H117:H118"/>
    <mergeCell ref="I117:I118"/>
    <mergeCell ref="A119:F119"/>
    <mergeCell ref="A120:F120"/>
    <mergeCell ref="A121:A122"/>
    <mergeCell ref="B121:F122"/>
    <mergeCell ref="G121:G122"/>
    <mergeCell ref="H121:H122"/>
    <mergeCell ref="I121:I122"/>
    <mergeCell ref="A123:A124"/>
    <mergeCell ref="B123:F124"/>
    <mergeCell ref="G123:G124"/>
    <mergeCell ref="H123:H124"/>
    <mergeCell ref="I123:I124"/>
    <mergeCell ref="A125:F125"/>
    <mergeCell ref="A126:A127"/>
    <mergeCell ref="B126:F127"/>
    <mergeCell ref="G126:G127"/>
    <mergeCell ref="H126:H127"/>
    <mergeCell ref="I126:I127"/>
    <mergeCell ref="A128:A129"/>
    <mergeCell ref="B128:F129"/>
    <mergeCell ref="G128:G129"/>
    <mergeCell ref="H128:H129"/>
    <mergeCell ref="I128:I129"/>
    <mergeCell ref="A130:F130"/>
    <mergeCell ref="A131:A132"/>
    <mergeCell ref="B131:F132"/>
    <mergeCell ref="G131:G132"/>
    <mergeCell ref="H131:H132"/>
    <mergeCell ref="I131:I132"/>
    <mergeCell ref="A133:F133"/>
    <mergeCell ref="A134:A135"/>
    <mergeCell ref="B134:F135"/>
    <mergeCell ref="G134:G135"/>
    <mergeCell ref="H134:H135"/>
    <mergeCell ref="I134:I135"/>
    <mergeCell ref="A136:F136"/>
    <mergeCell ref="A137:A138"/>
    <mergeCell ref="B137:F138"/>
    <mergeCell ref="G137:G138"/>
    <mergeCell ref="H137:H138"/>
    <mergeCell ref="I137:I138"/>
    <mergeCell ref="A139:F139"/>
    <mergeCell ref="A140:A141"/>
    <mergeCell ref="B140:F141"/>
    <mergeCell ref="G140:G141"/>
    <mergeCell ref="H140:H141"/>
    <mergeCell ref="I140:I141"/>
    <mergeCell ref="A142:A143"/>
    <mergeCell ref="B142:F143"/>
    <mergeCell ref="G142:G143"/>
    <mergeCell ref="H142:H143"/>
    <mergeCell ref="I142:I143"/>
    <mergeCell ref="A144:F144"/>
    <mergeCell ref="A145:A146"/>
    <mergeCell ref="B145:F146"/>
    <mergeCell ref="G145:G146"/>
    <mergeCell ref="H145:H146"/>
    <mergeCell ref="I145:I146"/>
    <mergeCell ref="A147:F147"/>
    <mergeCell ref="A148:F148"/>
    <mergeCell ref="A149:A150"/>
    <mergeCell ref="B149:F150"/>
    <mergeCell ref="G149:G150"/>
    <mergeCell ref="H149:H150"/>
    <mergeCell ref="I149:I150"/>
    <mergeCell ref="A151:F151"/>
    <mergeCell ref="A152:A153"/>
    <mergeCell ref="B152:F153"/>
    <mergeCell ref="G152:G153"/>
    <mergeCell ref="H152:H153"/>
    <mergeCell ref="I152:I153"/>
    <mergeCell ref="A154:A155"/>
    <mergeCell ref="B154:F155"/>
    <mergeCell ref="G154:G155"/>
    <mergeCell ref="H154:H155"/>
    <mergeCell ref="I154:I155"/>
    <mergeCell ref="A156:A157"/>
    <mergeCell ref="B156:F157"/>
    <mergeCell ref="G156:G157"/>
    <mergeCell ref="H156:H157"/>
    <mergeCell ref="I156:I157"/>
    <mergeCell ref="A158:A159"/>
    <mergeCell ref="B158:F159"/>
    <mergeCell ref="G158:G159"/>
    <mergeCell ref="H158:H159"/>
    <mergeCell ref="I158:I159"/>
    <mergeCell ref="A160:F160"/>
    <mergeCell ref="B161:F161"/>
    <mergeCell ref="H161:H162"/>
    <mergeCell ref="I161:I162"/>
    <mergeCell ref="B162:F162"/>
    <mergeCell ref="B163:F163"/>
    <mergeCell ref="H163:H164"/>
    <mergeCell ref="I163:I164"/>
    <mergeCell ref="B164:F164"/>
    <mergeCell ref="B165:F165"/>
    <mergeCell ref="H165:H166"/>
    <mergeCell ref="I165:I166"/>
    <mergeCell ref="B166:F166"/>
    <mergeCell ref="B167:F167"/>
    <mergeCell ref="H167:H168"/>
    <mergeCell ref="I167:I168"/>
    <mergeCell ref="B168:F168"/>
    <mergeCell ref="B169:F169"/>
    <mergeCell ref="H169:H170"/>
    <mergeCell ref="I169:I170"/>
    <mergeCell ref="B170:F170"/>
    <mergeCell ref="B171:F171"/>
    <mergeCell ref="H171:H172"/>
    <mergeCell ref="I171:I172"/>
    <mergeCell ref="B172:F172"/>
    <mergeCell ref="B173:F173"/>
    <mergeCell ref="H173:H174"/>
    <mergeCell ref="I173:I174"/>
    <mergeCell ref="B174:F174"/>
    <mergeCell ref="A175:F175"/>
    <mergeCell ref="A176:I176"/>
    <mergeCell ref="A267:F267"/>
    <mergeCell ref="A268:F268"/>
    <mergeCell ref="A269:A270"/>
    <mergeCell ref="B269:F269"/>
    <mergeCell ref="G269:G270"/>
    <mergeCell ref="H269:H270"/>
    <mergeCell ref="I269:I270"/>
    <mergeCell ref="A271:A272"/>
    <mergeCell ref="B271:F271"/>
    <mergeCell ref="G271:G272"/>
    <mergeCell ref="H271:H272"/>
    <mergeCell ref="I271:I272"/>
    <mergeCell ref="A192:A193"/>
    <mergeCell ref="A194:A195"/>
    <mergeCell ref="B190:F190"/>
    <mergeCell ref="B192:F192"/>
    <mergeCell ref="G190:G191"/>
    <mergeCell ref="B188:F188"/>
    <mergeCell ref="G186:G187"/>
    <mergeCell ref="G188:G189"/>
    <mergeCell ref="G184:G185"/>
    <mergeCell ref="A188:A189"/>
    <mergeCell ref="A190:A191"/>
    <mergeCell ref="A273:A274"/>
    <mergeCell ref="B273:F273"/>
    <mergeCell ref="G273:G274"/>
    <mergeCell ref="H273:H274"/>
    <mergeCell ref="I273:I274"/>
    <mergeCell ref="A275:A276"/>
    <mergeCell ref="B275:F275"/>
    <mergeCell ref="G275:G276"/>
    <mergeCell ref="H275:H276"/>
    <mergeCell ref="I275:I276"/>
    <mergeCell ref="A277:A278"/>
    <mergeCell ref="B277:F277"/>
    <mergeCell ref="G277:G278"/>
    <mergeCell ref="H277:H278"/>
    <mergeCell ref="I277:I278"/>
    <mergeCell ref="A279:A280"/>
    <mergeCell ref="B279:F279"/>
    <mergeCell ref="G279:G280"/>
    <mergeCell ref="H279:H280"/>
    <mergeCell ref="I279:I280"/>
    <mergeCell ref="A281:A282"/>
    <mergeCell ref="B281:F281"/>
    <mergeCell ref="G281:G282"/>
    <mergeCell ref="H281:H282"/>
    <mergeCell ref="I281:I282"/>
    <mergeCell ref="A283:A284"/>
    <mergeCell ref="B283:F283"/>
    <mergeCell ref="G283:G284"/>
    <mergeCell ref="H283:H284"/>
    <mergeCell ref="I283:I284"/>
    <mergeCell ref="A285:A286"/>
    <mergeCell ref="B285:F285"/>
    <mergeCell ref="G285:G286"/>
    <mergeCell ref="H285:H286"/>
    <mergeCell ref="I285:I286"/>
    <mergeCell ref="A287:A288"/>
    <mergeCell ref="B287:F287"/>
    <mergeCell ref="G287:G288"/>
    <mergeCell ref="H287:H288"/>
    <mergeCell ref="I287:I288"/>
    <mergeCell ref="A289:A290"/>
    <mergeCell ref="B289:F289"/>
    <mergeCell ref="G289:G290"/>
    <mergeCell ref="H289:H290"/>
    <mergeCell ref="I289:I290"/>
    <mergeCell ref="A291:A292"/>
    <mergeCell ref="B291:F291"/>
    <mergeCell ref="G291:G292"/>
    <mergeCell ref="H291:H292"/>
    <mergeCell ref="I291:I292"/>
    <mergeCell ref="A293:A294"/>
    <mergeCell ref="B293:F293"/>
    <mergeCell ref="G293:G294"/>
    <mergeCell ref="H293:H294"/>
    <mergeCell ref="I293:I294"/>
    <mergeCell ref="A295:A296"/>
    <mergeCell ref="B295:F295"/>
    <mergeCell ref="G295:G296"/>
    <mergeCell ref="H295:H296"/>
    <mergeCell ref="I295:I296"/>
    <mergeCell ref="A297:F297"/>
    <mergeCell ref="B298:F298"/>
    <mergeCell ref="B299:F299"/>
    <mergeCell ref="A300:F300"/>
    <mergeCell ref="B301:F301"/>
    <mergeCell ref="B303:F303"/>
    <mergeCell ref="B304:F304"/>
    <mergeCell ref="B305:F305"/>
    <mergeCell ref="B307:F307"/>
    <mergeCell ref="A302:F302"/>
    <mergeCell ref="B306:F306"/>
    <mergeCell ref="B310:F310"/>
    <mergeCell ref="B312:F312"/>
    <mergeCell ref="B313:F313"/>
    <mergeCell ref="B314:F314"/>
    <mergeCell ref="B315:F315"/>
    <mergeCell ref="A308:F308"/>
    <mergeCell ref="B309:F309"/>
    <mergeCell ref="A311:F311"/>
    <mergeCell ref="B316:F316"/>
    <mergeCell ref="B317:F317"/>
    <mergeCell ref="B319:F319"/>
    <mergeCell ref="B320:F320"/>
    <mergeCell ref="B321:F321"/>
    <mergeCell ref="B322:F322"/>
    <mergeCell ref="B323:F323"/>
    <mergeCell ref="B325:F325"/>
    <mergeCell ref="A318:F318"/>
    <mergeCell ref="B324:F324"/>
    <mergeCell ref="B327:F327"/>
    <mergeCell ref="B328:F328"/>
    <mergeCell ref="B329:F329"/>
    <mergeCell ref="B330:F330"/>
    <mergeCell ref="B331:F331"/>
    <mergeCell ref="B332:F332"/>
    <mergeCell ref="B333:F333"/>
    <mergeCell ref="B334:F334"/>
    <mergeCell ref="A326:F326"/>
    <mergeCell ref="B335:F335"/>
    <mergeCell ref="B336:F336"/>
    <mergeCell ref="B337:F337"/>
    <mergeCell ref="B339:F339"/>
    <mergeCell ref="B341:F341"/>
    <mergeCell ref="B342:F342"/>
    <mergeCell ref="B343:F343"/>
    <mergeCell ref="B338:F338"/>
    <mergeCell ref="A340:F340"/>
    <mergeCell ref="B344:F344"/>
    <mergeCell ref="B345:F345"/>
    <mergeCell ref="B346:F346"/>
    <mergeCell ref="B347:F347"/>
    <mergeCell ref="B349:F349"/>
    <mergeCell ref="B351:F351"/>
    <mergeCell ref="B352:F352"/>
    <mergeCell ref="B348:F348"/>
    <mergeCell ref="A350:F350"/>
    <mergeCell ref="B353:F353"/>
    <mergeCell ref="B354:F354"/>
    <mergeCell ref="B355:F355"/>
    <mergeCell ref="B356:F356"/>
    <mergeCell ref="B357:F357"/>
    <mergeCell ref="B358:F358"/>
    <mergeCell ref="B359:F359"/>
    <mergeCell ref="A360:F360"/>
    <mergeCell ref="A361:I361"/>
    <mergeCell ref="B362:F362"/>
    <mergeCell ref="B363:F363"/>
    <mergeCell ref="A364:A365"/>
    <mergeCell ref="B364:F364"/>
    <mergeCell ref="G364:G365"/>
    <mergeCell ref="H364:H365"/>
    <mergeCell ref="I364:I365"/>
    <mergeCell ref="A366:A367"/>
    <mergeCell ref="B366:F366"/>
    <mergeCell ref="G366:G367"/>
    <mergeCell ref="H366:H367"/>
    <mergeCell ref="I366:I367"/>
    <mergeCell ref="A368:A369"/>
    <mergeCell ref="B368:F368"/>
    <mergeCell ref="G368:G369"/>
    <mergeCell ref="H368:H369"/>
    <mergeCell ref="I368:I369"/>
    <mergeCell ref="A370:A371"/>
    <mergeCell ref="B370:F370"/>
    <mergeCell ref="G370:G371"/>
    <mergeCell ref="H370:H371"/>
    <mergeCell ref="I370:I371"/>
    <mergeCell ref="A372:A373"/>
    <mergeCell ref="B372:F372"/>
    <mergeCell ref="G372:G373"/>
    <mergeCell ref="H372:H373"/>
    <mergeCell ref="I372:I373"/>
    <mergeCell ref="A374:A375"/>
    <mergeCell ref="B374:F374"/>
    <mergeCell ref="G374:G375"/>
    <mergeCell ref="H374:H375"/>
    <mergeCell ref="I374:I375"/>
    <mergeCell ref="A376:A377"/>
    <mergeCell ref="B376:F376"/>
    <mergeCell ref="G376:G377"/>
    <mergeCell ref="H376:H377"/>
    <mergeCell ref="I376:I377"/>
    <mergeCell ref="A378:A380"/>
    <mergeCell ref="B378:F378"/>
    <mergeCell ref="G378:G380"/>
    <mergeCell ref="H378:H380"/>
    <mergeCell ref="I378:I380"/>
    <mergeCell ref="A381:A382"/>
    <mergeCell ref="B381:F381"/>
    <mergeCell ref="G381:G382"/>
    <mergeCell ref="H381:H382"/>
    <mergeCell ref="I381:I382"/>
    <mergeCell ref="A383:A385"/>
    <mergeCell ref="B383:F383"/>
    <mergeCell ref="G383:G385"/>
    <mergeCell ref="H383:H385"/>
    <mergeCell ref="I383:I385"/>
    <mergeCell ref="A386:A387"/>
    <mergeCell ref="B386:F386"/>
    <mergeCell ref="G386:G387"/>
    <mergeCell ref="H386:H387"/>
    <mergeCell ref="I386:I387"/>
    <mergeCell ref="A388:A389"/>
    <mergeCell ref="B388:F388"/>
    <mergeCell ref="G388:G389"/>
    <mergeCell ref="H388:H389"/>
    <mergeCell ref="I388:I389"/>
    <mergeCell ref="A390:F390"/>
    <mergeCell ref="B391:F391"/>
    <mergeCell ref="B392:F392"/>
    <mergeCell ref="A393:F393"/>
    <mergeCell ref="B394:F394"/>
    <mergeCell ref="B395:F395"/>
    <mergeCell ref="B396:F396"/>
    <mergeCell ref="B397:F397"/>
    <mergeCell ref="A398:F398"/>
    <mergeCell ref="B399:F399"/>
    <mergeCell ref="B400:F400"/>
    <mergeCell ref="B401:F401"/>
    <mergeCell ref="B402:F402"/>
    <mergeCell ref="B403:F403"/>
    <mergeCell ref="A404:F404"/>
    <mergeCell ref="B405:F405"/>
    <mergeCell ref="B406:F406"/>
    <mergeCell ref="B407:F407"/>
    <mergeCell ref="A408:F408"/>
    <mergeCell ref="B409:F409"/>
    <mergeCell ref="B410:F410"/>
    <mergeCell ref="B411:F411"/>
    <mergeCell ref="B412:F412"/>
    <mergeCell ref="B413:F413"/>
    <mergeCell ref="B414:F414"/>
    <mergeCell ref="A415:F415"/>
    <mergeCell ref="B416:F416"/>
    <mergeCell ref="B417:F417"/>
    <mergeCell ref="B418:F418"/>
    <mergeCell ref="B419:F419"/>
    <mergeCell ref="B420:F420"/>
    <mergeCell ref="B421:F421"/>
    <mergeCell ref="B422:F422"/>
    <mergeCell ref="B423:F423"/>
    <mergeCell ref="B424:F424"/>
    <mergeCell ref="B425:F425"/>
    <mergeCell ref="A426:F426"/>
    <mergeCell ref="B427:F427"/>
    <mergeCell ref="B428:F428"/>
    <mergeCell ref="B429:F429"/>
    <mergeCell ref="B430:F430"/>
    <mergeCell ref="B431:F431"/>
    <mergeCell ref="B432:F432"/>
    <mergeCell ref="B433:F433"/>
    <mergeCell ref="B434:F434"/>
    <mergeCell ref="B444:F444"/>
    <mergeCell ref="B445:F445"/>
    <mergeCell ref="B446:F446"/>
    <mergeCell ref="B447:F447"/>
    <mergeCell ref="B448:F448"/>
    <mergeCell ref="B435:F435"/>
    <mergeCell ref="B436:F436"/>
    <mergeCell ref="B437:F437"/>
    <mergeCell ref="A438:F438"/>
    <mergeCell ref="A439:F439"/>
    <mergeCell ref="A440:I440"/>
    <mergeCell ref="B441:F441"/>
    <mergeCell ref="B442:F442"/>
    <mergeCell ref="B443:F443"/>
    <mergeCell ref="B459:F459"/>
    <mergeCell ref="B460:F460"/>
    <mergeCell ref="A461:F461"/>
    <mergeCell ref="B454:F454"/>
    <mergeCell ref="B455:F455"/>
    <mergeCell ref="B456:F456"/>
    <mergeCell ref="B457:F457"/>
    <mergeCell ref="B458:F458"/>
    <mergeCell ref="B449:F449"/>
    <mergeCell ref="A450:F450"/>
    <mergeCell ref="A451:I451"/>
    <mergeCell ref="B452:F452"/>
    <mergeCell ref="B453:F453"/>
  </mergeCells>
  <pageMargins left="0.98425196850393704" right="0.39370078740157483" top="0.39370078740157483" bottom="0.39370078740157483" header="0.31496062992125984" footer="0.31496062992125984"/>
  <pageSetup paperSize="9" scale="96" orientation="portrait" r:id="rId1"/>
  <legacyDrawing r:id="rId2"/>
</worksheet>
</file>

<file path=xl/worksheets/sheet16.xml><?xml version="1.0" encoding="utf-8"?>
<worksheet xmlns="http://schemas.openxmlformats.org/spreadsheetml/2006/main" xmlns:r="http://schemas.openxmlformats.org/officeDocument/2006/relationships">
  <dimension ref="A1:K13"/>
  <sheetViews>
    <sheetView view="pageBreakPreview" topLeftCell="A7" zoomScaleSheetLayoutView="100" workbookViewId="0">
      <selection activeCell="B8" sqref="B8:G8"/>
    </sheetView>
  </sheetViews>
  <sheetFormatPr defaultRowHeight="15"/>
  <cols>
    <col min="1" max="1" width="7.85546875" customWidth="1"/>
    <col min="2" max="6" width="4.28515625" customWidth="1"/>
    <col min="7" max="7" width="19.85546875" customWidth="1"/>
    <col min="8" max="8" width="14.7109375" customWidth="1"/>
    <col min="9" max="9" width="11.7109375" customWidth="1"/>
    <col min="10" max="10" width="12.140625" customWidth="1"/>
    <col min="11" max="11" width="0.42578125" hidden="1" customWidth="1"/>
  </cols>
  <sheetData>
    <row r="1" spans="1:11" ht="6" customHeight="1"/>
    <row r="2" spans="1:11" ht="32.25" customHeight="1">
      <c r="A2" s="1390" t="s">
        <v>1398</v>
      </c>
      <c r="B2" s="1391"/>
      <c r="C2" s="1391"/>
      <c r="D2" s="1391"/>
      <c r="E2" s="1391"/>
      <c r="F2" s="1391"/>
      <c r="G2" s="1391"/>
      <c r="H2" s="1391"/>
      <c r="I2" s="1391"/>
      <c r="J2" s="1391"/>
      <c r="K2" s="1391"/>
    </row>
    <row r="3" spans="1:11" ht="23.25" customHeight="1">
      <c r="A3" s="1392"/>
      <c r="B3" s="1393"/>
      <c r="C3" s="1393"/>
      <c r="D3" s="1393"/>
      <c r="E3" s="1393"/>
      <c r="F3" s="1393"/>
      <c r="G3" s="1393"/>
      <c r="H3" s="1393"/>
      <c r="I3" s="1393"/>
      <c r="J3" s="1393"/>
      <c r="K3" s="1393"/>
    </row>
    <row r="4" spans="1:11" ht="47.25" customHeight="1">
      <c r="A4" s="1394" t="s">
        <v>7</v>
      </c>
      <c r="B4" s="1395" t="s">
        <v>8</v>
      </c>
      <c r="C4" s="1395"/>
      <c r="D4" s="1395"/>
      <c r="E4" s="1395"/>
      <c r="F4" s="1395"/>
      <c r="G4" s="1395"/>
      <c r="H4" s="1396" t="s">
        <v>489</v>
      </c>
      <c r="I4" s="1397" t="s">
        <v>490</v>
      </c>
      <c r="J4" s="1397"/>
    </row>
    <row r="5" spans="1:11" ht="92.25" customHeight="1">
      <c r="A5" s="1394"/>
      <c r="B5" s="1395"/>
      <c r="C5" s="1395"/>
      <c r="D5" s="1395"/>
      <c r="E5" s="1395"/>
      <c r="F5" s="1395"/>
      <c r="G5" s="1395"/>
      <c r="H5" s="1396"/>
      <c r="I5" s="384" t="s">
        <v>491</v>
      </c>
      <c r="J5" s="384" t="s">
        <v>492</v>
      </c>
    </row>
    <row r="6" spans="1:11" ht="298.5" customHeight="1">
      <c r="A6" s="381" t="s">
        <v>463</v>
      </c>
      <c r="B6" s="1387" t="s">
        <v>1431</v>
      </c>
      <c r="C6" s="1388"/>
      <c r="D6" s="1388"/>
      <c r="E6" s="1388"/>
      <c r="F6" s="1388"/>
      <c r="G6" s="1389"/>
      <c r="H6" s="382" t="s">
        <v>62</v>
      </c>
      <c r="I6" s="383" t="s">
        <v>1379</v>
      </c>
      <c r="J6" s="383" t="s">
        <v>1227</v>
      </c>
    </row>
    <row r="7" spans="1:11" ht="162.75" customHeight="1">
      <c r="A7" s="381" t="s">
        <v>667</v>
      </c>
      <c r="B7" s="1387" t="s">
        <v>1432</v>
      </c>
      <c r="C7" s="1388"/>
      <c r="D7" s="1388"/>
      <c r="E7" s="1388"/>
      <c r="F7" s="1388"/>
      <c r="G7" s="1389"/>
      <c r="H7" s="382" t="s">
        <v>62</v>
      </c>
      <c r="I7" s="383" t="s">
        <v>1379</v>
      </c>
      <c r="J7" s="383" t="s">
        <v>1227</v>
      </c>
    </row>
    <row r="8" spans="1:11" ht="103.5" customHeight="1">
      <c r="A8" s="381" t="s">
        <v>670</v>
      </c>
      <c r="B8" s="1387" t="s">
        <v>1433</v>
      </c>
      <c r="C8" s="1388"/>
      <c r="D8" s="1388"/>
      <c r="E8" s="1388"/>
      <c r="F8" s="1388"/>
      <c r="G8" s="1389"/>
      <c r="H8" s="382" t="s">
        <v>62</v>
      </c>
      <c r="I8" s="383" t="s">
        <v>1379</v>
      </c>
      <c r="J8" s="383" t="s">
        <v>1227</v>
      </c>
    </row>
    <row r="9" spans="1:11" ht="102" customHeight="1">
      <c r="A9" s="381" t="s">
        <v>672</v>
      </c>
      <c r="B9" s="1387" t="s">
        <v>1434</v>
      </c>
      <c r="C9" s="1388"/>
      <c r="D9" s="1388"/>
      <c r="E9" s="1388"/>
      <c r="F9" s="1388"/>
      <c r="G9" s="1389"/>
      <c r="H9" s="382" t="s">
        <v>62</v>
      </c>
      <c r="I9" s="383" t="s">
        <v>1379</v>
      </c>
      <c r="J9" s="383" t="s">
        <v>1227</v>
      </c>
    </row>
    <row r="10" spans="1:11" ht="114" customHeight="1">
      <c r="A10" s="381" t="s">
        <v>674</v>
      </c>
      <c r="B10" s="1387" t="s">
        <v>1435</v>
      </c>
      <c r="C10" s="1388"/>
      <c r="D10" s="1388"/>
      <c r="E10" s="1388"/>
      <c r="F10" s="1388"/>
      <c r="G10" s="1389"/>
      <c r="H10" s="382" t="s">
        <v>62</v>
      </c>
      <c r="I10" s="383" t="s">
        <v>1379</v>
      </c>
      <c r="J10" s="383" t="s">
        <v>1227</v>
      </c>
    </row>
    <row r="11" spans="1:11" ht="73.5" customHeight="1">
      <c r="A11" s="381" t="s">
        <v>676</v>
      </c>
      <c r="B11" s="1387" t="s">
        <v>1436</v>
      </c>
      <c r="C11" s="1388"/>
      <c r="D11" s="1388"/>
      <c r="E11" s="1388"/>
      <c r="F11" s="1388"/>
      <c r="G11" s="1389"/>
      <c r="H11" s="382" t="s">
        <v>62</v>
      </c>
      <c r="I11" s="383" t="s">
        <v>1379</v>
      </c>
      <c r="J11" s="383" t="s">
        <v>1227</v>
      </c>
    </row>
    <row r="12" spans="1:11" ht="93.75" customHeight="1">
      <c r="A12" s="381" t="s">
        <v>679</v>
      </c>
      <c r="B12" s="1387" t="s">
        <v>1437</v>
      </c>
      <c r="C12" s="1388"/>
      <c r="D12" s="1388"/>
      <c r="E12" s="1388"/>
      <c r="F12" s="1388"/>
      <c r="G12" s="1389"/>
      <c r="H12" s="382" t="s">
        <v>62</v>
      </c>
      <c r="I12" s="383" t="s">
        <v>1379</v>
      </c>
      <c r="J12" s="383" t="s">
        <v>1227</v>
      </c>
    </row>
    <row r="13" spans="1:11" ht="64.5" customHeight="1">
      <c r="A13" s="381" t="s">
        <v>681</v>
      </c>
      <c r="B13" s="1387" t="s">
        <v>1438</v>
      </c>
      <c r="C13" s="1388"/>
      <c r="D13" s="1388"/>
      <c r="E13" s="1388"/>
      <c r="F13" s="1388"/>
      <c r="G13" s="1389"/>
      <c r="H13" s="382" t="s">
        <v>62</v>
      </c>
      <c r="I13" s="383" t="s">
        <v>1379</v>
      </c>
      <c r="J13" s="383" t="s">
        <v>1227</v>
      </c>
    </row>
  </sheetData>
  <mergeCells count="14">
    <mergeCell ref="B12:G12"/>
    <mergeCell ref="B13:G13"/>
    <mergeCell ref="B6:G6"/>
    <mergeCell ref="B7:G7"/>
    <mergeCell ref="B8:G8"/>
    <mergeCell ref="B9:G9"/>
    <mergeCell ref="B10:G10"/>
    <mergeCell ref="B11:G11"/>
    <mergeCell ref="A2:K2"/>
    <mergeCell ref="A3:K3"/>
    <mergeCell ref="A4:A5"/>
    <mergeCell ref="B4:G5"/>
    <mergeCell ref="H4:H5"/>
    <mergeCell ref="I4:J4"/>
  </mergeCells>
  <pageMargins left="0.98425196850393704" right="0.39370078740157483" top="0.39370078740157483" bottom="0.3937007874015748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dimension ref="A1:G44"/>
  <sheetViews>
    <sheetView view="pageBreakPreview" topLeftCell="A22" zoomScale="80" zoomScaleSheetLayoutView="80" workbookViewId="0">
      <selection activeCell="V16" sqref="V16"/>
    </sheetView>
  </sheetViews>
  <sheetFormatPr defaultRowHeight="15"/>
  <cols>
    <col min="1" max="1" width="34" customWidth="1"/>
    <col min="2" max="2" width="9" customWidth="1"/>
    <col min="3" max="3" width="9.28515625" customWidth="1"/>
    <col min="4" max="7" width="8.85546875" customWidth="1"/>
    <col min="8" max="8" width="1.42578125" customWidth="1"/>
  </cols>
  <sheetData>
    <row r="1" spans="1:7" ht="15.75">
      <c r="A1" s="1331" t="s">
        <v>1394</v>
      </c>
      <c r="B1" s="1331"/>
      <c r="C1" s="1331"/>
      <c r="D1" s="1331"/>
      <c r="E1" s="1331"/>
      <c r="F1" s="1331"/>
      <c r="G1" s="1380"/>
    </row>
    <row r="2" spans="1:7" ht="15.75">
      <c r="A2" s="1332" t="s">
        <v>850</v>
      </c>
      <c r="B2" s="1332"/>
      <c r="C2" s="1332"/>
      <c r="D2" s="1332"/>
      <c r="E2" s="1332"/>
      <c r="F2" s="1332"/>
      <c r="G2" s="1381"/>
    </row>
    <row r="3" spans="1:7" ht="12" customHeight="1">
      <c r="A3" s="1382"/>
      <c r="B3" s="1382"/>
      <c r="C3" s="1382"/>
      <c r="D3" s="1382"/>
      <c r="E3" s="1382"/>
      <c r="F3" s="1382"/>
    </row>
    <row r="4" spans="1:7" ht="66.75" customHeight="1">
      <c r="A4" s="1383" t="s">
        <v>323</v>
      </c>
      <c r="B4" s="1851" t="s">
        <v>1413</v>
      </c>
      <c r="C4" s="1384" t="s">
        <v>841</v>
      </c>
      <c r="D4" s="1385"/>
      <c r="E4" s="1385"/>
      <c r="F4" s="1385"/>
      <c r="G4" s="1386"/>
    </row>
    <row r="5" spans="1:7" ht="46.5" customHeight="1">
      <c r="A5" s="1383"/>
      <c r="B5" s="1852"/>
      <c r="C5" s="225">
        <v>2015</v>
      </c>
      <c r="D5" s="225">
        <v>2016</v>
      </c>
      <c r="E5" s="225">
        <v>2017</v>
      </c>
      <c r="F5" s="225">
        <v>2018</v>
      </c>
      <c r="G5" s="218">
        <v>2019</v>
      </c>
    </row>
    <row r="6" spans="1:7" ht="26.25" customHeight="1">
      <c r="A6" s="1378" t="s">
        <v>425</v>
      </c>
      <c r="B6" s="1849"/>
      <c r="C6" s="1849"/>
      <c r="D6" s="1849"/>
      <c r="E6" s="1849"/>
      <c r="F6" s="1849"/>
      <c r="G6" s="1850"/>
    </row>
    <row r="7" spans="1:7" ht="91.5" customHeight="1">
      <c r="A7" s="226" t="s">
        <v>851</v>
      </c>
      <c r="B7" s="225">
        <v>0</v>
      </c>
      <c r="C7" s="225">
        <v>0</v>
      </c>
      <c r="D7" s="225">
        <v>0</v>
      </c>
      <c r="E7" s="225">
        <v>0</v>
      </c>
      <c r="F7" s="225">
        <v>0</v>
      </c>
      <c r="G7" s="225">
        <v>0</v>
      </c>
    </row>
    <row r="8" spans="1:7" ht="34.5" customHeight="1">
      <c r="A8" s="226" t="s">
        <v>1445</v>
      </c>
      <c r="B8" s="225">
        <v>0</v>
      </c>
      <c r="C8" s="225">
        <v>0</v>
      </c>
      <c r="D8" s="225">
        <v>0</v>
      </c>
      <c r="E8" s="225">
        <v>0</v>
      </c>
      <c r="F8" s="225">
        <v>0</v>
      </c>
      <c r="G8" s="225">
        <v>0</v>
      </c>
    </row>
    <row r="9" spans="1:7" ht="63.75" customHeight="1">
      <c r="A9" s="226" t="s">
        <v>1444</v>
      </c>
      <c r="B9" s="227">
        <v>77257.378999999986</v>
      </c>
      <c r="C9" s="227">
        <v>75647</v>
      </c>
      <c r="D9" s="225">
        <v>78602</v>
      </c>
      <c r="E9" s="225">
        <v>79931</v>
      </c>
      <c r="F9" s="225">
        <v>73070</v>
      </c>
      <c r="G9" s="218">
        <v>78328</v>
      </c>
    </row>
    <row r="10" spans="1:7" ht="93" customHeight="1">
      <c r="A10" s="219" t="s">
        <v>426</v>
      </c>
      <c r="B10" s="15" t="s">
        <v>62</v>
      </c>
      <c r="C10" s="15" t="s">
        <v>62</v>
      </c>
      <c r="D10" s="15" t="s">
        <v>62</v>
      </c>
      <c r="E10" s="15" t="s">
        <v>62</v>
      </c>
      <c r="F10" s="15" t="s">
        <v>62</v>
      </c>
      <c r="G10" s="15" t="s">
        <v>62</v>
      </c>
    </row>
    <row r="11" spans="1:7" ht="38.25" customHeight="1">
      <c r="A11" s="219" t="s">
        <v>852</v>
      </c>
      <c r="B11" s="15" t="s">
        <v>62</v>
      </c>
      <c r="C11" s="15" t="s">
        <v>62</v>
      </c>
      <c r="D11" s="15" t="s">
        <v>62</v>
      </c>
      <c r="E11" s="15" t="s">
        <v>62</v>
      </c>
      <c r="F11" s="15" t="s">
        <v>62</v>
      </c>
      <c r="G11" s="15" t="s">
        <v>62</v>
      </c>
    </row>
    <row r="12" spans="1:7" ht="63.75" customHeight="1">
      <c r="A12" s="219" t="s">
        <v>1443</v>
      </c>
      <c r="B12" s="15" t="s">
        <v>62</v>
      </c>
      <c r="C12" s="15" t="s">
        <v>62</v>
      </c>
      <c r="D12" s="15" t="s">
        <v>62</v>
      </c>
      <c r="E12" s="15" t="s">
        <v>62</v>
      </c>
      <c r="F12" s="15" t="s">
        <v>62</v>
      </c>
      <c r="G12" s="15" t="s">
        <v>62</v>
      </c>
    </row>
    <row r="13" spans="1:7" ht="91.5" customHeight="1">
      <c r="A13" s="219" t="s">
        <v>427</v>
      </c>
      <c r="B13" s="220">
        <v>18.53</v>
      </c>
      <c r="C13" s="220">
        <v>20</v>
      </c>
      <c r="D13" s="220">
        <v>19.48</v>
      </c>
      <c r="E13" s="220">
        <v>19.48</v>
      </c>
      <c r="F13" s="220">
        <v>19.48</v>
      </c>
      <c r="G13" s="392">
        <v>19.48</v>
      </c>
    </row>
    <row r="14" spans="1:7" ht="66" customHeight="1">
      <c r="A14" s="219" t="s">
        <v>428</v>
      </c>
      <c r="B14" s="225">
        <v>215</v>
      </c>
      <c r="C14" s="225">
        <v>248</v>
      </c>
      <c r="D14" s="228">
        <v>243</v>
      </c>
      <c r="E14" s="228">
        <v>243</v>
      </c>
      <c r="F14" s="228">
        <v>243</v>
      </c>
      <c r="G14" s="228">
        <v>243</v>
      </c>
    </row>
    <row r="15" spans="1:7" ht="36.75" customHeight="1">
      <c r="A15" s="219" t="s">
        <v>429</v>
      </c>
      <c r="B15" s="225">
        <v>1160</v>
      </c>
      <c r="C15" s="225">
        <v>1248</v>
      </c>
      <c r="D15" s="228">
        <v>1248</v>
      </c>
      <c r="E15" s="228">
        <v>1248</v>
      </c>
      <c r="F15" s="228">
        <v>1248</v>
      </c>
      <c r="G15" s="228">
        <v>1248</v>
      </c>
    </row>
    <row r="16" spans="1:7" ht="92.25" customHeight="1">
      <c r="A16" s="219" t="s">
        <v>430</v>
      </c>
      <c r="B16" s="15" t="s">
        <v>62</v>
      </c>
      <c r="C16" s="15" t="s">
        <v>62</v>
      </c>
      <c r="D16" s="15" t="s">
        <v>62</v>
      </c>
      <c r="E16" s="15" t="s">
        <v>62</v>
      </c>
      <c r="F16" s="15" t="s">
        <v>62</v>
      </c>
      <c r="G16" s="15" t="s">
        <v>62</v>
      </c>
    </row>
    <row r="17" spans="1:7" ht="66" customHeight="1">
      <c r="A17" s="219" t="s">
        <v>431</v>
      </c>
      <c r="B17" s="15" t="s">
        <v>62</v>
      </c>
      <c r="C17" s="15" t="s">
        <v>62</v>
      </c>
      <c r="D17" s="15" t="s">
        <v>62</v>
      </c>
      <c r="E17" s="15" t="s">
        <v>62</v>
      </c>
      <c r="F17" s="15" t="s">
        <v>62</v>
      </c>
      <c r="G17" s="15" t="s">
        <v>62</v>
      </c>
    </row>
    <row r="18" spans="1:7" ht="36" customHeight="1">
      <c r="A18" s="219" t="s">
        <v>432</v>
      </c>
      <c r="B18" s="15" t="s">
        <v>62</v>
      </c>
      <c r="C18" s="15" t="s">
        <v>62</v>
      </c>
      <c r="D18" s="15" t="s">
        <v>62</v>
      </c>
      <c r="E18" s="15" t="s">
        <v>62</v>
      </c>
      <c r="F18" s="15" t="s">
        <v>62</v>
      </c>
      <c r="G18" s="15" t="s">
        <v>62</v>
      </c>
    </row>
    <row r="19" spans="1:7" ht="18" customHeight="1">
      <c r="A19" s="1378" t="s">
        <v>433</v>
      </c>
      <c r="B19" s="1849"/>
      <c r="C19" s="1849"/>
      <c r="D19" s="1849"/>
      <c r="E19" s="1849"/>
      <c r="F19" s="1849"/>
      <c r="G19" s="1850"/>
    </row>
    <row r="20" spans="1:7" ht="56.25" customHeight="1">
      <c r="A20" s="219" t="s">
        <v>434</v>
      </c>
      <c r="B20" s="222" t="s">
        <v>853</v>
      </c>
      <c r="C20" s="222" t="s">
        <v>854</v>
      </c>
      <c r="D20" s="222" t="s">
        <v>854</v>
      </c>
      <c r="E20" s="222" t="s">
        <v>854</v>
      </c>
      <c r="F20" s="222" t="s">
        <v>854</v>
      </c>
      <c r="G20" s="222" t="s">
        <v>854</v>
      </c>
    </row>
    <row r="21" spans="1:7" ht="39" customHeight="1">
      <c r="A21" s="219" t="s">
        <v>435</v>
      </c>
      <c r="B21" s="225">
        <v>7888</v>
      </c>
      <c r="C21" s="225">
        <v>7538</v>
      </c>
      <c r="D21" s="225">
        <v>7470</v>
      </c>
      <c r="E21" s="225">
        <v>7470</v>
      </c>
      <c r="F21" s="225">
        <v>7470</v>
      </c>
      <c r="G21" s="225">
        <v>7470</v>
      </c>
    </row>
    <row r="22" spans="1:7" ht="37.5" customHeight="1">
      <c r="A22" s="219" t="s">
        <v>436</v>
      </c>
      <c r="B22" s="225">
        <v>915.47</v>
      </c>
      <c r="C22" s="225">
        <v>938.7</v>
      </c>
      <c r="D22" s="225">
        <v>930</v>
      </c>
      <c r="E22" s="225">
        <v>930</v>
      </c>
      <c r="F22" s="225">
        <v>930</v>
      </c>
      <c r="G22" s="225">
        <v>930</v>
      </c>
    </row>
    <row r="23" spans="1:7" ht="19.5" customHeight="1">
      <c r="A23" s="1378" t="s">
        <v>334</v>
      </c>
      <c r="B23" s="1849"/>
      <c r="C23" s="1849"/>
      <c r="D23" s="1849"/>
      <c r="E23" s="1849"/>
      <c r="F23" s="1849"/>
      <c r="G23" s="1850"/>
    </row>
    <row r="24" spans="1:7" ht="85.5" customHeight="1">
      <c r="A24" s="219" t="s">
        <v>855</v>
      </c>
      <c r="B24" s="223">
        <v>0.42399999999999999</v>
      </c>
      <c r="C24" s="223">
        <v>0.46200000000000002</v>
      </c>
      <c r="D24" s="223">
        <v>0.45400000000000001</v>
      </c>
      <c r="E24" s="223">
        <v>0.45400000000000001</v>
      </c>
      <c r="F24" s="223">
        <v>0.45400000000000001</v>
      </c>
      <c r="G24" s="223">
        <v>0.45400000000000001</v>
      </c>
    </row>
    <row r="25" spans="1:7" ht="63.75" customHeight="1">
      <c r="A25" s="219" t="s">
        <v>338</v>
      </c>
      <c r="B25" s="227">
        <v>32783.675000000003</v>
      </c>
      <c r="C25" s="227">
        <v>34949</v>
      </c>
      <c r="D25" s="227">
        <v>35685.307999999997</v>
      </c>
      <c r="E25" s="225">
        <v>36289</v>
      </c>
      <c r="F25" s="225">
        <v>33174</v>
      </c>
      <c r="G25" s="225">
        <v>35561</v>
      </c>
    </row>
    <row r="26" spans="1:7" ht="37.5" customHeight="1">
      <c r="A26" s="219" t="s">
        <v>1446</v>
      </c>
      <c r="B26" s="227">
        <v>77257.379000000001</v>
      </c>
      <c r="C26" s="227">
        <v>75647</v>
      </c>
      <c r="D26" s="225">
        <v>78602</v>
      </c>
      <c r="E26" s="225">
        <v>79931</v>
      </c>
      <c r="F26" s="225">
        <v>73070</v>
      </c>
      <c r="G26" s="218">
        <v>78328</v>
      </c>
    </row>
    <row r="27" spans="1:7" ht="96" customHeight="1">
      <c r="A27" s="219" t="s">
        <v>856</v>
      </c>
      <c r="B27" s="223">
        <v>0.21099999999999999</v>
      </c>
      <c r="C27" s="223">
        <v>0.215</v>
      </c>
      <c r="D27" s="223">
        <v>0.22600000000000001</v>
      </c>
      <c r="E27" s="223">
        <v>0.22600000000000001</v>
      </c>
      <c r="F27" s="223">
        <v>0.22600000000000001</v>
      </c>
      <c r="G27" s="223">
        <v>0.22600000000000001</v>
      </c>
    </row>
    <row r="28" spans="1:7" ht="61.5" customHeight="1">
      <c r="A28" s="219" t="s">
        <v>437</v>
      </c>
      <c r="B28" s="227">
        <v>16319.563999999998</v>
      </c>
      <c r="C28" s="227">
        <v>16264</v>
      </c>
      <c r="D28" s="227">
        <v>17764.052</v>
      </c>
      <c r="E28" s="225">
        <v>18064</v>
      </c>
      <c r="F28" s="225">
        <v>16514</v>
      </c>
      <c r="G28" s="225">
        <v>17702</v>
      </c>
    </row>
    <row r="29" spans="1:7" ht="48.75" customHeight="1">
      <c r="A29" s="219" t="s">
        <v>1447</v>
      </c>
      <c r="B29" s="227">
        <v>77257.379000000001</v>
      </c>
      <c r="C29" s="227">
        <v>75647</v>
      </c>
      <c r="D29" s="227">
        <v>78602</v>
      </c>
      <c r="E29" s="225">
        <v>79931</v>
      </c>
      <c r="F29" s="225">
        <v>73070</v>
      </c>
      <c r="G29" s="218">
        <v>78328</v>
      </c>
    </row>
    <row r="30" spans="1:7" ht="15" customHeight="1">
      <c r="A30" s="229"/>
      <c r="B30" s="230"/>
      <c r="C30" s="230"/>
      <c r="D30" s="231"/>
      <c r="E30" s="231"/>
      <c r="F30" s="231"/>
    </row>
    <row r="31" spans="1:7" ht="38.25" customHeight="1">
      <c r="A31" s="1369" t="s">
        <v>1412</v>
      </c>
      <c r="B31" s="1369"/>
      <c r="C31" s="1369"/>
      <c r="D31" s="1369"/>
      <c r="E31" s="1369"/>
      <c r="F31" s="1369"/>
      <c r="G31" s="1369"/>
    </row>
    <row r="32" spans="1:7" ht="18.75">
      <c r="A32" s="231"/>
      <c r="B32" s="231"/>
      <c r="C32" s="231"/>
      <c r="D32" s="231"/>
      <c r="E32" s="231"/>
      <c r="F32" s="231"/>
    </row>
    <row r="33" spans="1:6" ht="18.75">
      <c r="A33" s="17"/>
      <c r="B33" s="7"/>
      <c r="C33" s="7"/>
      <c r="D33" s="231"/>
      <c r="E33" s="231"/>
      <c r="F33" s="231"/>
    </row>
    <row r="34" spans="1:6" ht="18.75">
      <c r="A34" s="17"/>
      <c r="B34" s="5"/>
      <c r="C34" s="5"/>
      <c r="D34" s="231"/>
      <c r="E34" s="231"/>
      <c r="F34" s="231"/>
    </row>
    <row r="35" spans="1:6" ht="18.75">
      <c r="A35" s="17"/>
      <c r="B35" s="5"/>
      <c r="C35" s="5"/>
      <c r="D35" s="231"/>
      <c r="E35" s="231"/>
      <c r="F35" s="231"/>
    </row>
    <row r="36" spans="1:6" ht="18.75">
      <c r="A36" s="17"/>
      <c r="B36" s="5"/>
      <c r="C36" s="5"/>
      <c r="D36" s="231"/>
      <c r="E36" s="231"/>
      <c r="F36" s="231"/>
    </row>
    <row r="37" spans="1:6" ht="18.75">
      <c r="A37" s="17"/>
      <c r="B37" s="5"/>
      <c r="C37" s="5"/>
      <c r="D37" s="231"/>
      <c r="E37" s="231"/>
      <c r="F37" s="231"/>
    </row>
    <row r="38" spans="1:6" ht="18.75">
      <c r="A38" s="17"/>
      <c r="B38" s="5"/>
      <c r="C38" s="5"/>
      <c r="D38" s="231"/>
      <c r="E38" s="231"/>
      <c r="F38" s="231"/>
    </row>
    <row r="39" spans="1:6" ht="18.75">
      <c r="A39" s="17"/>
      <c r="B39" s="5"/>
      <c r="C39" s="5"/>
      <c r="D39" s="231"/>
      <c r="E39" s="231"/>
      <c r="F39" s="231"/>
    </row>
    <row r="40" spans="1:6" ht="18.75">
      <c r="A40" s="17" t="s">
        <v>339</v>
      </c>
      <c r="B40" s="5"/>
      <c r="C40" s="5"/>
      <c r="D40" s="231"/>
      <c r="E40" s="231"/>
      <c r="F40" s="231"/>
    </row>
    <row r="41" spans="1:6" ht="18.75">
      <c r="A41" s="17"/>
      <c r="B41" s="7"/>
      <c r="C41" s="7"/>
      <c r="D41" s="231"/>
      <c r="E41" s="231"/>
      <c r="F41" s="231"/>
    </row>
    <row r="42" spans="1:6" ht="18.75">
      <c r="A42" s="17"/>
      <c r="B42" s="5"/>
      <c r="C42" s="5"/>
      <c r="D42" s="231"/>
      <c r="E42" s="231"/>
      <c r="F42" s="231"/>
    </row>
    <row r="43" spans="1:6" ht="18.75">
      <c r="A43" s="5"/>
      <c r="B43" s="5"/>
      <c r="C43" s="5"/>
      <c r="D43" s="231"/>
      <c r="E43" s="231"/>
      <c r="F43" s="231"/>
    </row>
    <row r="44" spans="1:6" ht="18.75">
      <c r="A44" s="5"/>
      <c r="B44" s="5"/>
      <c r="C44" s="5"/>
      <c r="D44" s="231"/>
      <c r="E44" s="231"/>
      <c r="F44" s="231"/>
    </row>
  </sheetData>
  <mergeCells count="10">
    <mergeCell ref="A31:G31"/>
    <mergeCell ref="A6:G6"/>
    <mergeCell ref="A19:G19"/>
    <mergeCell ref="A23:G23"/>
    <mergeCell ref="A1:G1"/>
    <mergeCell ref="A2:G2"/>
    <mergeCell ref="A3:F3"/>
    <mergeCell ref="A4:A5"/>
    <mergeCell ref="B4:B5"/>
    <mergeCell ref="C4:G4"/>
  </mergeCells>
  <pageMargins left="0.98425196850393704" right="0.39370078740157483" top="0.39370078740157483" bottom="0.3937007874015748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I43"/>
  <sheetViews>
    <sheetView view="pageBreakPreview" topLeftCell="A25" zoomScale="80" zoomScaleSheetLayoutView="80" workbookViewId="0">
      <selection activeCell="A30" sqref="A30:XFD30"/>
    </sheetView>
  </sheetViews>
  <sheetFormatPr defaultRowHeight="15"/>
  <cols>
    <col min="1" max="1" width="35.28515625" customWidth="1"/>
    <col min="2" max="2" width="11.5703125" customWidth="1"/>
    <col min="3" max="3" width="11" customWidth="1"/>
    <col min="4" max="7" width="8.85546875" customWidth="1"/>
    <col min="8" max="8" width="125.7109375" customWidth="1"/>
    <col min="9" max="9" width="15.85546875" bestFit="1" customWidth="1"/>
  </cols>
  <sheetData>
    <row r="1" spans="1:8" ht="15.75">
      <c r="A1" s="1398" t="s">
        <v>1394</v>
      </c>
      <c r="B1" s="1398"/>
      <c r="C1" s="1398"/>
      <c r="D1" s="1398"/>
      <c r="E1" s="1398"/>
      <c r="F1" s="1398"/>
      <c r="G1" s="1399"/>
    </row>
    <row r="2" spans="1:8" ht="15.75">
      <c r="A2" s="1400" t="s">
        <v>850</v>
      </c>
      <c r="B2" s="1400"/>
      <c r="C2" s="1400"/>
      <c r="D2" s="1400"/>
      <c r="E2" s="1400"/>
      <c r="F2" s="1400"/>
      <c r="G2" s="1399"/>
    </row>
    <row r="3" spans="1:8" ht="12" customHeight="1">
      <c r="A3" s="1401"/>
      <c r="B3" s="1401"/>
      <c r="C3" s="1401"/>
      <c r="D3" s="1401"/>
      <c r="E3" s="1401"/>
      <c r="F3" s="1401"/>
    </row>
    <row r="4" spans="1:8" ht="57.75" customHeight="1">
      <c r="A4" s="1402" t="s">
        <v>323</v>
      </c>
      <c r="B4" s="1402" t="s">
        <v>1413</v>
      </c>
      <c r="C4" s="1403" t="s">
        <v>841</v>
      </c>
      <c r="D4" s="1404"/>
      <c r="E4" s="1404"/>
      <c r="F4" s="1404"/>
      <c r="G4" s="1405"/>
    </row>
    <row r="5" spans="1:8" ht="33" customHeight="1">
      <c r="A5" s="1402"/>
      <c r="B5" s="1402"/>
      <c r="C5" s="708">
        <v>2015</v>
      </c>
      <c r="D5" s="708">
        <v>2016</v>
      </c>
      <c r="E5" s="708">
        <v>2017</v>
      </c>
      <c r="F5" s="708">
        <v>2018</v>
      </c>
      <c r="G5" s="701">
        <v>2019</v>
      </c>
    </row>
    <row r="6" spans="1:8" ht="26.25" customHeight="1">
      <c r="A6" s="1407" t="s">
        <v>425</v>
      </c>
      <c r="B6" s="1854"/>
      <c r="C6" s="1854"/>
      <c r="D6" s="1854"/>
      <c r="E6" s="1854"/>
      <c r="F6" s="1854"/>
      <c r="G6" s="1855"/>
    </row>
    <row r="7" spans="1:8" ht="77.25" customHeight="1">
      <c r="A7" s="709" t="s">
        <v>851</v>
      </c>
      <c r="B7" s="946" t="s">
        <v>62</v>
      </c>
      <c r="C7" s="946" t="s">
        <v>62</v>
      </c>
      <c r="D7" s="946" t="s">
        <v>62</v>
      </c>
      <c r="E7" s="946" t="s">
        <v>62</v>
      </c>
      <c r="F7" s="946" t="s">
        <v>62</v>
      </c>
      <c r="G7" s="946" t="s">
        <v>62</v>
      </c>
    </row>
    <row r="8" spans="1:8" ht="33" customHeight="1">
      <c r="A8" s="709" t="s">
        <v>1445</v>
      </c>
      <c r="B8" s="946" t="s">
        <v>62</v>
      </c>
      <c r="C8" s="946" t="s">
        <v>62</v>
      </c>
      <c r="D8" s="946" t="s">
        <v>62</v>
      </c>
      <c r="E8" s="946" t="s">
        <v>62</v>
      </c>
      <c r="F8" s="946" t="s">
        <v>62</v>
      </c>
      <c r="G8" s="946" t="s">
        <v>62</v>
      </c>
    </row>
    <row r="9" spans="1:8" ht="62.25" customHeight="1">
      <c r="A9" s="709" t="s">
        <v>1444</v>
      </c>
      <c r="B9" s="946" t="s">
        <v>62</v>
      </c>
      <c r="C9" s="946" t="s">
        <v>62</v>
      </c>
      <c r="D9" s="946" t="s">
        <v>62</v>
      </c>
      <c r="E9" s="946" t="s">
        <v>62</v>
      </c>
      <c r="F9" s="946" t="s">
        <v>62</v>
      </c>
      <c r="G9" s="946" t="s">
        <v>62</v>
      </c>
    </row>
    <row r="10" spans="1:8" ht="78" customHeight="1">
      <c r="A10" s="702" t="s">
        <v>426</v>
      </c>
      <c r="B10" s="700" t="s">
        <v>62</v>
      </c>
      <c r="C10" s="700" t="s">
        <v>62</v>
      </c>
      <c r="D10" s="700" t="s">
        <v>62</v>
      </c>
      <c r="E10" s="700" t="s">
        <v>62</v>
      </c>
      <c r="F10" s="700" t="s">
        <v>62</v>
      </c>
      <c r="G10" s="700" t="s">
        <v>62</v>
      </c>
    </row>
    <row r="11" spans="1:8" ht="30.75" customHeight="1">
      <c r="A11" s="702" t="s">
        <v>852</v>
      </c>
      <c r="B11" s="700" t="s">
        <v>62</v>
      </c>
      <c r="C11" s="700" t="s">
        <v>62</v>
      </c>
      <c r="D11" s="700" t="s">
        <v>62</v>
      </c>
      <c r="E11" s="700" t="s">
        <v>62</v>
      </c>
      <c r="F11" s="700" t="s">
        <v>62</v>
      </c>
      <c r="G11" s="700" t="s">
        <v>62</v>
      </c>
    </row>
    <row r="12" spans="1:8" ht="62.25" customHeight="1">
      <c r="A12" s="702" t="s">
        <v>1443</v>
      </c>
      <c r="B12" s="700" t="s">
        <v>62</v>
      </c>
      <c r="C12" s="700" t="s">
        <v>62</v>
      </c>
      <c r="D12" s="700" t="s">
        <v>62</v>
      </c>
      <c r="E12" s="700" t="s">
        <v>62</v>
      </c>
      <c r="F12" s="700" t="s">
        <v>62</v>
      </c>
      <c r="G12" s="700" t="s">
        <v>62</v>
      </c>
    </row>
    <row r="13" spans="1:8" ht="89.25" customHeight="1">
      <c r="A13" s="702" t="s">
        <v>427</v>
      </c>
      <c r="B13" s="703">
        <v>18.53</v>
      </c>
      <c r="C13" s="703">
        <v>20</v>
      </c>
      <c r="D13" s="703">
        <v>19.48</v>
      </c>
      <c r="E13" s="703">
        <v>19.47</v>
      </c>
      <c r="F13" s="703">
        <v>19.46</v>
      </c>
      <c r="G13" s="710">
        <v>19.45</v>
      </c>
      <c r="H13" s="53" t="s">
        <v>2270</v>
      </c>
    </row>
    <row r="14" spans="1:8" ht="63.75" customHeight="1">
      <c r="A14" s="702" t="s">
        <v>428</v>
      </c>
      <c r="B14" s="708">
        <v>215</v>
      </c>
      <c r="C14" s="708">
        <v>248</v>
      </c>
      <c r="D14" s="711">
        <v>243</v>
      </c>
      <c r="E14" s="711">
        <v>243</v>
      </c>
      <c r="F14" s="711">
        <v>242</v>
      </c>
      <c r="G14" s="711">
        <v>242</v>
      </c>
      <c r="H14" s="53" t="s">
        <v>2268</v>
      </c>
    </row>
    <row r="15" spans="1:8" ht="90" customHeight="1">
      <c r="A15" s="702" t="s">
        <v>429</v>
      </c>
      <c r="B15" s="708">
        <v>1160</v>
      </c>
      <c r="C15" s="708">
        <v>1248</v>
      </c>
      <c r="D15" s="711">
        <v>1248</v>
      </c>
      <c r="E15" s="711">
        <v>1248</v>
      </c>
      <c r="F15" s="711">
        <v>1248</v>
      </c>
      <c r="G15" s="711">
        <v>1248</v>
      </c>
      <c r="H15" s="53" t="s">
        <v>2269</v>
      </c>
    </row>
    <row r="16" spans="1:8" ht="90" customHeight="1">
      <c r="A16" s="702" t="s">
        <v>430</v>
      </c>
      <c r="B16" s="700" t="s">
        <v>62</v>
      </c>
      <c r="C16" s="700" t="s">
        <v>62</v>
      </c>
      <c r="D16" s="700" t="s">
        <v>62</v>
      </c>
      <c r="E16" s="700" t="s">
        <v>62</v>
      </c>
      <c r="F16" s="700" t="s">
        <v>62</v>
      </c>
      <c r="G16" s="700" t="s">
        <v>62</v>
      </c>
      <c r="H16" s="53"/>
    </row>
    <row r="17" spans="1:8" ht="63" customHeight="1">
      <c r="A17" s="702" t="s">
        <v>431</v>
      </c>
      <c r="B17" s="700" t="s">
        <v>62</v>
      </c>
      <c r="C17" s="700" t="s">
        <v>62</v>
      </c>
      <c r="D17" s="700" t="s">
        <v>62</v>
      </c>
      <c r="E17" s="700" t="s">
        <v>62</v>
      </c>
      <c r="F17" s="700" t="s">
        <v>62</v>
      </c>
      <c r="G17" s="700" t="s">
        <v>62</v>
      </c>
      <c r="H17" s="53"/>
    </row>
    <row r="18" spans="1:8" ht="36" customHeight="1">
      <c r="A18" s="702" t="s">
        <v>432</v>
      </c>
      <c r="B18" s="700" t="s">
        <v>62</v>
      </c>
      <c r="C18" s="700" t="s">
        <v>62</v>
      </c>
      <c r="D18" s="700" t="s">
        <v>62</v>
      </c>
      <c r="E18" s="700" t="s">
        <v>62</v>
      </c>
      <c r="F18" s="700" t="s">
        <v>62</v>
      </c>
      <c r="G18" s="700" t="s">
        <v>62</v>
      </c>
      <c r="H18" s="53"/>
    </row>
    <row r="19" spans="1:8" ht="18" customHeight="1">
      <c r="A19" s="1407" t="s">
        <v>433</v>
      </c>
      <c r="B19" s="1854"/>
      <c r="C19" s="1854"/>
      <c r="D19" s="1854"/>
      <c r="E19" s="1854"/>
      <c r="F19" s="1854"/>
      <c r="G19" s="1855"/>
      <c r="H19" s="53"/>
    </row>
    <row r="20" spans="1:8" ht="60.75" customHeight="1">
      <c r="A20" s="702" t="s">
        <v>434</v>
      </c>
      <c r="B20" s="705" t="s">
        <v>2252</v>
      </c>
      <c r="C20" s="705" t="s">
        <v>2253</v>
      </c>
      <c r="D20" s="705" t="s">
        <v>2254</v>
      </c>
      <c r="E20" s="705" t="s">
        <v>2255</v>
      </c>
      <c r="F20" s="705" t="s">
        <v>2256</v>
      </c>
      <c r="G20" s="705" t="s">
        <v>2257</v>
      </c>
      <c r="H20" s="53" t="s">
        <v>2276</v>
      </c>
    </row>
    <row r="21" spans="1:8" ht="50.25" customHeight="1">
      <c r="A21" s="702" t="s">
        <v>435</v>
      </c>
      <c r="B21" s="708">
        <v>7888</v>
      </c>
      <c r="C21" s="708">
        <v>7538</v>
      </c>
      <c r="D21" s="708">
        <v>7470</v>
      </c>
      <c r="E21" s="708">
        <v>7547</v>
      </c>
      <c r="F21" s="708">
        <v>7618</v>
      </c>
      <c r="G21" s="708">
        <v>7688</v>
      </c>
      <c r="H21" s="53" t="s">
        <v>2271</v>
      </c>
    </row>
    <row r="22" spans="1:8" ht="82.5" customHeight="1">
      <c r="A22" s="702" t="s">
        <v>436</v>
      </c>
      <c r="B22" s="708">
        <v>915.47</v>
      </c>
      <c r="C22" s="708">
        <v>938.7</v>
      </c>
      <c r="D22" s="708">
        <v>930</v>
      </c>
      <c r="E22" s="708">
        <v>941</v>
      </c>
      <c r="F22" s="708">
        <v>951</v>
      </c>
      <c r="G22" s="708">
        <v>961</v>
      </c>
      <c r="H22" s="53" t="s">
        <v>2275</v>
      </c>
    </row>
    <row r="23" spans="1:8" ht="19.5" customHeight="1">
      <c r="A23" s="1407" t="s">
        <v>334</v>
      </c>
      <c r="B23" s="1854"/>
      <c r="C23" s="1854"/>
      <c r="D23" s="1854"/>
      <c r="E23" s="1854"/>
      <c r="F23" s="1854"/>
      <c r="G23" s="1855"/>
      <c r="H23" s="53"/>
    </row>
    <row r="24" spans="1:8" ht="125.25" customHeight="1">
      <c r="A24" s="702" t="s">
        <v>855</v>
      </c>
      <c r="B24" s="706">
        <v>0.42399999999999999</v>
      </c>
      <c r="C24" s="706">
        <v>0.46200000000000002</v>
      </c>
      <c r="D24" s="706">
        <v>0.45400000000000001</v>
      </c>
      <c r="E24" s="706">
        <v>0.45400000000000001</v>
      </c>
      <c r="F24" s="706">
        <v>0.45400000000000001</v>
      </c>
      <c r="G24" s="706">
        <v>0.45400000000000001</v>
      </c>
      <c r="H24" s="53" t="s">
        <v>2273</v>
      </c>
    </row>
    <row r="25" spans="1:8" ht="84.75" customHeight="1">
      <c r="A25" s="702" t="s">
        <v>338</v>
      </c>
      <c r="B25" s="712">
        <v>32783.675000000003</v>
      </c>
      <c r="C25" s="712">
        <v>34949</v>
      </c>
      <c r="D25" s="712">
        <v>35685.307999999997</v>
      </c>
      <c r="E25" s="708">
        <v>36265</v>
      </c>
      <c r="F25" s="708">
        <v>36154</v>
      </c>
      <c r="G25" s="708">
        <v>36044</v>
      </c>
      <c r="H25" s="53" t="s">
        <v>2272</v>
      </c>
    </row>
    <row r="26" spans="1:8" ht="45">
      <c r="A26" s="702" t="s">
        <v>1446</v>
      </c>
      <c r="B26" s="712">
        <v>77257.378999999986</v>
      </c>
      <c r="C26" s="712">
        <v>75647</v>
      </c>
      <c r="D26" s="712">
        <v>78602</v>
      </c>
      <c r="E26" s="712">
        <v>79879</v>
      </c>
      <c r="F26" s="712">
        <v>79635</v>
      </c>
      <c r="G26" s="712">
        <v>79391</v>
      </c>
      <c r="H26" s="53" t="s">
        <v>2277</v>
      </c>
    </row>
    <row r="27" spans="1:8" ht="93">
      <c r="A27" s="702" t="s">
        <v>856</v>
      </c>
      <c r="B27" s="706">
        <v>0.21099999999999999</v>
      </c>
      <c r="C27" s="706">
        <v>0.215</v>
      </c>
      <c r="D27" s="706">
        <v>0.22600000000000001</v>
      </c>
      <c r="E27" s="706">
        <v>0.22600000000000001</v>
      </c>
      <c r="F27" s="706">
        <v>0.22600000000000001</v>
      </c>
      <c r="G27" s="706">
        <v>0.22600000000000001</v>
      </c>
      <c r="H27" s="53" t="s">
        <v>2267</v>
      </c>
    </row>
    <row r="28" spans="1:8" ht="75">
      <c r="A28" s="702" t="s">
        <v>437</v>
      </c>
      <c r="B28" s="712">
        <v>16319.563999999998</v>
      </c>
      <c r="C28" s="712">
        <v>16264</v>
      </c>
      <c r="D28" s="712">
        <v>17764</v>
      </c>
      <c r="E28" s="712">
        <v>18053</v>
      </c>
      <c r="F28" s="712">
        <v>17998</v>
      </c>
      <c r="G28" s="712">
        <v>17942</v>
      </c>
      <c r="H28" s="53" t="s">
        <v>2274</v>
      </c>
    </row>
    <row r="29" spans="1:8" ht="45">
      <c r="A29" s="702" t="s">
        <v>1447</v>
      </c>
      <c r="B29" s="712">
        <f>B26</f>
        <v>77257.378999999986</v>
      </c>
      <c r="C29" s="712">
        <f t="shared" ref="C29:G29" si="0">C26</f>
        <v>75647</v>
      </c>
      <c r="D29" s="712">
        <f t="shared" si="0"/>
        <v>78602</v>
      </c>
      <c r="E29" s="712">
        <f t="shared" si="0"/>
        <v>79879</v>
      </c>
      <c r="F29" s="712">
        <f t="shared" si="0"/>
        <v>79635</v>
      </c>
      <c r="G29" s="712">
        <f t="shared" si="0"/>
        <v>79391</v>
      </c>
      <c r="H29" s="53" t="s">
        <v>2278</v>
      </c>
    </row>
    <row r="30" spans="1:8" ht="15" customHeight="1">
      <c r="A30" s="713"/>
      <c r="B30" s="714"/>
      <c r="C30" s="714"/>
      <c r="D30" s="715"/>
      <c r="E30" s="715"/>
      <c r="F30" s="715"/>
    </row>
    <row r="31" spans="1:8" ht="18.75">
      <c r="A31" s="715"/>
      <c r="B31" s="715"/>
      <c r="C31" s="715"/>
      <c r="D31" s="715"/>
      <c r="E31" s="715"/>
      <c r="F31" s="715"/>
    </row>
    <row r="32" spans="1:8" ht="15" customHeight="1">
      <c r="A32" s="1374" t="s">
        <v>2280</v>
      </c>
      <c r="B32" s="1853"/>
      <c r="C32" s="1853"/>
      <c r="D32" s="1853"/>
      <c r="E32" s="1853"/>
      <c r="F32" s="1853"/>
      <c r="G32" s="1853"/>
    </row>
    <row r="33" spans="1:9" ht="18.75" customHeight="1">
      <c r="A33" s="1853"/>
      <c r="B33" s="1853"/>
      <c r="C33" s="1853"/>
      <c r="D33" s="1853"/>
      <c r="E33" s="1853"/>
      <c r="F33" s="1853"/>
      <c r="G33" s="1853"/>
    </row>
    <row r="34" spans="1:9" ht="15.75">
      <c r="A34" s="376"/>
      <c r="B34" s="376"/>
      <c r="C34" s="376"/>
      <c r="D34" s="376"/>
      <c r="E34" s="376"/>
      <c r="F34" s="376"/>
      <c r="G34" s="376"/>
    </row>
    <row r="35" spans="1:9" ht="15.75">
      <c r="A35" s="5"/>
    </row>
    <row r="36" spans="1:9" ht="15.75">
      <c r="A36" s="940" t="s">
        <v>2099</v>
      </c>
      <c r="B36" s="386"/>
      <c r="C36" s="5"/>
      <c r="D36" s="5"/>
      <c r="E36" s="5"/>
      <c r="F36" s="5"/>
      <c r="G36" s="5"/>
    </row>
    <row r="37" spans="1:9" ht="15.75">
      <c r="A37" s="725" t="s">
        <v>2100</v>
      </c>
      <c r="B37" s="386"/>
      <c r="C37" s="5"/>
      <c r="D37" s="5"/>
      <c r="E37" s="5"/>
      <c r="F37" s="5"/>
      <c r="G37" s="5"/>
    </row>
    <row r="38" spans="1:9" ht="15.75">
      <c r="A38" s="940" t="s">
        <v>2242</v>
      </c>
      <c r="B38" s="386"/>
      <c r="C38" s="5"/>
      <c r="D38" s="5"/>
      <c r="E38" s="5"/>
      <c r="F38" s="5"/>
      <c r="G38" s="5"/>
      <c r="I38" s="726">
        <v>1097175.8519274779</v>
      </c>
    </row>
    <row r="39" spans="1:9" ht="15.75">
      <c r="A39" s="940" t="s">
        <v>2243</v>
      </c>
      <c r="B39" s="386"/>
      <c r="C39" s="5"/>
      <c r="D39" s="5"/>
      <c r="E39" s="5"/>
      <c r="F39" s="5"/>
      <c r="G39" s="5"/>
      <c r="I39" s="726">
        <v>1070863.6125364755</v>
      </c>
    </row>
    <row r="40" spans="1:9" ht="15.75">
      <c r="A40" s="940" t="s">
        <v>2244</v>
      </c>
      <c r="B40" s="386"/>
      <c r="C40" s="5"/>
      <c r="D40" s="5"/>
      <c r="E40" s="5"/>
      <c r="F40" s="5"/>
      <c r="G40" s="5"/>
      <c r="I40" s="726">
        <v>1149402.12733516</v>
      </c>
    </row>
    <row r="41" spans="1:9" ht="18.75">
      <c r="A41" s="707"/>
      <c r="B41" s="716"/>
      <c r="C41" s="716"/>
      <c r="D41" s="715"/>
      <c r="E41" s="715"/>
      <c r="F41" s="715"/>
    </row>
    <row r="42" spans="1:9" ht="18.75">
      <c r="A42" s="716"/>
      <c r="B42" s="716"/>
      <c r="C42" s="716"/>
      <c r="D42" s="715"/>
      <c r="E42" s="715"/>
      <c r="F42" s="715"/>
    </row>
    <row r="43" spans="1:9" ht="18.75">
      <c r="A43" s="716"/>
      <c r="B43" s="716"/>
      <c r="C43" s="716"/>
      <c r="D43" s="715"/>
      <c r="E43" s="715"/>
      <c r="F43" s="715"/>
    </row>
  </sheetData>
  <mergeCells count="10">
    <mergeCell ref="A32:G33"/>
    <mergeCell ref="A6:G6"/>
    <mergeCell ref="A19:G19"/>
    <mergeCell ref="A23:G23"/>
    <mergeCell ref="A1:G1"/>
    <mergeCell ref="A2:G2"/>
    <mergeCell ref="A3:F3"/>
    <mergeCell ref="A4:A5"/>
    <mergeCell ref="B4:B5"/>
    <mergeCell ref="C4:G4"/>
  </mergeCells>
  <printOptions horizontalCentered="1"/>
  <pageMargins left="0.78740157480314965" right="0.39370078740157483" top="0.43307086614173229" bottom="0.39370078740157483" header="0" footer="0"/>
  <pageSetup paperSize="9" scale="85" fitToHeight="2" orientation="portrait" r:id="rId1"/>
  <rowBreaks count="2" manualBreakCount="2">
    <brk id="17" max="6" man="1"/>
    <brk id="40" max="6" man="1"/>
  </rowBreaks>
</worksheet>
</file>

<file path=xl/worksheets/sheet19.xml><?xml version="1.0" encoding="utf-8"?>
<worksheet xmlns="http://schemas.openxmlformats.org/spreadsheetml/2006/main" xmlns:r="http://schemas.openxmlformats.org/officeDocument/2006/relationships">
  <dimension ref="A1:AF77"/>
  <sheetViews>
    <sheetView view="pageBreakPreview" topLeftCell="A40" zoomScale="90" zoomScaleSheetLayoutView="90" workbookViewId="0">
      <selection activeCell="AW62" sqref="AW62"/>
    </sheetView>
  </sheetViews>
  <sheetFormatPr defaultRowHeight="15"/>
  <cols>
    <col min="1" max="1" width="5.85546875" customWidth="1"/>
    <col min="2" max="2" width="42.42578125" customWidth="1"/>
    <col min="3" max="4" width="11.42578125" customWidth="1"/>
    <col min="5" max="30" width="0" hidden="1" customWidth="1"/>
    <col min="31" max="32" width="8" customWidth="1"/>
  </cols>
  <sheetData>
    <row r="1" spans="1:32" ht="15.75">
      <c r="A1" s="981" t="s">
        <v>1395</v>
      </c>
      <c r="B1" s="981"/>
      <c r="C1" s="981"/>
      <c r="D1" s="981"/>
      <c r="E1" s="981"/>
      <c r="F1" s="981"/>
      <c r="G1" s="981"/>
      <c r="H1" s="981"/>
      <c r="I1" s="981"/>
      <c r="J1" s="981"/>
      <c r="K1" s="981"/>
    </row>
    <row r="2" spans="1:32" ht="15.75">
      <c r="A2" s="1856" t="s">
        <v>824</v>
      </c>
      <c r="B2" s="1856"/>
      <c r="C2" s="1856"/>
      <c r="D2" s="1856"/>
      <c r="E2" s="1856"/>
      <c r="F2" s="1856"/>
      <c r="G2" s="1856"/>
      <c r="H2" s="1856"/>
      <c r="I2" s="1856"/>
      <c r="J2" s="1856"/>
      <c r="K2" s="1856"/>
    </row>
    <row r="3" spans="1:32" ht="7.5" customHeight="1">
      <c r="A3" s="376"/>
      <c r="B3" s="376"/>
      <c r="C3" s="376"/>
      <c r="D3" s="376"/>
      <c r="E3" s="376"/>
      <c r="F3" s="376"/>
      <c r="G3" s="376"/>
      <c r="H3" s="376"/>
      <c r="I3" s="376"/>
      <c r="J3" s="376"/>
      <c r="K3" s="376"/>
    </row>
    <row r="4" spans="1:32" s="5" customFormat="1" ht="18.75" customHeight="1">
      <c r="B4" s="5" t="s">
        <v>1407</v>
      </c>
      <c r="C4" s="386"/>
    </row>
    <row r="5" spans="1:32" s="5" customFormat="1" ht="18.75" customHeight="1">
      <c r="B5" s="5" t="s">
        <v>1405</v>
      </c>
      <c r="C5" s="386"/>
    </row>
    <row r="6" spans="1:32" s="5" customFormat="1" ht="18.75" customHeight="1">
      <c r="B6" s="5" t="s">
        <v>1406</v>
      </c>
      <c r="C6" s="386"/>
    </row>
    <row r="7" spans="1:32" s="5" customFormat="1" ht="18.75" customHeight="1">
      <c r="B7" s="5" t="s">
        <v>1408</v>
      </c>
      <c r="C7" s="386"/>
    </row>
    <row r="8" spans="1:32" s="5" customFormat="1" ht="18.75" customHeight="1">
      <c r="B8" s="5" t="s">
        <v>1409</v>
      </c>
      <c r="C8" s="386"/>
    </row>
    <row r="10" spans="1:32" ht="15.75">
      <c r="A10" s="5"/>
      <c r="B10" s="5" t="s">
        <v>1382</v>
      </c>
      <c r="C10" s="5"/>
      <c r="D10" s="5"/>
      <c r="E10" s="5"/>
      <c r="F10" s="5"/>
      <c r="G10" s="5"/>
      <c r="H10" s="5" t="s">
        <v>1378</v>
      </c>
      <c r="I10" s="5"/>
      <c r="J10" s="5"/>
      <c r="K10" s="5"/>
      <c r="AE10" s="5" t="s">
        <v>1378</v>
      </c>
    </row>
    <row r="11" spans="1:32" ht="12" customHeight="1"/>
    <row r="12" spans="1:32" ht="8.25" customHeight="1"/>
    <row r="13" spans="1:32" ht="15.75">
      <c r="A13" s="1858" t="s">
        <v>1396</v>
      </c>
      <c r="B13" s="1859"/>
      <c r="C13" s="1859"/>
      <c r="D13" s="1859"/>
      <c r="E13" s="1859"/>
      <c r="F13" s="1859"/>
      <c r="G13" s="1859"/>
      <c r="H13" s="1859"/>
      <c r="I13" s="1859"/>
      <c r="J13" s="1859"/>
      <c r="K13" s="1859"/>
      <c r="L13" s="1859"/>
      <c r="M13" s="1859"/>
      <c r="N13" s="1859"/>
      <c r="O13" s="1859"/>
      <c r="P13" s="1859"/>
      <c r="Q13" s="1859"/>
      <c r="R13" s="1859"/>
      <c r="S13" s="1859"/>
      <c r="T13" s="1859"/>
      <c r="U13" s="1859"/>
      <c r="V13" s="1859"/>
      <c r="W13" s="1859"/>
      <c r="X13" s="1859"/>
      <c r="Y13" s="1859"/>
      <c r="Z13" s="1859"/>
      <c r="AA13" s="1859"/>
      <c r="AB13" s="1859"/>
      <c r="AC13" s="1859"/>
      <c r="AD13" s="1859"/>
      <c r="AE13" s="1380"/>
      <c r="AF13" s="1380"/>
    </row>
    <row r="14" spans="1:32" ht="15.75">
      <c r="A14" s="1860" t="s">
        <v>861</v>
      </c>
      <c r="B14" s="1861"/>
      <c r="C14" s="1861"/>
      <c r="D14" s="1861"/>
      <c r="E14" s="1861"/>
      <c r="F14" s="1861"/>
      <c r="G14" s="1861"/>
      <c r="H14" s="1861"/>
      <c r="I14" s="1861"/>
      <c r="J14" s="1861"/>
      <c r="K14" s="1861"/>
      <c r="L14" s="1861"/>
      <c r="M14" s="1861"/>
      <c r="N14" s="1861"/>
      <c r="O14" s="1861"/>
      <c r="P14" s="1861"/>
      <c r="Q14" s="1861"/>
      <c r="R14" s="1861"/>
      <c r="S14" s="1861"/>
      <c r="T14" s="1861"/>
      <c r="U14" s="1861"/>
      <c r="V14" s="1861"/>
      <c r="W14" s="1861"/>
      <c r="X14" s="1861"/>
      <c r="Y14" s="1861"/>
      <c r="Z14" s="1861"/>
      <c r="AA14" s="1861"/>
      <c r="AB14" s="1861"/>
      <c r="AC14" s="1861"/>
      <c r="AD14" s="1861"/>
      <c r="AE14" s="1381"/>
      <c r="AF14" s="1381"/>
    </row>
    <row r="15" spans="1:32" ht="6.75" customHeight="1">
      <c r="A15" s="1862"/>
      <c r="B15" s="1863"/>
      <c r="C15" s="1863"/>
      <c r="D15" s="1863"/>
      <c r="E15" s="1863"/>
      <c r="F15" s="1863"/>
      <c r="G15" s="1863"/>
      <c r="H15" s="1863"/>
      <c r="I15" s="1863"/>
      <c r="J15" s="1863"/>
      <c r="K15" s="1863"/>
      <c r="L15" s="1863"/>
      <c r="M15" s="1863"/>
      <c r="N15" s="1863"/>
      <c r="O15" s="1863"/>
      <c r="P15" s="1863"/>
      <c r="Q15" s="1863"/>
      <c r="R15" s="1863"/>
      <c r="S15" s="1863"/>
      <c r="T15" s="1863"/>
      <c r="U15" s="1863"/>
      <c r="V15" s="1863"/>
      <c r="W15" s="1863"/>
      <c r="X15" s="1863"/>
      <c r="Y15" s="1863"/>
      <c r="Z15" s="1863"/>
      <c r="AA15" s="1863"/>
      <c r="AB15" s="1863"/>
      <c r="AC15" s="1863"/>
      <c r="AD15" s="1863"/>
      <c r="AE15" s="7"/>
      <c r="AF15" s="7"/>
    </row>
    <row r="16" spans="1:32" ht="15.75">
      <c r="A16" s="1864" t="s">
        <v>1397</v>
      </c>
      <c r="B16" s="1627"/>
      <c r="C16" s="1627"/>
      <c r="D16" s="1627"/>
      <c r="E16" s="1627"/>
      <c r="F16" s="1627"/>
      <c r="G16" s="1627"/>
      <c r="H16" s="1627"/>
      <c r="I16" s="1627"/>
      <c r="J16" s="1627"/>
      <c r="K16" s="1627"/>
      <c r="L16" s="1627"/>
      <c r="M16" s="1627"/>
      <c r="N16" s="1627"/>
      <c r="O16" s="1627"/>
      <c r="P16" s="1627"/>
      <c r="Q16" s="1627"/>
      <c r="R16" s="1627"/>
      <c r="S16" s="1627"/>
      <c r="T16" s="1627"/>
      <c r="U16" s="1627"/>
      <c r="V16" s="1627"/>
      <c r="W16" s="1627"/>
      <c r="X16" s="1627"/>
      <c r="Y16" s="1627"/>
      <c r="Z16" s="1627"/>
      <c r="AA16" s="1627"/>
      <c r="AB16" s="1627"/>
      <c r="AC16" s="1627"/>
      <c r="AD16" s="1627"/>
      <c r="AE16" s="1380"/>
      <c r="AF16" s="1380"/>
    </row>
    <row r="17" spans="1:32" ht="15.75">
      <c r="A17" s="1862" t="s">
        <v>862</v>
      </c>
      <c r="B17" s="1865"/>
      <c r="C17" s="1865"/>
      <c r="D17" s="1865"/>
      <c r="E17" s="1865"/>
      <c r="F17" s="1865"/>
      <c r="G17" s="1865"/>
      <c r="H17" s="1865"/>
      <c r="I17" s="1865"/>
      <c r="J17" s="1865"/>
      <c r="K17" s="1865"/>
      <c r="L17" s="1865"/>
      <c r="M17" s="1865"/>
      <c r="N17" s="1865"/>
      <c r="O17" s="1865"/>
      <c r="P17" s="1865"/>
      <c r="Q17" s="1865"/>
      <c r="R17" s="1865"/>
      <c r="S17" s="1865"/>
      <c r="T17" s="1865"/>
      <c r="U17" s="1865"/>
      <c r="V17" s="1865"/>
      <c r="W17" s="1865"/>
      <c r="X17" s="1865"/>
      <c r="Y17" s="1865"/>
      <c r="Z17" s="1865"/>
      <c r="AA17" s="1865"/>
      <c r="AB17" s="1865"/>
      <c r="AC17" s="1865"/>
      <c r="AD17" s="1865"/>
      <c r="AE17" s="1381"/>
      <c r="AF17" s="1381"/>
    </row>
    <row r="18" spans="1:32" ht="15.75" customHeight="1">
      <c r="A18" s="1857" t="s">
        <v>863</v>
      </c>
      <c r="B18" s="1857"/>
      <c r="C18" s="1857"/>
      <c r="D18" s="1857"/>
      <c r="E18" s="1857"/>
      <c r="F18" s="1857"/>
      <c r="G18" s="1857"/>
      <c r="H18" s="1857"/>
      <c r="I18" s="1857"/>
      <c r="J18" s="1857"/>
      <c r="K18" s="1857"/>
      <c r="L18" s="1857"/>
      <c r="M18" s="1857"/>
      <c r="N18" s="1857"/>
      <c r="O18" s="1857"/>
      <c r="P18" s="1857"/>
      <c r="Q18" s="1857"/>
      <c r="R18" s="1857"/>
      <c r="S18" s="1857"/>
      <c r="T18" s="1857"/>
      <c r="U18" s="1857"/>
      <c r="V18" s="1857"/>
      <c r="W18" s="1857"/>
      <c r="X18" s="1857"/>
      <c r="Y18" s="1857"/>
      <c r="Z18" s="1857"/>
      <c r="AA18" s="1857"/>
      <c r="AB18" s="1857"/>
      <c r="AC18" s="1857"/>
      <c r="AD18" s="1857"/>
      <c r="AE18" s="1857"/>
      <c r="AF18" s="1857"/>
    </row>
    <row r="19" spans="1:32" ht="6" customHeight="1">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row>
    <row r="20" spans="1:32" ht="54" customHeight="1">
      <c r="A20" s="1415" t="s">
        <v>7</v>
      </c>
      <c r="B20" s="1416" t="s">
        <v>8</v>
      </c>
      <c r="C20" s="1418" t="s">
        <v>864</v>
      </c>
      <c r="D20" s="1419"/>
      <c r="E20" s="1420" t="s">
        <v>865</v>
      </c>
      <c r="F20" s="1421"/>
      <c r="G20" s="1420" t="s">
        <v>866</v>
      </c>
      <c r="H20" s="1421"/>
      <c r="I20" s="1420" t="s">
        <v>867</v>
      </c>
      <c r="J20" s="1421"/>
      <c r="K20" s="1420" t="s">
        <v>868</v>
      </c>
      <c r="L20" s="1421"/>
      <c r="M20" s="1420" t="s">
        <v>869</v>
      </c>
      <c r="N20" s="1421"/>
      <c r="O20" s="1420" t="s">
        <v>870</v>
      </c>
      <c r="P20" s="1421"/>
      <c r="Q20" s="1433" t="s">
        <v>871</v>
      </c>
      <c r="R20" s="1434"/>
      <c r="S20" s="1433" t="s">
        <v>872</v>
      </c>
      <c r="T20" s="1434"/>
      <c r="U20" s="1422" t="s">
        <v>873</v>
      </c>
      <c r="V20" s="1423"/>
      <c r="W20" s="1422" t="s">
        <v>874</v>
      </c>
      <c r="X20" s="1423"/>
      <c r="Y20" s="1422" t="s">
        <v>875</v>
      </c>
      <c r="Z20" s="1423"/>
      <c r="AA20" s="1422" t="s">
        <v>876</v>
      </c>
      <c r="AB20" s="1423"/>
      <c r="AC20" s="1868" t="s">
        <v>490</v>
      </c>
      <c r="AD20" s="1869"/>
      <c r="AE20" s="1418" t="s">
        <v>490</v>
      </c>
      <c r="AF20" s="1419"/>
    </row>
    <row r="21" spans="1:32" ht="63" customHeight="1">
      <c r="A21" s="1415"/>
      <c r="B21" s="1417"/>
      <c r="C21" s="237" t="s">
        <v>877</v>
      </c>
      <c r="D21" s="29" t="s">
        <v>878</v>
      </c>
      <c r="E21" s="29" t="s">
        <v>879</v>
      </c>
      <c r="F21" s="29" t="s">
        <v>880</v>
      </c>
      <c r="G21" s="29" t="s">
        <v>879</v>
      </c>
      <c r="H21" s="29" t="s">
        <v>880</v>
      </c>
      <c r="I21" s="29" t="s">
        <v>879</v>
      </c>
      <c r="J21" s="29" t="s">
        <v>880</v>
      </c>
      <c r="K21" s="29" t="s">
        <v>879</v>
      </c>
      <c r="L21" s="29" t="s">
        <v>880</v>
      </c>
      <c r="M21" s="29" t="s">
        <v>879</v>
      </c>
      <c r="N21" s="29" t="s">
        <v>880</v>
      </c>
      <c r="O21" s="29" t="s">
        <v>879</v>
      </c>
      <c r="P21" s="29" t="s">
        <v>880</v>
      </c>
      <c r="Q21" s="29" t="s">
        <v>879</v>
      </c>
      <c r="R21" s="29" t="s">
        <v>880</v>
      </c>
      <c r="S21" s="29" t="s">
        <v>879</v>
      </c>
      <c r="T21" s="29" t="s">
        <v>880</v>
      </c>
      <c r="U21" s="29" t="s">
        <v>879</v>
      </c>
      <c r="V21" s="29" t="s">
        <v>880</v>
      </c>
      <c r="W21" s="29" t="s">
        <v>879</v>
      </c>
      <c r="X21" s="29" t="s">
        <v>880</v>
      </c>
      <c r="Y21" s="29" t="s">
        <v>879</v>
      </c>
      <c r="Z21" s="29" t="s">
        <v>880</v>
      </c>
      <c r="AA21" s="29" t="s">
        <v>879</v>
      </c>
      <c r="AB21" s="29" t="s">
        <v>880</v>
      </c>
      <c r="AC21" s="237" t="s">
        <v>491</v>
      </c>
      <c r="AD21" s="237" t="s">
        <v>492</v>
      </c>
      <c r="AE21" s="238" t="s">
        <v>491</v>
      </c>
      <c r="AF21" s="238" t="s">
        <v>492</v>
      </c>
    </row>
    <row r="22" spans="1:32" ht="18" customHeight="1">
      <c r="A22" s="1439" t="s">
        <v>881</v>
      </c>
      <c r="B22" s="1866"/>
      <c r="C22" s="1866"/>
      <c r="D22" s="1867"/>
      <c r="E22" s="1866"/>
      <c r="F22" s="1866"/>
      <c r="G22" s="1866"/>
      <c r="H22" s="1866"/>
      <c r="I22" s="1866"/>
      <c r="J22" s="1866"/>
      <c r="K22" s="1866"/>
      <c r="L22" s="1866"/>
      <c r="M22" s="1866"/>
      <c r="N22" s="1866"/>
      <c r="O22" s="1866"/>
      <c r="P22" s="1866"/>
      <c r="Q22" s="1866"/>
      <c r="R22" s="1866"/>
      <c r="S22" s="1866"/>
      <c r="T22" s="1866"/>
      <c r="U22" s="1866"/>
      <c r="V22" s="1866"/>
      <c r="W22" s="1866"/>
      <c r="X22" s="1866"/>
      <c r="Y22" s="1866"/>
      <c r="Z22" s="1866"/>
      <c r="AA22" s="1866"/>
      <c r="AB22" s="1866"/>
      <c r="AC22" s="1866"/>
      <c r="AD22" s="1866"/>
      <c r="AE22" s="233"/>
      <c r="AF22" s="233"/>
    </row>
    <row r="23" spans="1:32" ht="18" customHeight="1">
      <c r="A23" s="1488" t="s">
        <v>882</v>
      </c>
      <c r="B23" s="1870"/>
      <c r="C23" s="243">
        <f>SUM(C24:C32)</f>
        <v>35564.1</v>
      </c>
      <c r="D23" s="243">
        <f>SUM(D24:D35)</f>
        <v>37935.816229999997</v>
      </c>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4"/>
      <c r="AD23" s="245"/>
      <c r="AE23" s="233"/>
      <c r="AF23" s="233"/>
    </row>
    <row r="24" spans="1:32" ht="26.25" customHeight="1">
      <c r="A24" s="246" t="s">
        <v>419</v>
      </c>
      <c r="B24" s="247" t="s">
        <v>883</v>
      </c>
      <c r="C24" s="248">
        <v>4285</v>
      </c>
      <c r="D24" s="244">
        <f>F24+H24+J24+L24+N24+P24+R24+T24+V24+X24+Z24+AB24</f>
        <v>4451.0202499999996</v>
      </c>
      <c r="E24" s="249"/>
      <c r="F24" s="249"/>
      <c r="G24" s="249"/>
      <c r="H24" s="249"/>
      <c r="I24" s="249"/>
      <c r="J24" s="249"/>
      <c r="K24" s="249"/>
      <c r="L24" s="249"/>
      <c r="M24" s="249"/>
      <c r="N24" s="249"/>
      <c r="O24" s="249"/>
      <c r="P24" s="249"/>
      <c r="Q24" s="250"/>
      <c r="R24" s="250"/>
      <c r="S24" s="250"/>
      <c r="T24" s="250"/>
      <c r="U24" s="250"/>
      <c r="V24" s="250"/>
      <c r="W24" s="244"/>
      <c r="X24" s="244">
        <v>215</v>
      </c>
      <c r="Y24" s="244"/>
      <c r="Z24" s="244"/>
      <c r="AA24" s="244"/>
      <c r="AB24" s="244">
        <f>1807.8735+1700.25479+727.89196</f>
        <v>4236.0202499999996</v>
      </c>
      <c r="AC24" s="244"/>
      <c r="AD24" s="251"/>
      <c r="AE24" s="224" t="s">
        <v>884</v>
      </c>
      <c r="AF24" s="224" t="s">
        <v>885</v>
      </c>
    </row>
    <row r="25" spans="1:32" ht="38.25" customHeight="1">
      <c r="A25" s="246" t="s">
        <v>420</v>
      </c>
      <c r="B25" s="247" t="s">
        <v>886</v>
      </c>
      <c r="C25" s="252">
        <v>760</v>
      </c>
      <c r="D25" s="244">
        <f>F25+H25+J25+L25+N25+P25+R25+T25+V25+X25+Z25+AB25</f>
        <v>724.52022999999997</v>
      </c>
      <c r="E25" s="249"/>
      <c r="F25" s="249"/>
      <c r="G25" s="249"/>
      <c r="H25" s="249"/>
      <c r="I25" s="249"/>
      <c r="J25" s="249"/>
      <c r="K25" s="249"/>
      <c r="L25" s="249"/>
      <c r="M25" s="249"/>
      <c r="N25" s="249"/>
      <c r="O25" s="249"/>
      <c r="P25" s="249"/>
      <c r="Q25" s="250"/>
      <c r="R25" s="250"/>
      <c r="S25" s="250"/>
      <c r="T25" s="250"/>
      <c r="U25" s="250"/>
      <c r="V25" s="250"/>
      <c r="W25" s="244"/>
      <c r="X25" s="244"/>
      <c r="Y25" s="244"/>
      <c r="Z25" s="244"/>
      <c r="AA25" s="244"/>
      <c r="AB25" s="244">
        <f>218.45403+506.0662</f>
        <v>724.52022999999997</v>
      </c>
      <c r="AC25" s="244"/>
      <c r="AD25" s="253"/>
      <c r="AE25" s="224" t="s">
        <v>884</v>
      </c>
      <c r="AF25" s="224" t="s">
        <v>887</v>
      </c>
    </row>
    <row r="26" spans="1:32" ht="16.5" customHeight="1">
      <c r="A26" s="246" t="s">
        <v>888</v>
      </c>
      <c r="B26" s="254" t="s">
        <v>889</v>
      </c>
      <c r="C26" s="252">
        <v>995</v>
      </c>
      <c r="D26" s="244">
        <f t="shared" ref="D26:D42" si="0">F26+H26+J26+L26+N26+P26+R26+T26+V26+X26+Z26+AB26</f>
        <v>0</v>
      </c>
      <c r="E26" s="249"/>
      <c r="F26" s="249"/>
      <c r="G26" s="249"/>
      <c r="H26" s="249"/>
      <c r="I26" s="249"/>
      <c r="J26" s="249"/>
      <c r="K26" s="249"/>
      <c r="L26" s="249"/>
      <c r="M26" s="249"/>
      <c r="N26" s="249"/>
      <c r="O26" s="249"/>
      <c r="P26" s="249"/>
      <c r="Q26" s="250"/>
      <c r="R26" s="250"/>
      <c r="S26" s="250"/>
      <c r="T26" s="250"/>
      <c r="U26" s="250"/>
      <c r="V26" s="250"/>
      <c r="W26" s="244"/>
      <c r="X26" s="244"/>
      <c r="Y26" s="244"/>
      <c r="Z26" s="244"/>
      <c r="AA26" s="244"/>
      <c r="AB26" s="244"/>
      <c r="AC26" s="244"/>
      <c r="AD26" s="245"/>
      <c r="AE26" s="224" t="s">
        <v>884</v>
      </c>
      <c r="AF26" s="224" t="s">
        <v>887</v>
      </c>
    </row>
    <row r="27" spans="1:32" ht="28.5" customHeight="1">
      <c r="A27" s="255" t="s">
        <v>890</v>
      </c>
      <c r="B27" s="254" t="s">
        <v>891</v>
      </c>
      <c r="C27" s="256">
        <v>2077</v>
      </c>
      <c r="D27" s="244">
        <f t="shared" si="0"/>
        <v>2077.3774800000001</v>
      </c>
      <c r="E27" s="249"/>
      <c r="F27" s="249"/>
      <c r="G27" s="249"/>
      <c r="H27" s="249"/>
      <c r="I27" s="249"/>
      <c r="J27" s="249"/>
      <c r="K27" s="249"/>
      <c r="L27" s="257">
        <v>2077.3774800000001</v>
      </c>
      <c r="M27" s="249"/>
      <c r="N27" s="249"/>
      <c r="O27" s="249"/>
      <c r="P27" s="249"/>
      <c r="Q27" s="250"/>
      <c r="R27" s="250"/>
      <c r="S27" s="250"/>
      <c r="T27" s="250"/>
      <c r="U27" s="250"/>
      <c r="V27" s="250"/>
      <c r="W27" s="244"/>
      <c r="X27" s="244"/>
      <c r="Y27" s="244"/>
      <c r="Z27" s="244"/>
      <c r="AA27" s="244"/>
      <c r="AB27" s="244"/>
      <c r="AC27" s="244"/>
      <c r="AD27" s="251"/>
      <c r="AE27" s="224" t="s">
        <v>884</v>
      </c>
      <c r="AF27" s="224" t="s">
        <v>887</v>
      </c>
    </row>
    <row r="28" spans="1:32" ht="15.75" customHeight="1">
      <c r="A28" s="246" t="s">
        <v>892</v>
      </c>
      <c r="B28" s="254" t="s">
        <v>893</v>
      </c>
      <c r="C28" s="248">
        <v>4243</v>
      </c>
      <c r="D28" s="244">
        <f t="shared" si="0"/>
        <v>4242.5977899999998</v>
      </c>
      <c r="E28" s="249"/>
      <c r="F28" s="249"/>
      <c r="G28" s="249"/>
      <c r="H28" s="249"/>
      <c r="I28" s="249"/>
      <c r="J28" s="249"/>
      <c r="K28" s="249"/>
      <c r="L28" s="249"/>
      <c r="M28" s="249"/>
      <c r="N28" s="249"/>
      <c r="O28" s="249"/>
      <c r="P28" s="249"/>
      <c r="Q28" s="250"/>
      <c r="R28" s="244">
        <v>4242.5977899999998</v>
      </c>
      <c r="S28" s="250"/>
      <c r="T28" s="250"/>
      <c r="U28" s="250"/>
      <c r="V28" s="250"/>
      <c r="W28" s="244"/>
      <c r="X28" s="244"/>
      <c r="Y28" s="244"/>
      <c r="Z28" s="244"/>
      <c r="AA28" s="244"/>
      <c r="AB28" s="244"/>
      <c r="AC28" s="244"/>
      <c r="AD28" s="253"/>
      <c r="AE28" s="224" t="s">
        <v>884</v>
      </c>
      <c r="AF28" s="224" t="s">
        <v>887</v>
      </c>
    </row>
    <row r="29" spans="1:32" ht="26.25" customHeight="1">
      <c r="A29" s="246" t="s">
        <v>894</v>
      </c>
      <c r="B29" s="247" t="s">
        <v>895</v>
      </c>
      <c r="C29" s="248">
        <v>3009</v>
      </c>
      <c r="D29" s="244">
        <f t="shared" si="0"/>
        <v>3009.30825</v>
      </c>
      <c r="E29" s="249"/>
      <c r="F29" s="249"/>
      <c r="G29" s="249"/>
      <c r="H29" s="249"/>
      <c r="I29" s="249"/>
      <c r="J29" s="249"/>
      <c r="K29" s="249"/>
      <c r="L29" s="249"/>
      <c r="M29" s="249"/>
      <c r="N29" s="249"/>
      <c r="O29" s="249"/>
      <c r="P29" s="249"/>
      <c r="Q29" s="250"/>
      <c r="R29" s="244"/>
      <c r="S29" s="250"/>
      <c r="T29" s="258">
        <v>3009.30825</v>
      </c>
      <c r="U29" s="250"/>
      <c r="V29" s="250"/>
      <c r="W29" s="244"/>
      <c r="X29" s="244"/>
      <c r="Y29" s="244"/>
      <c r="Z29" s="258"/>
      <c r="AA29" s="244"/>
      <c r="AB29" s="244"/>
      <c r="AC29" s="244"/>
      <c r="AD29" s="251"/>
      <c r="AE29" s="224" t="s">
        <v>884</v>
      </c>
      <c r="AF29" s="224" t="s">
        <v>887</v>
      </c>
    </row>
    <row r="30" spans="1:32">
      <c r="A30" s="246" t="s">
        <v>896</v>
      </c>
      <c r="B30" s="254" t="s">
        <v>897</v>
      </c>
      <c r="C30" s="248">
        <v>17502.939999999999</v>
      </c>
      <c r="D30" s="244">
        <f t="shared" si="0"/>
        <v>17637.121339999998</v>
      </c>
      <c r="E30" s="249"/>
      <c r="F30" s="249"/>
      <c r="G30" s="249"/>
      <c r="H30" s="249"/>
      <c r="I30" s="249"/>
      <c r="J30" s="249"/>
      <c r="K30" s="249"/>
      <c r="L30" s="249"/>
      <c r="M30" s="249"/>
      <c r="N30" s="249"/>
      <c r="O30" s="249"/>
      <c r="P30" s="249"/>
      <c r="Q30" s="250"/>
      <c r="R30" s="244"/>
      <c r="S30" s="250"/>
      <c r="T30" s="258"/>
      <c r="U30" s="250"/>
      <c r="V30" s="250"/>
      <c r="W30" s="244"/>
      <c r="X30" s="244">
        <v>4597.01332</v>
      </c>
      <c r="Y30" s="244"/>
      <c r="Z30" s="258">
        <v>6613.3029200000001</v>
      </c>
      <c r="AA30" s="244"/>
      <c r="AB30" s="244">
        <v>6426.8050999999996</v>
      </c>
      <c r="AC30" s="244"/>
      <c r="AD30" s="251"/>
      <c r="AE30" s="224" t="s">
        <v>884</v>
      </c>
      <c r="AF30" s="224" t="s">
        <v>887</v>
      </c>
    </row>
    <row r="31" spans="1:32" ht="26.25" customHeight="1">
      <c r="A31" s="246" t="s">
        <v>898</v>
      </c>
      <c r="B31" s="247" t="s">
        <v>899</v>
      </c>
      <c r="C31" s="248">
        <v>1025.31</v>
      </c>
      <c r="D31" s="244">
        <f t="shared" si="0"/>
        <v>1025.3081</v>
      </c>
      <c r="E31" s="249"/>
      <c r="F31" s="249"/>
      <c r="G31" s="249"/>
      <c r="H31" s="249"/>
      <c r="I31" s="249"/>
      <c r="J31" s="249"/>
      <c r="K31" s="249"/>
      <c r="L31" s="249"/>
      <c r="M31" s="249"/>
      <c r="N31" s="249"/>
      <c r="O31" s="249"/>
      <c r="P31" s="249"/>
      <c r="Q31" s="250"/>
      <c r="R31" s="244"/>
      <c r="S31" s="250"/>
      <c r="T31" s="258"/>
      <c r="U31" s="250"/>
      <c r="V31" s="250"/>
      <c r="W31" s="244"/>
      <c r="X31" s="244"/>
      <c r="Y31" s="244"/>
      <c r="Z31" s="258">
        <v>1025.3081</v>
      </c>
      <c r="AA31" s="244"/>
      <c r="AB31" s="244"/>
      <c r="AC31" s="244"/>
      <c r="AD31" s="251"/>
      <c r="AE31" s="224" t="s">
        <v>884</v>
      </c>
      <c r="AF31" s="224" t="s">
        <v>887</v>
      </c>
    </row>
    <row r="32" spans="1:32" ht="39.75" customHeight="1">
      <c r="A32" s="246" t="s">
        <v>900</v>
      </c>
      <c r="B32" s="247" t="s">
        <v>901</v>
      </c>
      <c r="C32" s="248">
        <v>1666.85</v>
      </c>
      <c r="D32" s="244">
        <f t="shared" si="0"/>
        <v>1083.5974000000001</v>
      </c>
      <c r="E32" s="249"/>
      <c r="F32" s="249"/>
      <c r="G32" s="249"/>
      <c r="H32" s="249"/>
      <c r="I32" s="249"/>
      <c r="J32" s="249"/>
      <c r="K32" s="249"/>
      <c r="L32" s="249"/>
      <c r="M32" s="249"/>
      <c r="N32" s="249"/>
      <c r="O32" s="249"/>
      <c r="P32" s="249"/>
      <c r="Q32" s="250"/>
      <c r="R32" s="244"/>
      <c r="S32" s="250"/>
      <c r="T32" s="258"/>
      <c r="U32" s="250"/>
      <c r="V32" s="250"/>
      <c r="W32" s="244"/>
      <c r="X32" s="244"/>
      <c r="Y32" s="244"/>
      <c r="Z32" s="258">
        <v>1083.5974000000001</v>
      </c>
      <c r="AA32" s="244"/>
      <c r="AB32" s="244"/>
      <c r="AC32" s="244"/>
      <c r="AD32" s="251"/>
      <c r="AE32" s="224" t="s">
        <v>884</v>
      </c>
      <c r="AF32" s="224" t="s">
        <v>887</v>
      </c>
    </row>
    <row r="33" spans="1:32" ht="25.5">
      <c r="A33" s="246" t="s">
        <v>902</v>
      </c>
      <c r="B33" s="254" t="s">
        <v>903</v>
      </c>
      <c r="C33" s="248"/>
      <c r="D33" s="244">
        <f t="shared" si="0"/>
        <v>707.23771999999997</v>
      </c>
      <c r="E33" s="249"/>
      <c r="F33" s="249"/>
      <c r="G33" s="249"/>
      <c r="H33" s="249"/>
      <c r="I33" s="249"/>
      <c r="J33" s="249"/>
      <c r="K33" s="249"/>
      <c r="L33" s="249"/>
      <c r="M33" s="249"/>
      <c r="N33" s="249"/>
      <c r="O33" s="249"/>
      <c r="P33" s="249"/>
      <c r="Q33" s="250"/>
      <c r="R33" s="244"/>
      <c r="S33" s="250"/>
      <c r="T33" s="258"/>
      <c r="U33" s="250"/>
      <c r="V33" s="250"/>
      <c r="W33" s="244"/>
      <c r="X33" s="244"/>
      <c r="Y33" s="244"/>
      <c r="Z33" s="258"/>
      <c r="AA33" s="244"/>
      <c r="AB33" s="244">
        <v>707.23771999999997</v>
      </c>
      <c r="AC33" s="244"/>
      <c r="AD33" s="251"/>
      <c r="AE33" s="224" t="s">
        <v>884</v>
      </c>
      <c r="AF33" s="224" t="s">
        <v>887</v>
      </c>
    </row>
    <row r="34" spans="1:32" ht="25.5">
      <c r="A34" s="246" t="s">
        <v>904</v>
      </c>
      <c r="B34" s="254" t="s">
        <v>905</v>
      </c>
      <c r="C34" s="248"/>
      <c r="D34" s="244">
        <f t="shared" si="0"/>
        <v>726.23947999999996</v>
      </c>
      <c r="E34" s="249"/>
      <c r="F34" s="249"/>
      <c r="G34" s="249"/>
      <c r="H34" s="249"/>
      <c r="I34" s="249"/>
      <c r="J34" s="249"/>
      <c r="K34" s="249"/>
      <c r="L34" s="249"/>
      <c r="M34" s="249"/>
      <c r="N34" s="249"/>
      <c r="O34" s="249"/>
      <c r="P34" s="249"/>
      <c r="Q34" s="250"/>
      <c r="R34" s="244"/>
      <c r="S34" s="250"/>
      <c r="T34" s="258"/>
      <c r="U34" s="250"/>
      <c r="V34" s="250"/>
      <c r="W34" s="244"/>
      <c r="X34" s="244"/>
      <c r="Y34" s="244"/>
      <c r="Z34" s="258"/>
      <c r="AA34" s="244"/>
      <c r="AB34" s="244">
        <v>726.23947999999996</v>
      </c>
      <c r="AC34" s="244"/>
      <c r="AD34" s="251"/>
      <c r="AE34" s="224" t="s">
        <v>884</v>
      </c>
      <c r="AF34" s="224" t="s">
        <v>887</v>
      </c>
    </row>
    <row r="35" spans="1:32" ht="25.5">
      <c r="A35" s="246" t="s">
        <v>906</v>
      </c>
      <c r="B35" s="254" t="s">
        <v>907</v>
      </c>
      <c r="C35" s="248"/>
      <c r="D35" s="244">
        <f t="shared" si="0"/>
        <v>2251.48819</v>
      </c>
      <c r="E35" s="249"/>
      <c r="F35" s="249"/>
      <c r="G35" s="249"/>
      <c r="H35" s="249"/>
      <c r="I35" s="249"/>
      <c r="J35" s="249"/>
      <c r="K35" s="249"/>
      <c r="L35" s="249"/>
      <c r="M35" s="249"/>
      <c r="N35" s="249"/>
      <c r="O35" s="249"/>
      <c r="P35" s="249"/>
      <c r="Q35" s="250"/>
      <c r="R35" s="244"/>
      <c r="S35" s="250"/>
      <c r="T35" s="258"/>
      <c r="U35" s="250"/>
      <c r="V35" s="250"/>
      <c r="W35" s="244"/>
      <c r="X35" s="244"/>
      <c r="Y35" s="244"/>
      <c r="Z35" s="258"/>
      <c r="AA35" s="244"/>
      <c r="AB35" s="244">
        <v>2251.48819</v>
      </c>
      <c r="AC35" s="244"/>
      <c r="AD35" s="251"/>
      <c r="AE35" s="224" t="s">
        <v>884</v>
      </c>
      <c r="AF35" s="224" t="s">
        <v>887</v>
      </c>
    </row>
    <row r="36" spans="1:32" ht="15.75" customHeight="1">
      <c r="A36" s="1435" t="s">
        <v>908</v>
      </c>
      <c r="B36" s="1436"/>
      <c r="C36" s="259">
        <f>SUM(C37:C40)</f>
        <v>820</v>
      </c>
      <c r="D36" s="259">
        <f>SUM(D37:D40)</f>
        <v>657.45949079999991</v>
      </c>
      <c r="E36" s="249"/>
      <c r="F36" s="249"/>
      <c r="G36" s="249"/>
      <c r="H36" s="249"/>
      <c r="I36" s="249"/>
      <c r="J36" s="249"/>
      <c r="K36" s="249"/>
      <c r="L36" s="249"/>
      <c r="M36" s="249"/>
      <c r="N36" s="249"/>
      <c r="O36" s="249"/>
      <c r="P36" s="249"/>
      <c r="Q36" s="250"/>
      <c r="R36" s="250"/>
      <c r="S36" s="250"/>
      <c r="T36" s="250"/>
      <c r="U36" s="250"/>
      <c r="V36" s="250"/>
      <c r="W36" s="244"/>
      <c r="X36" s="244"/>
      <c r="Y36" s="244"/>
      <c r="Z36" s="244"/>
      <c r="AA36" s="244"/>
      <c r="AB36" s="244"/>
      <c r="AC36" s="244"/>
      <c r="AD36" s="245"/>
      <c r="AE36" s="224"/>
      <c r="AF36" s="224"/>
    </row>
    <row r="37" spans="1:32" ht="13.5" customHeight="1">
      <c r="A37" s="260" t="s">
        <v>421</v>
      </c>
      <c r="B37" s="254" t="s">
        <v>909</v>
      </c>
      <c r="C37" s="261">
        <v>180</v>
      </c>
      <c r="D37" s="244">
        <f t="shared" si="0"/>
        <v>104.66882019999998</v>
      </c>
      <c r="E37" s="249"/>
      <c r="F37" s="249"/>
      <c r="G37" s="249"/>
      <c r="H37" s="249"/>
      <c r="I37" s="249"/>
      <c r="J37" s="249"/>
      <c r="K37" s="249"/>
      <c r="L37" s="249"/>
      <c r="M37" s="249"/>
      <c r="N37" s="249"/>
      <c r="O37" s="249"/>
      <c r="P37" s="249"/>
      <c r="Q37" s="250"/>
      <c r="R37" s="250"/>
      <c r="S37" s="250"/>
      <c r="T37" s="250"/>
      <c r="U37" s="250"/>
      <c r="V37" s="250"/>
      <c r="W37" s="244"/>
      <c r="X37" s="244"/>
      <c r="Y37" s="244"/>
      <c r="Z37" s="244"/>
      <c r="AA37" s="244"/>
      <c r="AB37" s="244">
        <f>88.70239*1.18</f>
        <v>104.66882019999998</v>
      </c>
      <c r="AC37" s="244"/>
      <c r="AD37" s="253"/>
      <c r="AE37" s="224" t="s">
        <v>884</v>
      </c>
      <c r="AF37" s="224" t="s">
        <v>887</v>
      </c>
    </row>
    <row r="38" spans="1:32" ht="14.25" customHeight="1">
      <c r="A38" s="260" t="s">
        <v>422</v>
      </c>
      <c r="B38" s="254" t="s">
        <v>910</v>
      </c>
      <c r="C38" s="261">
        <v>180</v>
      </c>
      <c r="D38" s="244">
        <f t="shared" si="0"/>
        <v>107.0597952</v>
      </c>
      <c r="E38" s="249"/>
      <c r="F38" s="249"/>
      <c r="G38" s="249"/>
      <c r="H38" s="249"/>
      <c r="I38" s="249"/>
      <c r="J38" s="249"/>
      <c r="K38" s="249"/>
      <c r="L38" s="249"/>
      <c r="M38" s="249"/>
      <c r="N38" s="249"/>
      <c r="O38" s="249"/>
      <c r="P38" s="249"/>
      <c r="Q38" s="250"/>
      <c r="R38" s="250"/>
      <c r="S38" s="250"/>
      <c r="T38" s="250"/>
      <c r="U38" s="250"/>
      <c r="V38" s="250"/>
      <c r="W38" s="244"/>
      <c r="X38" s="244"/>
      <c r="Y38" s="244"/>
      <c r="Z38" s="244"/>
      <c r="AA38" s="244"/>
      <c r="AB38" s="244">
        <f>90.72864*1.18</f>
        <v>107.0597952</v>
      </c>
      <c r="AC38" s="244"/>
      <c r="AD38" s="253"/>
      <c r="AE38" s="224" t="s">
        <v>884</v>
      </c>
      <c r="AF38" s="224" t="s">
        <v>887</v>
      </c>
    </row>
    <row r="39" spans="1:32" ht="14.25" customHeight="1">
      <c r="A39" s="260" t="s">
        <v>423</v>
      </c>
      <c r="B39" s="254" t="s">
        <v>911</v>
      </c>
      <c r="C39" s="261">
        <v>180</v>
      </c>
      <c r="D39" s="244">
        <f t="shared" si="0"/>
        <v>88.093265799999998</v>
      </c>
      <c r="E39" s="249"/>
      <c r="F39" s="249"/>
      <c r="G39" s="249"/>
      <c r="H39" s="249"/>
      <c r="I39" s="249"/>
      <c r="J39" s="249"/>
      <c r="K39" s="249"/>
      <c r="L39" s="249"/>
      <c r="M39" s="249"/>
      <c r="N39" s="249"/>
      <c r="O39" s="249"/>
      <c r="P39" s="249"/>
      <c r="Q39" s="250"/>
      <c r="R39" s="250"/>
      <c r="S39" s="250"/>
      <c r="T39" s="250"/>
      <c r="U39" s="250"/>
      <c r="V39" s="250"/>
      <c r="W39" s="244"/>
      <c r="X39" s="244"/>
      <c r="Y39" s="244"/>
      <c r="Z39" s="244"/>
      <c r="AA39" s="244"/>
      <c r="AB39" s="244">
        <f>74.65531*1.18</f>
        <v>88.093265799999998</v>
      </c>
      <c r="AC39" s="244"/>
      <c r="AD39" s="253"/>
      <c r="AE39" s="224" t="s">
        <v>884</v>
      </c>
      <c r="AF39" s="224" t="s">
        <v>887</v>
      </c>
    </row>
    <row r="40" spans="1:32" ht="14.25" customHeight="1">
      <c r="A40" s="260" t="s">
        <v>912</v>
      </c>
      <c r="B40" s="254" t="s">
        <v>913</v>
      </c>
      <c r="C40" s="261">
        <v>280</v>
      </c>
      <c r="D40" s="244">
        <f t="shared" si="0"/>
        <v>357.63760959999996</v>
      </c>
      <c r="E40" s="249"/>
      <c r="F40" s="249"/>
      <c r="G40" s="249"/>
      <c r="H40" s="249"/>
      <c r="I40" s="249"/>
      <c r="J40" s="249"/>
      <c r="K40" s="249"/>
      <c r="L40" s="249"/>
      <c r="M40" s="249"/>
      <c r="N40" s="249"/>
      <c r="O40" s="249"/>
      <c r="P40" s="249"/>
      <c r="Q40" s="250"/>
      <c r="R40" s="250"/>
      <c r="S40" s="250"/>
      <c r="T40" s="250"/>
      <c r="U40" s="250"/>
      <c r="V40" s="250"/>
      <c r="W40" s="244"/>
      <c r="X40" s="244"/>
      <c r="Y40" s="244"/>
      <c r="Z40" s="244"/>
      <c r="AA40" s="244"/>
      <c r="AB40" s="244">
        <f>303.08272*1.18</f>
        <v>357.63760959999996</v>
      </c>
      <c r="AC40" s="244"/>
      <c r="AD40" s="253"/>
      <c r="AE40" s="224" t="s">
        <v>884</v>
      </c>
      <c r="AF40" s="224" t="s">
        <v>887</v>
      </c>
    </row>
    <row r="41" spans="1:32" ht="18" customHeight="1">
      <c r="A41" s="1435" t="s">
        <v>914</v>
      </c>
      <c r="B41" s="1436"/>
      <c r="C41" s="262">
        <f>C42</f>
        <v>48.58</v>
      </c>
      <c r="D41" s="262">
        <f>D42</f>
        <v>48.578069999999997</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44"/>
      <c r="AD41" s="245"/>
      <c r="AE41" s="224"/>
      <c r="AF41" s="224"/>
    </row>
    <row r="42" spans="1:32">
      <c r="A42" s="263" t="s">
        <v>915</v>
      </c>
      <c r="B42" s="254" t="s">
        <v>916</v>
      </c>
      <c r="C42" s="261">
        <v>48.58</v>
      </c>
      <c r="D42" s="244">
        <f t="shared" si="0"/>
        <v>48.578069999999997</v>
      </c>
      <c r="E42" s="249"/>
      <c r="F42" s="249"/>
      <c r="G42" s="249"/>
      <c r="H42" s="249"/>
      <c r="I42" s="249"/>
      <c r="J42" s="249"/>
      <c r="K42" s="249"/>
      <c r="L42" s="249"/>
      <c r="M42" s="249"/>
      <c r="N42" s="257">
        <v>48.578069999999997</v>
      </c>
      <c r="O42" s="249"/>
      <c r="P42" s="249"/>
      <c r="Q42" s="250"/>
      <c r="R42" s="250"/>
      <c r="S42" s="250"/>
      <c r="T42" s="250"/>
      <c r="U42" s="250"/>
      <c r="V42" s="250"/>
      <c r="W42" s="244"/>
      <c r="X42" s="244"/>
      <c r="Y42" s="244"/>
      <c r="Z42" s="244"/>
      <c r="AA42" s="244"/>
      <c r="AB42" s="244"/>
      <c r="AC42" s="244"/>
      <c r="AD42" s="251"/>
      <c r="AE42" s="224" t="s">
        <v>884</v>
      </c>
      <c r="AF42" s="224" t="s">
        <v>887</v>
      </c>
    </row>
    <row r="43" spans="1:32" ht="16.5" customHeight="1">
      <c r="A43" s="1435" t="s">
        <v>917</v>
      </c>
      <c r="B43" s="1436"/>
      <c r="C43" s="262">
        <f>SUM(C44:C46)</f>
        <v>77.02</v>
      </c>
      <c r="D43" s="262">
        <f>D44+D45+D46</f>
        <v>77.015869999999993</v>
      </c>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44"/>
      <c r="AD43" s="245"/>
      <c r="AE43" s="224"/>
      <c r="AF43" s="224"/>
    </row>
    <row r="44" spans="1:32" ht="15.75" customHeight="1">
      <c r="A44" s="263" t="s">
        <v>918</v>
      </c>
      <c r="B44" s="254" t="s">
        <v>919</v>
      </c>
      <c r="C44" s="261">
        <v>37.94</v>
      </c>
      <c r="D44" s="244">
        <f>F44+H44+J44+L44+N44+P44+R44+T44+V44+X44+Z44+AB44</f>
        <v>37.942639999999997</v>
      </c>
      <c r="E44" s="249"/>
      <c r="F44" s="249"/>
      <c r="G44" s="249"/>
      <c r="H44" s="249"/>
      <c r="I44" s="249"/>
      <c r="J44" s="249"/>
      <c r="K44" s="249"/>
      <c r="L44" s="249"/>
      <c r="M44" s="249"/>
      <c r="N44" s="257">
        <v>37.942639999999997</v>
      </c>
      <c r="O44" s="249"/>
      <c r="P44" s="249"/>
      <c r="Q44" s="250"/>
      <c r="R44" s="250"/>
      <c r="S44" s="250"/>
      <c r="T44" s="250"/>
      <c r="U44" s="250"/>
      <c r="V44" s="250"/>
      <c r="W44" s="244"/>
      <c r="X44" s="244"/>
      <c r="Y44" s="244"/>
      <c r="Z44" s="244"/>
      <c r="AA44" s="244"/>
      <c r="AB44" s="244"/>
      <c r="AC44" s="244"/>
      <c r="AD44" s="251"/>
      <c r="AE44" s="224" t="s">
        <v>884</v>
      </c>
      <c r="AF44" s="224" t="s">
        <v>887</v>
      </c>
    </row>
    <row r="45" spans="1:32" ht="15.75" customHeight="1">
      <c r="A45" s="263" t="s">
        <v>920</v>
      </c>
      <c r="B45" s="254" t="s">
        <v>921</v>
      </c>
      <c r="C45" s="261">
        <v>23</v>
      </c>
      <c r="D45" s="244">
        <f>F45+H45+J45+L45+N45+P45+R45+T45+V45+X45+Z45+AB45</f>
        <v>22.995200000000001</v>
      </c>
      <c r="E45" s="249"/>
      <c r="F45" s="249"/>
      <c r="G45" s="249"/>
      <c r="H45" s="249"/>
      <c r="I45" s="249"/>
      <c r="J45" s="249"/>
      <c r="K45" s="249"/>
      <c r="L45" s="249"/>
      <c r="M45" s="249"/>
      <c r="N45" s="257">
        <v>22.995200000000001</v>
      </c>
      <c r="O45" s="249"/>
      <c r="P45" s="249"/>
      <c r="Q45" s="250"/>
      <c r="R45" s="250"/>
      <c r="S45" s="250"/>
      <c r="T45" s="250"/>
      <c r="U45" s="250"/>
      <c r="V45" s="250"/>
      <c r="W45" s="244"/>
      <c r="X45" s="244"/>
      <c r="Y45" s="244"/>
      <c r="Z45" s="244"/>
      <c r="AA45" s="244"/>
      <c r="AB45" s="244"/>
      <c r="AC45" s="244"/>
      <c r="AD45" s="251"/>
      <c r="AE45" s="224" t="s">
        <v>884</v>
      </c>
      <c r="AF45" s="224" t="s">
        <v>887</v>
      </c>
    </row>
    <row r="46" spans="1:32" ht="15.75" customHeight="1">
      <c r="A46" s="263" t="s">
        <v>922</v>
      </c>
      <c r="B46" s="254" t="s">
        <v>923</v>
      </c>
      <c r="C46" s="264">
        <v>16.079999999999998</v>
      </c>
      <c r="D46" s="244">
        <f>F46+H46+J46+L46+N46+P46+R46+T46+V46+X46+Z46+AB46</f>
        <v>16.078029999999998</v>
      </c>
      <c r="E46" s="249"/>
      <c r="F46" s="249"/>
      <c r="G46" s="249"/>
      <c r="H46" s="249"/>
      <c r="I46" s="249"/>
      <c r="J46" s="249"/>
      <c r="K46" s="249"/>
      <c r="L46" s="249"/>
      <c r="M46" s="249"/>
      <c r="N46" s="249"/>
      <c r="O46" s="265"/>
      <c r="P46" s="257">
        <v>16.078029999999998</v>
      </c>
      <c r="Q46" s="266"/>
      <c r="R46" s="266"/>
      <c r="S46" s="266"/>
      <c r="T46" s="266"/>
      <c r="U46" s="266"/>
      <c r="V46" s="266"/>
      <c r="W46" s="244"/>
      <c r="X46" s="244"/>
      <c r="Y46" s="244"/>
      <c r="Z46" s="244"/>
      <c r="AA46" s="244"/>
      <c r="AB46" s="244"/>
      <c r="AC46" s="267"/>
      <c r="AD46" s="251"/>
      <c r="AE46" s="224" t="s">
        <v>884</v>
      </c>
      <c r="AF46" s="224" t="s">
        <v>887</v>
      </c>
    </row>
    <row r="47" spans="1:32" ht="26.25" customHeight="1">
      <c r="A47" s="1435" t="s">
        <v>924</v>
      </c>
      <c r="B47" s="1436"/>
      <c r="C47" s="262">
        <f>C48+C49</f>
        <v>770.53</v>
      </c>
      <c r="D47" s="262">
        <f>D48+D49</f>
        <v>770.53399999999999</v>
      </c>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45"/>
      <c r="AE47" s="224"/>
      <c r="AF47" s="224"/>
    </row>
    <row r="48" spans="1:32" ht="15.95" customHeight="1">
      <c r="A48" s="260" t="s">
        <v>925</v>
      </c>
      <c r="B48" s="254" t="s">
        <v>926</v>
      </c>
      <c r="C48" s="261">
        <v>485.78</v>
      </c>
      <c r="D48" s="244">
        <f>F48+H48+J48+L48+N48+P48+R48+T48+V48+X48+Z48+AB48</f>
        <v>485.78185000000002</v>
      </c>
      <c r="E48" s="249"/>
      <c r="F48" s="249"/>
      <c r="G48" s="249"/>
      <c r="H48" s="249"/>
      <c r="I48" s="249"/>
      <c r="J48" s="249"/>
      <c r="K48" s="249"/>
      <c r="L48" s="249"/>
      <c r="M48" s="249"/>
      <c r="N48" s="257">
        <v>485.78185000000002</v>
      </c>
      <c r="O48" s="249"/>
      <c r="P48" s="249"/>
      <c r="Q48" s="250"/>
      <c r="R48" s="250"/>
      <c r="S48" s="250"/>
      <c r="T48" s="250"/>
      <c r="U48" s="250"/>
      <c r="V48" s="250"/>
      <c r="W48" s="244"/>
      <c r="X48" s="244"/>
      <c r="Y48" s="244"/>
      <c r="Z48" s="244"/>
      <c r="AA48" s="244"/>
      <c r="AB48" s="244"/>
      <c r="AC48" s="244"/>
      <c r="AD48" s="251"/>
      <c r="AE48" s="224" t="s">
        <v>884</v>
      </c>
      <c r="AF48" s="224" t="s">
        <v>887</v>
      </c>
    </row>
    <row r="49" spans="1:32" ht="15.95" customHeight="1">
      <c r="A49" s="260" t="s">
        <v>927</v>
      </c>
      <c r="B49" s="254" t="s">
        <v>928</v>
      </c>
      <c r="C49" s="261">
        <v>284.75</v>
      </c>
      <c r="D49" s="244">
        <f>F49+H49+J49+L49+N49+P49+R49+T49+V49+X49+Z49+AB49</f>
        <v>284.75214999999997</v>
      </c>
      <c r="E49" s="249"/>
      <c r="F49" s="249"/>
      <c r="G49" s="249"/>
      <c r="H49" s="249"/>
      <c r="I49" s="249"/>
      <c r="J49" s="249"/>
      <c r="K49" s="249"/>
      <c r="L49" s="249"/>
      <c r="M49" s="249"/>
      <c r="N49" s="257">
        <v>284.75214999999997</v>
      </c>
      <c r="O49" s="249"/>
      <c r="P49" s="249"/>
      <c r="Q49" s="250"/>
      <c r="R49" s="250"/>
      <c r="S49" s="250"/>
      <c r="T49" s="250"/>
      <c r="U49" s="250"/>
      <c r="V49" s="250"/>
      <c r="W49" s="244"/>
      <c r="X49" s="244"/>
      <c r="Y49" s="244"/>
      <c r="Z49" s="244"/>
      <c r="AA49" s="244"/>
      <c r="AB49" s="244"/>
      <c r="AC49" s="244"/>
      <c r="AD49" s="251"/>
      <c r="AE49" s="224" t="s">
        <v>884</v>
      </c>
      <c r="AF49" s="224" t="s">
        <v>887</v>
      </c>
    </row>
    <row r="50" spans="1:32" ht="18" customHeight="1">
      <c r="A50" s="1435" t="s">
        <v>929</v>
      </c>
      <c r="B50" s="1436"/>
      <c r="C50" s="262">
        <f>SUM(C51:C52)</f>
        <v>100</v>
      </c>
      <c r="D50" s="262">
        <f>D51+D52</f>
        <v>99.954499999999996</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44"/>
      <c r="AD50" s="245"/>
      <c r="AE50" s="224"/>
      <c r="AF50" s="224"/>
    </row>
    <row r="51" spans="1:32" ht="15.95" customHeight="1">
      <c r="A51" s="263" t="s">
        <v>930</v>
      </c>
      <c r="B51" s="254" t="s">
        <v>931</v>
      </c>
      <c r="C51" s="261">
        <v>50</v>
      </c>
      <c r="D51" s="244">
        <f t="shared" ref="D51:D57" si="1">F51+H51+J51+L51+N51+P51+R51+T51+V51+X51+Z51+AB51</f>
        <v>49.955750000000002</v>
      </c>
      <c r="E51" s="249"/>
      <c r="F51" s="249"/>
      <c r="G51" s="249"/>
      <c r="H51" s="249"/>
      <c r="I51" s="249"/>
      <c r="J51" s="249"/>
      <c r="K51" s="249"/>
      <c r="L51" s="249"/>
      <c r="M51" s="249"/>
      <c r="N51" s="257">
        <v>49.955750000000002</v>
      </c>
      <c r="O51" s="249"/>
      <c r="P51" s="249"/>
      <c r="Q51" s="250"/>
      <c r="R51" s="250"/>
      <c r="S51" s="250"/>
      <c r="T51" s="250"/>
      <c r="U51" s="250"/>
      <c r="V51" s="250"/>
      <c r="W51" s="244"/>
      <c r="X51" s="244"/>
      <c r="Y51" s="244"/>
      <c r="Z51" s="244"/>
      <c r="AA51" s="244"/>
      <c r="AB51" s="244"/>
      <c r="AC51" s="244"/>
      <c r="AD51" s="251"/>
      <c r="AE51" s="224" t="s">
        <v>884</v>
      </c>
      <c r="AF51" s="224" t="s">
        <v>887</v>
      </c>
    </row>
    <row r="52" spans="1:32" ht="15.95" customHeight="1">
      <c r="A52" s="263" t="s">
        <v>932</v>
      </c>
      <c r="B52" s="254" t="s">
        <v>933</v>
      </c>
      <c r="C52" s="261">
        <v>50</v>
      </c>
      <c r="D52" s="244">
        <f t="shared" si="1"/>
        <v>49.998750000000001</v>
      </c>
      <c r="E52" s="249"/>
      <c r="F52" s="249"/>
      <c r="G52" s="249"/>
      <c r="H52" s="249"/>
      <c r="I52" s="249"/>
      <c r="J52" s="249"/>
      <c r="K52" s="249"/>
      <c r="L52" s="249"/>
      <c r="M52" s="249"/>
      <c r="N52" s="257"/>
      <c r="O52" s="249"/>
      <c r="P52" s="249"/>
      <c r="Q52" s="250"/>
      <c r="R52" s="250"/>
      <c r="S52" s="250"/>
      <c r="T52" s="250"/>
      <c r="U52" s="250"/>
      <c r="V52" s="250"/>
      <c r="W52" s="244"/>
      <c r="X52" s="244">
        <v>49.998750000000001</v>
      </c>
      <c r="Y52" s="244"/>
      <c r="Z52" s="244"/>
      <c r="AA52" s="244"/>
      <c r="AB52" s="244"/>
      <c r="AC52" s="244"/>
      <c r="AD52" s="251"/>
      <c r="AE52" s="224" t="s">
        <v>884</v>
      </c>
      <c r="AF52" s="224" t="s">
        <v>887</v>
      </c>
    </row>
    <row r="53" spans="1:32" ht="17.25" customHeight="1">
      <c r="A53" s="1435" t="s">
        <v>934</v>
      </c>
      <c r="B53" s="1436"/>
      <c r="C53" s="268">
        <f>SUM(C54:C57)</f>
        <v>5785.7400000000007</v>
      </c>
      <c r="D53" s="269">
        <f>D54+D55+D56+D57</f>
        <v>12546.938693000002</v>
      </c>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44"/>
      <c r="AD53" s="253"/>
      <c r="AE53" s="224"/>
      <c r="AF53" s="224"/>
    </row>
    <row r="54" spans="1:32" ht="27.75" customHeight="1">
      <c r="A54" s="260" t="s">
        <v>935</v>
      </c>
      <c r="B54" s="270" t="s">
        <v>936</v>
      </c>
      <c r="C54" s="261">
        <v>311.10000000000002</v>
      </c>
      <c r="D54" s="244">
        <f>F54+H54+J54+L54+N54+P54+R54+T54+V54+X54+Z54+AB54</f>
        <v>442.12</v>
      </c>
      <c r="E54" s="249"/>
      <c r="F54" s="249"/>
      <c r="G54" s="249"/>
      <c r="H54" s="249"/>
      <c r="I54" s="249"/>
      <c r="J54" s="249"/>
      <c r="K54" s="249"/>
      <c r="L54" s="249"/>
      <c r="M54" s="249"/>
      <c r="N54" s="249"/>
      <c r="O54" s="249"/>
      <c r="P54" s="249"/>
      <c r="Q54" s="250"/>
      <c r="R54" s="250"/>
      <c r="S54" s="250"/>
      <c r="T54" s="250"/>
      <c r="U54" s="250"/>
      <c r="V54" s="250"/>
      <c r="W54" s="244"/>
      <c r="X54" s="244"/>
      <c r="Y54" s="244"/>
      <c r="Z54" s="244"/>
      <c r="AA54" s="244"/>
      <c r="AB54" s="244">
        <v>442.12</v>
      </c>
      <c r="AC54" s="244"/>
      <c r="AD54" s="253"/>
      <c r="AE54" s="224" t="s">
        <v>884</v>
      </c>
      <c r="AF54" s="224" t="s">
        <v>887</v>
      </c>
    </row>
    <row r="55" spans="1:32" ht="15.95" customHeight="1">
      <c r="A55" s="260" t="s">
        <v>937</v>
      </c>
      <c r="B55" s="254" t="s">
        <v>938</v>
      </c>
      <c r="C55" s="261"/>
      <c r="D55" s="244">
        <f t="shared" si="1"/>
        <v>7944.2999958</v>
      </c>
      <c r="E55" s="249"/>
      <c r="F55" s="249"/>
      <c r="G55" s="249"/>
      <c r="H55" s="249"/>
      <c r="I55" s="249"/>
      <c r="J55" s="249"/>
      <c r="K55" s="249"/>
      <c r="L55" s="249"/>
      <c r="M55" s="249"/>
      <c r="N55" s="249"/>
      <c r="O55" s="249"/>
      <c r="P55" s="249"/>
      <c r="Q55" s="250"/>
      <c r="R55" s="250"/>
      <c r="S55" s="250"/>
      <c r="T55" s="250"/>
      <c r="U55" s="250"/>
      <c r="V55" s="250"/>
      <c r="W55" s="244"/>
      <c r="X55" s="244"/>
      <c r="Y55" s="244"/>
      <c r="Z55" s="244"/>
      <c r="AA55" s="244"/>
      <c r="AB55" s="244">
        <f>4023.72931*1.18+3196.29941</f>
        <v>7944.2999958</v>
      </c>
      <c r="AC55" s="244"/>
      <c r="AD55" s="253"/>
      <c r="AE55" s="224" t="s">
        <v>884</v>
      </c>
      <c r="AF55" s="224" t="s">
        <v>887</v>
      </c>
    </row>
    <row r="56" spans="1:32" ht="14.25" customHeight="1">
      <c r="A56" s="260" t="s">
        <v>939</v>
      </c>
      <c r="B56" s="254" t="s">
        <v>940</v>
      </c>
      <c r="C56" s="261">
        <v>5290</v>
      </c>
      <c r="D56" s="244">
        <f>F56+H56+J56+L56+N56+P56+R56+T56+V56+X56+Z56+AB56</f>
        <v>3975.8763672</v>
      </c>
      <c r="E56" s="249"/>
      <c r="F56" s="249"/>
      <c r="G56" s="249"/>
      <c r="H56" s="249"/>
      <c r="I56" s="249"/>
      <c r="J56" s="249"/>
      <c r="K56" s="249"/>
      <c r="L56" s="249"/>
      <c r="M56" s="249"/>
      <c r="N56" s="249"/>
      <c r="O56" s="249"/>
      <c r="P56" s="249"/>
      <c r="Q56" s="250"/>
      <c r="R56" s="250"/>
      <c r="S56" s="250"/>
      <c r="T56" s="250"/>
      <c r="U56" s="250"/>
      <c r="V56" s="250"/>
      <c r="W56" s="244"/>
      <c r="X56" s="244"/>
      <c r="Y56" s="244"/>
      <c r="Z56" s="244"/>
      <c r="AA56" s="244"/>
      <c r="AB56" s="244">
        <f>863.80054*1.18+2956.59173</f>
        <v>3975.8763672</v>
      </c>
      <c r="AC56" s="244"/>
      <c r="AD56" s="253"/>
      <c r="AE56" s="224" t="s">
        <v>884</v>
      </c>
      <c r="AF56" s="224" t="s">
        <v>887</v>
      </c>
    </row>
    <row r="57" spans="1:32" ht="14.25" customHeight="1">
      <c r="A57" s="263" t="s">
        <v>937</v>
      </c>
      <c r="B57" s="254" t="s">
        <v>941</v>
      </c>
      <c r="C57" s="261">
        <v>184.64</v>
      </c>
      <c r="D57" s="244">
        <f t="shared" si="1"/>
        <v>184.64232999999999</v>
      </c>
      <c r="E57" s="249"/>
      <c r="F57" s="249"/>
      <c r="G57" s="249"/>
      <c r="H57" s="249"/>
      <c r="I57" s="249"/>
      <c r="J57" s="249"/>
      <c r="K57" s="249"/>
      <c r="L57" s="257">
        <v>184.64232999999999</v>
      </c>
      <c r="M57" s="249"/>
      <c r="N57" s="249"/>
      <c r="O57" s="249"/>
      <c r="P57" s="249"/>
      <c r="Q57" s="250"/>
      <c r="R57" s="250"/>
      <c r="S57" s="250"/>
      <c r="T57" s="250"/>
      <c r="U57" s="250"/>
      <c r="V57" s="250"/>
      <c r="W57" s="244"/>
      <c r="X57" s="244"/>
      <c r="Y57" s="244"/>
      <c r="Z57" s="244"/>
      <c r="AA57" s="244"/>
      <c r="AB57" s="244"/>
      <c r="AC57" s="244"/>
      <c r="AD57" s="251"/>
      <c r="AE57" s="224" t="s">
        <v>884</v>
      </c>
      <c r="AF57" s="224" t="s">
        <v>887</v>
      </c>
    </row>
    <row r="58" spans="1:32" ht="18" customHeight="1">
      <c r="A58" s="1872" t="s">
        <v>942</v>
      </c>
      <c r="B58" s="1873"/>
      <c r="C58" s="271">
        <f>SUM(C59:C64)</f>
        <v>925.83999999999992</v>
      </c>
      <c r="D58" s="271">
        <f>SUM(D59:D64)</f>
        <v>925.83999999999992</v>
      </c>
      <c r="E58" s="249"/>
      <c r="F58" s="249"/>
      <c r="G58" s="249"/>
      <c r="H58" s="249"/>
      <c r="I58" s="249"/>
      <c r="J58" s="249"/>
      <c r="K58" s="249"/>
      <c r="L58" s="257"/>
      <c r="M58" s="249"/>
      <c r="N58" s="249"/>
      <c r="O58" s="249"/>
      <c r="P58" s="249"/>
      <c r="Q58" s="250"/>
      <c r="R58" s="250"/>
      <c r="S58" s="250"/>
      <c r="T58" s="250"/>
      <c r="U58" s="250"/>
      <c r="V58" s="250"/>
      <c r="W58" s="244"/>
      <c r="X58" s="244"/>
      <c r="Y58" s="244"/>
      <c r="Z58" s="244"/>
      <c r="AA58" s="244"/>
      <c r="AB58" s="244"/>
      <c r="AC58" s="244"/>
      <c r="AD58" s="251"/>
      <c r="AE58" s="224"/>
      <c r="AF58" s="224"/>
    </row>
    <row r="59" spans="1:32" ht="18.75" customHeight="1">
      <c r="A59" s="260" t="s">
        <v>259</v>
      </c>
      <c r="B59" s="272" t="s">
        <v>943</v>
      </c>
      <c r="C59" s="232">
        <v>3.38</v>
      </c>
      <c r="D59" s="273">
        <v>3.38</v>
      </c>
      <c r="E59" s="249"/>
      <c r="F59" s="249"/>
      <c r="G59" s="249"/>
      <c r="H59" s="249"/>
      <c r="I59" s="249"/>
      <c r="J59" s="249"/>
      <c r="K59" s="249"/>
      <c r="L59" s="257"/>
      <c r="M59" s="249"/>
      <c r="N59" s="249"/>
      <c r="O59" s="249"/>
      <c r="P59" s="249"/>
      <c r="Q59" s="250"/>
      <c r="R59" s="250"/>
      <c r="S59" s="250"/>
      <c r="T59" s="250"/>
      <c r="U59" s="250"/>
      <c r="V59" s="250"/>
      <c r="W59" s="244"/>
      <c r="X59" s="244"/>
      <c r="Y59" s="244"/>
      <c r="Z59" s="244"/>
      <c r="AA59" s="244"/>
      <c r="AB59" s="244"/>
      <c r="AC59" s="244"/>
      <c r="AD59" s="274"/>
      <c r="AE59" s="224" t="s">
        <v>884</v>
      </c>
      <c r="AF59" s="224" t="s">
        <v>887</v>
      </c>
    </row>
    <row r="60" spans="1:32" ht="43.5" customHeight="1">
      <c r="A60" s="260" t="s">
        <v>260</v>
      </c>
      <c r="B60" s="254" t="s">
        <v>944</v>
      </c>
      <c r="C60" s="232">
        <v>345</v>
      </c>
      <c r="D60" s="273">
        <v>345</v>
      </c>
      <c r="E60" s="249"/>
      <c r="F60" s="249"/>
      <c r="G60" s="249"/>
      <c r="H60" s="249"/>
      <c r="I60" s="249"/>
      <c r="J60" s="249"/>
      <c r="K60" s="249"/>
      <c r="L60" s="257"/>
      <c r="M60" s="249"/>
      <c r="N60" s="249"/>
      <c r="O60" s="249"/>
      <c r="P60" s="249">
        <v>345</v>
      </c>
      <c r="Q60" s="250"/>
      <c r="R60" s="250"/>
      <c r="S60" s="250"/>
      <c r="T60" s="250"/>
      <c r="U60" s="250"/>
      <c r="V60" s="250"/>
      <c r="W60" s="244"/>
      <c r="X60" s="244"/>
      <c r="Y60" s="244"/>
      <c r="Z60" s="244"/>
      <c r="AA60" s="244"/>
      <c r="AB60" s="244"/>
      <c r="AC60" s="244"/>
      <c r="AD60" s="274"/>
      <c r="AE60" s="224" t="s">
        <v>884</v>
      </c>
      <c r="AF60" s="224" t="s">
        <v>887</v>
      </c>
    </row>
    <row r="61" spans="1:32" ht="90.75" customHeight="1">
      <c r="A61" s="260" t="s">
        <v>261</v>
      </c>
      <c r="B61" s="254" t="s">
        <v>945</v>
      </c>
      <c r="C61" s="232">
        <v>44.76</v>
      </c>
      <c r="D61" s="273">
        <v>44.76</v>
      </c>
      <c r="E61" s="249"/>
      <c r="F61" s="249"/>
      <c r="G61" s="249"/>
      <c r="H61" s="249"/>
      <c r="I61" s="249"/>
      <c r="J61" s="249"/>
      <c r="K61" s="249"/>
      <c r="L61" s="257"/>
      <c r="M61" s="249"/>
      <c r="N61" s="249"/>
      <c r="O61" s="249"/>
      <c r="P61" s="249"/>
      <c r="Q61" s="250"/>
      <c r="R61" s="250"/>
      <c r="S61" s="250"/>
      <c r="T61" s="250"/>
      <c r="U61" s="250"/>
      <c r="V61" s="250"/>
      <c r="W61" s="244"/>
      <c r="X61" s="244"/>
      <c r="Y61" s="244"/>
      <c r="Z61" s="244"/>
      <c r="AA61" s="244"/>
      <c r="AB61" s="244"/>
      <c r="AC61" s="244"/>
      <c r="AD61" s="274"/>
      <c r="AE61" s="224" t="s">
        <v>884</v>
      </c>
      <c r="AF61" s="224" t="s">
        <v>887</v>
      </c>
    </row>
    <row r="62" spans="1:32" ht="42.75" customHeight="1">
      <c r="A62" s="260" t="s">
        <v>262</v>
      </c>
      <c r="B62" s="275" t="s">
        <v>946</v>
      </c>
      <c r="C62" s="232">
        <v>280.2</v>
      </c>
      <c r="D62" s="273">
        <v>280.2</v>
      </c>
      <c r="E62" s="249"/>
      <c r="F62" s="249"/>
      <c r="G62" s="249"/>
      <c r="H62" s="249"/>
      <c r="I62" s="249"/>
      <c r="J62" s="249"/>
      <c r="K62" s="249"/>
      <c r="L62" s="257"/>
      <c r="M62" s="249"/>
      <c r="N62" s="249"/>
      <c r="O62" s="249"/>
      <c r="P62" s="249"/>
      <c r="Q62" s="250"/>
      <c r="R62" s="250"/>
      <c r="S62" s="250"/>
      <c r="T62" s="250"/>
      <c r="U62" s="250"/>
      <c r="V62" s="250">
        <v>280.2</v>
      </c>
      <c r="W62" s="244"/>
      <c r="X62" s="244"/>
      <c r="Y62" s="244"/>
      <c r="Z62" s="244"/>
      <c r="AA62" s="244"/>
      <c r="AB62" s="244"/>
      <c r="AC62" s="244"/>
      <c r="AD62" s="274"/>
      <c r="AE62" s="224" t="s">
        <v>884</v>
      </c>
      <c r="AF62" s="224" t="s">
        <v>887</v>
      </c>
    </row>
    <row r="63" spans="1:32" ht="40.5" customHeight="1">
      <c r="A63" s="260" t="s">
        <v>263</v>
      </c>
      <c r="B63" s="254" t="s">
        <v>947</v>
      </c>
      <c r="C63" s="232">
        <v>214</v>
      </c>
      <c r="D63" s="273">
        <v>214</v>
      </c>
      <c r="E63" s="249"/>
      <c r="F63" s="249"/>
      <c r="G63" s="249"/>
      <c r="H63" s="249"/>
      <c r="I63" s="249"/>
      <c r="J63" s="249"/>
      <c r="K63" s="249"/>
      <c r="L63" s="257"/>
      <c r="M63" s="249"/>
      <c r="N63" s="249"/>
      <c r="O63" s="249"/>
      <c r="P63" s="249"/>
      <c r="Q63" s="250"/>
      <c r="R63" s="250"/>
      <c r="S63" s="250"/>
      <c r="T63" s="250"/>
      <c r="U63" s="250"/>
      <c r="V63" s="250">
        <v>214</v>
      </c>
      <c r="W63" s="244"/>
      <c r="X63" s="244"/>
      <c r="Y63" s="244"/>
      <c r="Z63" s="244"/>
      <c r="AA63" s="244"/>
      <c r="AB63" s="244"/>
      <c r="AC63" s="244"/>
      <c r="AD63" s="274"/>
      <c r="AE63" s="224" t="s">
        <v>884</v>
      </c>
      <c r="AF63" s="224" t="s">
        <v>887</v>
      </c>
    </row>
    <row r="64" spans="1:32" ht="54" customHeight="1">
      <c r="A64" s="260" t="s">
        <v>264</v>
      </c>
      <c r="B64" s="254" t="s">
        <v>948</v>
      </c>
      <c r="C64" s="232">
        <v>38.5</v>
      </c>
      <c r="D64" s="273">
        <v>38.5</v>
      </c>
      <c r="E64" s="249"/>
      <c r="F64" s="249"/>
      <c r="G64" s="249"/>
      <c r="H64" s="249"/>
      <c r="I64" s="249"/>
      <c r="J64" s="249"/>
      <c r="K64" s="249"/>
      <c r="L64" s="257"/>
      <c r="M64" s="249"/>
      <c r="N64" s="249"/>
      <c r="O64" s="249"/>
      <c r="P64" s="249"/>
      <c r="Q64" s="250"/>
      <c r="R64" s="250"/>
      <c r="S64" s="250"/>
      <c r="T64" s="250">
        <v>38.5</v>
      </c>
      <c r="U64" s="250"/>
      <c r="V64" s="250"/>
      <c r="W64" s="244"/>
      <c r="X64" s="244"/>
      <c r="Y64" s="244"/>
      <c r="Z64" s="244"/>
      <c r="AA64" s="244"/>
      <c r="AB64" s="244"/>
      <c r="AC64" s="244"/>
      <c r="AD64" s="274"/>
      <c r="AE64" s="224" t="s">
        <v>884</v>
      </c>
      <c r="AF64" s="224" t="s">
        <v>887</v>
      </c>
    </row>
    <row r="65" spans="1:32" ht="18" customHeight="1">
      <c r="A65" s="1409" t="s">
        <v>418</v>
      </c>
      <c r="B65" s="1874"/>
      <c r="C65" s="276">
        <f>C23+C36+C41+C43+C47+C50+C53</f>
        <v>43165.969999999994</v>
      </c>
      <c r="D65" s="269">
        <f>D53+D50+D47+D43+D41+D36+D23</f>
        <v>52136.296853799999</v>
      </c>
      <c r="E65" s="243">
        <f>SUM(E27:E57)</f>
        <v>0</v>
      </c>
      <c r="F65" s="243">
        <f t="shared" ref="F65:L65" si="2">SUM(F27:F57)</f>
        <v>0</v>
      </c>
      <c r="G65" s="243">
        <f t="shared" si="2"/>
        <v>0</v>
      </c>
      <c r="H65" s="243">
        <f t="shared" si="2"/>
        <v>0</v>
      </c>
      <c r="I65" s="243">
        <f t="shared" si="2"/>
        <v>0</v>
      </c>
      <c r="J65" s="243">
        <f t="shared" si="2"/>
        <v>0</v>
      </c>
      <c r="K65" s="243">
        <f t="shared" si="2"/>
        <v>0</v>
      </c>
      <c r="L65" s="243">
        <f t="shared" si="2"/>
        <v>2262.0198100000002</v>
      </c>
      <c r="M65" s="243" t="e">
        <f>#REF!</f>
        <v>#REF!</v>
      </c>
      <c r="N65" s="243">
        <f>SUM(N24:N57)</f>
        <v>930.00565999999992</v>
      </c>
      <c r="O65" s="243" t="e">
        <f>#REF!</f>
        <v>#REF!</v>
      </c>
      <c r="P65" s="243">
        <f>SUM(P24:P57)</f>
        <v>16.078029999999998</v>
      </c>
      <c r="Q65" s="243">
        <v>0</v>
      </c>
      <c r="R65" s="243">
        <f>SUM(R24:R64)</f>
        <v>4242.5977899999998</v>
      </c>
      <c r="S65" s="243">
        <v>0</v>
      </c>
      <c r="T65" s="243">
        <f>SUM(T24:T64)</f>
        <v>3047.80825</v>
      </c>
      <c r="U65" s="243">
        <f>SUM(U24:U64)</f>
        <v>0</v>
      </c>
      <c r="V65" s="243">
        <f>SUM(V24:V64)</f>
        <v>494.2</v>
      </c>
      <c r="W65" s="243">
        <v>0</v>
      </c>
      <c r="X65" s="243">
        <f>SUM(X24:X64)</f>
        <v>4862.0120699999998</v>
      </c>
      <c r="Y65" s="243">
        <v>0</v>
      </c>
      <c r="Z65" s="243">
        <f>SUM(Z24:Z64)</f>
        <v>8722.2084200000008</v>
      </c>
      <c r="AA65" s="243">
        <f>SUM(AA24:AA64)</f>
        <v>0</v>
      </c>
      <c r="AB65" s="243">
        <f>SUM(AB24:AB64)</f>
        <v>28092.0668238</v>
      </c>
      <c r="AC65" s="243"/>
      <c r="AD65" s="245"/>
      <c r="AE65" s="9"/>
      <c r="AF65" s="9"/>
    </row>
    <row r="66" spans="1:32" ht="18" customHeight="1">
      <c r="A66" s="277" t="s">
        <v>133</v>
      </c>
      <c r="B66" s="278"/>
      <c r="C66" s="269">
        <v>0</v>
      </c>
      <c r="D66" s="269">
        <v>0</v>
      </c>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5"/>
      <c r="AE66" s="9"/>
      <c r="AF66" s="9"/>
    </row>
    <row r="67" spans="1:32" ht="18" customHeight="1">
      <c r="A67" s="1875" t="s">
        <v>134</v>
      </c>
      <c r="B67" s="1876"/>
      <c r="C67" s="269">
        <f>C58</f>
        <v>925.83999999999992</v>
      </c>
      <c r="D67" s="269">
        <f>D58</f>
        <v>925.83999999999992</v>
      </c>
      <c r="E67" s="269">
        <f t="shared" ref="E67:AB67" si="3">E58</f>
        <v>0</v>
      </c>
      <c r="F67" s="269">
        <f t="shared" si="3"/>
        <v>0</v>
      </c>
      <c r="G67" s="269">
        <f t="shared" si="3"/>
        <v>0</v>
      </c>
      <c r="H67" s="269">
        <f t="shared" si="3"/>
        <v>0</v>
      </c>
      <c r="I67" s="269">
        <f t="shared" si="3"/>
        <v>0</v>
      </c>
      <c r="J67" s="269">
        <f t="shared" si="3"/>
        <v>0</v>
      </c>
      <c r="K67" s="269">
        <f t="shared" si="3"/>
        <v>0</v>
      </c>
      <c r="L67" s="269">
        <f t="shared" si="3"/>
        <v>0</v>
      </c>
      <c r="M67" s="269">
        <f t="shared" si="3"/>
        <v>0</v>
      </c>
      <c r="N67" s="269">
        <f t="shared" si="3"/>
        <v>0</v>
      </c>
      <c r="O67" s="269">
        <f t="shared" si="3"/>
        <v>0</v>
      </c>
      <c r="P67" s="269">
        <f t="shared" si="3"/>
        <v>0</v>
      </c>
      <c r="Q67" s="269">
        <f t="shared" si="3"/>
        <v>0</v>
      </c>
      <c r="R67" s="269">
        <f t="shared" si="3"/>
        <v>0</v>
      </c>
      <c r="S67" s="269">
        <f t="shared" si="3"/>
        <v>0</v>
      </c>
      <c r="T67" s="269">
        <f t="shared" si="3"/>
        <v>0</v>
      </c>
      <c r="U67" s="269">
        <f t="shared" si="3"/>
        <v>0</v>
      </c>
      <c r="V67" s="269">
        <f t="shared" si="3"/>
        <v>0</v>
      </c>
      <c r="W67" s="269">
        <f t="shared" si="3"/>
        <v>0</v>
      </c>
      <c r="X67" s="269">
        <f t="shared" si="3"/>
        <v>0</v>
      </c>
      <c r="Y67" s="269">
        <f t="shared" si="3"/>
        <v>0</v>
      </c>
      <c r="Z67" s="269">
        <f t="shared" si="3"/>
        <v>0</v>
      </c>
      <c r="AA67" s="269">
        <f t="shared" si="3"/>
        <v>0</v>
      </c>
      <c r="AB67" s="269">
        <f t="shared" si="3"/>
        <v>0</v>
      </c>
      <c r="AC67" s="279"/>
      <c r="AD67" s="245"/>
      <c r="AE67" s="9"/>
      <c r="AF67" s="9"/>
    </row>
    <row r="68" spans="1:32" ht="18" customHeight="1">
      <c r="A68" s="389"/>
      <c r="B68" s="389"/>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1"/>
      <c r="AD68" s="280"/>
      <c r="AE68" s="377"/>
      <c r="AF68" s="377"/>
    </row>
    <row r="69" spans="1:32">
      <c r="A69" s="280"/>
      <c r="B69" s="280"/>
      <c r="C69" s="280"/>
      <c r="D69" s="280"/>
      <c r="E69" s="280"/>
      <c r="F69" s="280"/>
      <c r="G69" s="280"/>
      <c r="H69" s="280"/>
      <c r="I69" s="280"/>
      <c r="J69" s="280"/>
      <c r="K69" s="280"/>
      <c r="L69" s="280"/>
      <c r="M69" s="280"/>
      <c r="N69" s="280"/>
      <c r="O69" s="280"/>
      <c r="P69" s="280"/>
      <c r="Q69" s="280"/>
      <c r="R69" s="280"/>
      <c r="S69" s="280"/>
      <c r="T69" s="280"/>
      <c r="U69" s="280"/>
      <c r="V69" s="280"/>
      <c r="W69" s="281"/>
      <c r="X69" s="281"/>
      <c r="Y69" s="281"/>
      <c r="Z69" s="281"/>
      <c r="AA69" s="281"/>
      <c r="AB69" s="281"/>
      <c r="AC69" s="281"/>
      <c r="AD69" s="280"/>
    </row>
    <row r="70" spans="1:32" ht="15.75">
      <c r="A70" s="291" t="s">
        <v>1410</v>
      </c>
      <c r="B70" s="291"/>
      <c r="C70" s="287"/>
      <c r="D70" s="287"/>
      <c r="E70" s="288"/>
      <c r="F70" s="288"/>
      <c r="G70" s="288"/>
      <c r="H70" s="289"/>
      <c r="I70" s="288"/>
      <c r="J70" s="288"/>
      <c r="K70" s="288"/>
      <c r="L70" s="288"/>
      <c r="M70" s="288"/>
      <c r="N70" s="288"/>
      <c r="O70" s="288"/>
      <c r="P70" s="288"/>
      <c r="Q70" s="288"/>
      <c r="R70" s="288"/>
      <c r="S70" s="288"/>
      <c r="T70" s="288"/>
      <c r="U70" s="288"/>
      <c r="V70" s="288"/>
      <c r="W70" s="288"/>
      <c r="X70" s="289"/>
      <c r="Y70" s="288"/>
      <c r="Z70" s="289"/>
      <c r="AA70" s="288"/>
      <c r="AB70" s="293"/>
      <c r="AC70" s="288"/>
      <c r="AD70" s="288"/>
      <c r="AE70" s="5" t="s">
        <v>1411</v>
      </c>
      <c r="AF70" s="5"/>
    </row>
    <row r="71" spans="1:32" ht="20.25">
      <c r="A71" s="282"/>
      <c r="B71" s="282"/>
      <c r="C71" s="283"/>
      <c r="D71" s="283"/>
      <c r="E71" s="265"/>
      <c r="F71" s="265"/>
      <c r="G71" s="265"/>
      <c r="H71" s="284"/>
      <c r="I71" s="265"/>
      <c r="J71" s="284"/>
      <c r="K71" s="265"/>
      <c r="L71" s="265"/>
      <c r="M71" s="284"/>
      <c r="N71" s="265"/>
      <c r="O71" s="265"/>
      <c r="P71" s="265"/>
      <c r="Q71" s="265"/>
      <c r="R71" s="265"/>
      <c r="S71" s="265"/>
      <c r="T71" s="265"/>
      <c r="U71" s="265"/>
      <c r="V71" s="285"/>
      <c r="W71" s="265"/>
      <c r="X71" s="284"/>
      <c r="Y71" s="265"/>
      <c r="Z71" s="284"/>
      <c r="AA71" s="265"/>
      <c r="AB71" s="285"/>
      <c r="AC71" s="265"/>
      <c r="AD71" s="286"/>
    </row>
    <row r="72" spans="1:32" ht="15.75">
      <c r="A72" s="1877" t="s">
        <v>949</v>
      </c>
      <c r="B72" s="1381"/>
      <c r="C72" s="287"/>
      <c r="D72" s="7"/>
      <c r="E72" s="288"/>
      <c r="F72" s="288"/>
      <c r="G72" s="288"/>
      <c r="H72" s="289"/>
      <c r="I72" s="288"/>
      <c r="J72" s="289"/>
      <c r="K72" s="288"/>
      <c r="L72" s="288"/>
      <c r="M72" s="289"/>
      <c r="N72" s="288"/>
      <c r="O72" s="288"/>
      <c r="P72" s="288"/>
      <c r="Q72" s="288"/>
      <c r="R72" s="288"/>
      <c r="S72" s="288"/>
      <c r="T72" s="288"/>
      <c r="U72" s="288"/>
      <c r="V72" s="290"/>
      <c r="W72" s="288"/>
      <c r="X72" s="289"/>
      <c r="Y72" s="288"/>
      <c r="Z72" s="289"/>
      <c r="AA72" s="288"/>
      <c r="AB72" s="290"/>
      <c r="AC72" s="288"/>
      <c r="AD72" s="288" t="s">
        <v>341</v>
      </c>
      <c r="AE72" s="288" t="s">
        <v>341</v>
      </c>
      <c r="AF72" s="7"/>
    </row>
    <row r="73" spans="1:32" ht="8.25" customHeight="1">
      <c r="A73" s="291"/>
      <c r="B73" s="292"/>
      <c r="C73" s="287"/>
      <c r="D73" s="7"/>
      <c r="E73" s="288"/>
      <c r="F73" s="288"/>
      <c r="G73" s="288"/>
      <c r="H73" s="289"/>
      <c r="I73" s="288"/>
      <c r="J73" s="289"/>
      <c r="K73" s="288"/>
      <c r="L73" s="288"/>
      <c r="M73" s="289"/>
      <c r="N73" s="288"/>
      <c r="O73" s="288"/>
      <c r="P73" s="288"/>
      <c r="Q73" s="288"/>
      <c r="R73" s="288"/>
      <c r="S73" s="288"/>
      <c r="T73" s="288"/>
      <c r="U73" s="288"/>
      <c r="V73" s="290"/>
      <c r="W73" s="288"/>
      <c r="X73" s="289"/>
      <c r="Y73" s="288"/>
      <c r="Z73" s="289"/>
      <c r="AA73" s="288"/>
      <c r="AB73" s="290"/>
      <c r="AC73" s="288"/>
      <c r="AD73" s="288"/>
      <c r="AE73" s="288"/>
      <c r="AF73" s="7"/>
    </row>
    <row r="74" spans="1:32" ht="15.75">
      <c r="A74" s="291" t="s">
        <v>1380</v>
      </c>
      <c r="B74" s="287"/>
      <c r="C74" s="288"/>
      <c r="D74" s="7"/>
      <c r="E74" s="288"/>
      <c r="F74" s="288"/>
      <c r="G74" s="288"/>
      <c r="H74" s="289"/>
      <c r="I74" s="288"/>
      <c r="J74" s="288"/>
      <c r="K74" s="288"/>
      <c r="L74" s="288"/>
      <c r="M74" s="289"/>
      <c r="N74" s="288"/>
      <c r="O74" s="288"/>
      <c r="P74" s="288"/>
      <c r="Q74" s="288"/>
      <c r="R74" s="288"/>
      <c r="S74" s="288"/>
      <c r="T74" s="288"/>
      <c r="U74" s="288"/>
      <c r="V74" s="288"/>
      <c r="W74" s="288"/>
      <c r="X74" s="289"/>
      <c r="Y74" s="288"/>
      <c r="Z74" s="289"/>
      <c r="AA74" s="288"/>
      <c r="AB74" s="288"/>
      <c r="AC74" s="288"/>
      <c r="AD74" s="288"/>
      <c r="AE74" s="288" t="s">
        <v>1381</v>
      </c>
      <c r="AF74" s="7"/>
    </row>
    <row r="75" spans="1:32" ht="9" customHeight="1">
      <c r="A75" s="1878"/>
      <c r="B75" s="1879"/>
      <c r="C75" s="287"/>
      <c r="D75" s="7"/>
      <c r="E75" s="288"/>
      <c r="F75" s="288"/>
      <c r="G75" s="288"/>
      <c r="H75" s="289"/>
      <c r="I75" s="288"/>
      <c r="J75" s="289"/>
      <c r="K75" s="288"/>
      <c r="L75" s="288"/>
      <c r="M75" s="288"/>
      <c r="N75" s="288"/>
      <c r="O75" s="288"/>
      <c r="P75" s="288"/>
      <c r="Q75" s="288"/>
      <c r="R75" s="288"/>
      <c r="S75" s="293"/>
      <c r="T75" s="288"/>
      <c r="U75" s="288"/>
      <c r="V75" s="288"/>
      <c r="W75" s="288"/>
      <c r="X75" s="289"/>
      <c r="Y75" s="293"/>
      <c r="Z75" s="288"/>
      <c r="AA75" s="288"/>
      <c r="AB75" s="288"/>
      <c r="AC75" s="288"/>
      <c r="AD75" s="288"/>
      <c r="AE75" s="288"/>
      <c r="AF75" s="7"/>
    </row>
    <row r="76" spans="1:32" ht="18.75">
      <c r="A76" s="1370" t="s">
        <v>950</v>
      </c>
      <c r="B76" s="1370"/>
      <c r="C76" s="1370"/>
      <c r="D76" s="1370"/>
      <c r="E76" s="1370"/>
      <c r="F76" s="1370"/>
      <c r="G76" s="1370"/>
      <c r="H76" s="294"/>
      <c r="I76" s="295"/>
      <c r="J76" s="295"/>
      <c r="K76" s="295"/>
      <c r="L76" s="295"/>
      <c r="M76" s="295"/>
      <c r="N76" s="295"/>
      <c r="O76" s="295"/>
      <c r="P76" s="295"/>
      <c r="Q76" s="295"/>
      <c r="R76" s="295"/>
      <c r="S76" s="295"/>
      <c r="T76" s="295"/>
      <c r="U76" s="295"/>
      <c r="V76" s="295"/>
      <c r="W76" s="295"/>
      <c r="X76" s="294"/>
      <c r="Y76" s="295"/>
      <c r="Z76" s="295"/>
      <c r="AA76" s="295"/>
      <c r="AB76" s="295"/>
      <c r="AC76" s="295"/>
      <c r="AD76" s="296"/>
      <c r="AE76" s="297" t="s">
        <v>951</v>
      </c>
    </row>
    <row r="77" spans="1:32" ht="18.75">
      <c r="A77" s="1871"/>
      <c r="B77" s="1450"/>
      <c r="C77" s="286"/>
      <c r="E77" s="286"/>
      <c r="F77" s="286"/>
      <c r="G77" s="286"/>
      <c r="H77" s="286"/>
      <c r="I77" s="286"/>
      <c r="J77" s="286"/>
      <c r="K77" s="286"/>
      <c r="L77" s="286"/>
      <c r="M77" s="286"/>
      <c r="N77" s="286"/>
      <c r="O77" s="286"/>
      <c r="P77" s="286"/>
      <c r="Q77" s="286"/>
      <c r="R77" s="286"/>
      <c r="S77" s="286"/>
      <c r="T77" s="286"/>
      <c r="U77" s="286"/>
      <c r="V77" s="286"/>
      <c r="W77" s="286"/>
      <c r="X77" s="298"/>
      <c r="Y77" s="286"/>
      <c r="Z77" s="286"/>
      <c r="AA77" s="286"/>
      <c r="AB77" s="286"/>
      <c r="AC77" s="286"/>
      <c r="AD77" s="286" t="s">
        <v>952</v>
      </c>
      <c r="AE77" s="286"/>
    </row>
  </sheetData>
  <mergeCells count="40">
    <mergeCell ref="A76:G76"/>
    <mergeCell ref="A77:B77"/>
    <mergeCell ref="A53:B53"/>
    <mergeCell ref="A58:B58"/>
    <mergeCell ref="A65:B65"/>
    <mergeCell ref="A67:B67"/>
    <mergeCell ref="A72:B72"/>
    <mergeCell ref="A75:B75"/>
    <mergeCell ref="A50:B50"/>
    <mergeCell ref="W20:X20"/>
    <mergeCell ref="A43:B43"/>
    <mergeCell ref="A47:B47"/>
    <mergeCell ref="A23:B23"/>
    <mergeCell ref="A36:B36"/>
    <mergeCell ref="A41:B41"/>
    <mergeCell ref="C20:D20"/>
    <mergeCell ref="E20:F20"/>
    <mergeCell ref="AE20:AF20"/>
    <mergeCell ref="A22:AD22"/>
    <mergeCell ref="K20:L20"/>
    <mergeCell ref="M20:N20"/>
    <mergeCell ref="O20:P20"/>
    <mergeCell ref="Q20:R20"/>
    <mergeCell ref="AC20:AD20"/>
    <mergeCell ref="I20:J20"/>
    <mergeCell ref="S20:T20"/>
    <mergeCell ref="U20:V20"/>
    <mergeCell ref="A20:A21"/>
    <mergeCell ref="B20:B21"/>
    <mergeCell ref="Y20:Z20"/>
    <mergeCell ref="AA20:AB20"/>
    <mergeCell ref="G20:H20"/>
    <mergeCell ref="A1:K1"/>
    <mergeCell ref="A2:K2"/>
    <mergeCell ref="A18:AF18"/>
    <mergeCell ref="A13:AF13"/>
    <mergeCell ref="A14:AF14"/>
    <mergeCell ref="A15:AD15"/>
    <mergeCell ref="A16:AF16"/>
    <mergeCell ref="A17:AF17"/>
  </mergeCells>
  <pageMargins left="0.98425196850393704"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2:BX74"/>
  <sheetViews>
    <sheetView view="pageBreakPreview" zoomScale="70" zoomScaleNormal="110" zoomScaleSheetLayoutView="70" workbookViewId="0">
      <selection activeCell="A27" sqref="A27:XFD27"/>
    </sheetView>
  </sheetViews>
  <sheetFormatPr defaultColWidth="1.140625" defaultRowHeight="18.75"/>
  <cols>
    <col min="1" max="16384" width="1.140625" style="19"/>
  </cols>
  <sheetData>
    <row r="2" spans="1:76" ht="21.75" customHeight="1">
      <c r="A2" s="971" t="s">
        <v>476</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971"/>
      <c r="BK2" s="971"/>
      <c r="BL2" s="971"/>
      <c r="BM2" s="971"/>
      <c r="BN2" s="971"/>
      <c r="BO2" s="971"/>
      <c r="BP2" s="971"/>
      <c r="BQ2" s="971"/>
      <c r="BR2" s="971"/>
      <c r="BS2" s="971"/>
      <c r="BT2" s="971"/>
      <c r="BU2" s="971"/>
      <c r="BV2" s="971"/>
      <c r="BW2" s="971"/>
      <c r="BX2" s="971"/>
    </row>
    <row r="3" spans="1:76" ht="21.75" customHeight="1">
      <c r="A3" s="971" t="s">
        <v>477</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c r="AW3" s="971"/>
      <c r="AX3" s="971"/>
      <c r="AY3" s="971"/>
      <c r="AZ3" s="971"/>
      <c r="BA3" s="971"/>
      <c r="BB3" s="971"/>
      <c r="BC3" s="971"/>
      <c r="BD3" s="971"/>
      <c r="BE3" s="971"/>
      <c r="BF3" s="971"/>
      <c r="BG3" s="971"/>
      <c r="BH3" s="971"/>
      <c r="BI3" s="971"/>
      <c r="BJ3" s="971"/>
      <c r="BK3" s="971"/>
      <c r="BL3" s="971"/>
      <c r="BM3" s="971"/>
      <c r="BN3" s="971"/>
      <c r="BO3" s="971"/>
      <c r="BP3" s="971"/>
      <c r="BQ3" s="971"/>
      <c r="BR3" s="971"/>
      <c r="BS3" s="971"/>
      <c r="BT3" s="971"/>
      <c r="BU3" s="971"/>
      <c r="BV3" s="971"/>
      <c r="BW3" s="971"/>
      <c r="BX3" s="971"/>
    </row>
    <row r="4" spans="1:76" ht="21.75" customHeight="1">
      <c r="A4" s="971" t="s">
        <v>473</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1"/>
      <c r="BI4" s="971"/>
      <c r="BJ4" s="971"/>
      <c r="BK4" s="971"/>
      <c r="BL4" s="971"/>
      <c r="BM4" s="971"/>
      <c r="BN4" s="971"/>
      <c r="BO4" s="971"/>
      <c r="BP4" s="971"/>
      <c r="BQ4" s="971"/>
      <c r="BR4" s="971"/>
      <c r="BS4" s="971"/>
      <c r="BT4" s="971"/>
      <c r="BU4" s="971"/>
      <c r="BV4" s="971"/>
      <c r="BW4" s="971"/>
      <c r="BX4" s="971"/>
    </row>
    <row r="5" spans="1:76" ht="21.75" customHeight="1">
      <c r="A5" s="971" t="s">
        <v>478</v>
      </c>
      <c r="B5" s="971"/>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c r="AM5" s="971"/>
      <c r="AN5" s="971"/>
      <c r="AO5" s="971"/>
      <c r="AP5" s="971"/>
      <c r="AQ5" s="971"/>
      <c r="AR5" s="971"/>
      <c r="AS5" s="971"/>
      <c r="AT5" s="971"/>
      <c r="AU5" s="971"/>
      <c r="AV5" s="971"/>
      <c r="AW5" s="971"/>
      <c r="AX5" s="971"/>
      <c r="AY5" s="971"/>
      <c r="AZ5" s="971"/>
      <c r="BA5" s="971"/>
      <c r="BB5" s="971"/>
      <c r="BC5" s="971"/>
      <c r="BD5" s="971"/>
      <c r="BE5" s="971"/>
      <c r="BF5" s="971"/>
      <c r="BG5" s="971"/>
      <c r="BH5" s="971"/>
      <c r="BI5" s="971"/>
      <c r="BJ5" s="971"/>
      <c r="BK5" s="971"/>
      <c r="BL5" s="971"/>
      <c r="BM5" s="971"/>
      <c r="BN5" s="971"/>
      <c r="BO5" s="971"/>
      <c r="BP5" s="971"/>
      <c r="BQ5" s="971"/>
      <c r="BR5" s="971"/>
      <c r="BS5" s="971"/>
      <c r="BT5" s="971"/>
      <c r="BU5" s="971"/>
      <c r="BV5" s="971"/>
      <c r="BW5" s="971"/>
      <c r="BX5" s="971"/>
    </row>
    <row r="6" spans="1:76" ht="21.75" customHeight="1">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row>
    <row r="7" spans="1:76" ht="21.75"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row>
    <row r="8" spans="1:76" ht="21.7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12"/>
      <c r="AN8" s="20"/>
      <c r="AO8" s="20"/>
      <c r="AP8" s="20"/>
      <c r="AQ8" s="20"/>
      <c r="AR8" s="20"/>
      <c r="AS8" s="20"/>
      <c r="AT8" s="20"/>
      <c r="AU8" s="20"/>
      <c r="AV8" s="20"/>
      <c r="AW8" s="20"/>
      <c r="AX8" s="20"/>
      <c r="AY8" s="20"/>
      <c r="AZ8" s="20"/>
      <c r="BA8" s="20"/>
      <c r="BB8" s="20"/>
      <c r="BC8" s="20"/>
    </row>
    <row r="9" spans="1:76" ht="21.75" customHeight="1">
      <c r="A9" s="973" t="s">
        <v>1385</v>
      </c>
      <c r="B9" s="974"/>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4"/>
      <c r="AK9" s="974"/>
      <c r="AL9" s="974"/>
      <c r="AM9" s="974"/>
      <c r="AN9" s="974"/>
      <c r="AO9" s="974"/>
      <c r="AP9" s="974"/>
      <c r="AQ9" s="974"/>
      <c r="AR9" s="974"/>
      <c r="AS9" s="974"/>
      <c r="AT9" s="974"/>
      <c r="AU9" s="974"/>
      <c r="AV9" s="974"/>
      <c r="AW9" s="974"/>
      <c r="AX9" s="974"/>
      <c r="AY9" s="974"/>
      <c r="AZ9" s="974"/>
      <c r="BA9" s="974"/>
      <c r="BB9" s="974"/>
      <c r="BC9" s="974"/>
    </row>
    <row r="10" spans="1:76" ht="21.75" customHeight="1">
      <c r="A10" s="978" t="s">
        <v>479</v>
      </c>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8"/>
      <c r="AQ10" s="978"/>
      <c r="AR10" s="978"/>
      <c r="AS10" s="978"/>
      <c r="AT10" s="978"/>
      <c r="AU10" s="978"/>
      <c r="AV10" s="978"/>
      <c r="AW10" s="978"/>
      <c r="AX10" s="978"/>
      <c r="AY10" s="978"/>
      <c r="AZ10" s="978"/>
      <c r="BA10" s="978"/>
      <c r="BB10" s="978"/>
      <c r="BC10" s="978"/>
    </row>
    <row r="11" spans="1:76" ht="21.75" customHeight="1">
      <c r="A11" s="973" t="s">
        <v>480</v>
      </c>
      <c r="B11" s="974"/>
      <c r="C11" s="974"/>
      <c r="D11" s="974"/>
      <c r="E11" s="974"/>
      <c r="F11" s="974"/>
      <c r="G11" s="974"/>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4"/>
      <c r="AK11" s="974"/>
      <c r="AL11" s="974"/>
      <c r="AM11" s="974"/>
      <c r="AN11" s="974"/>
      <c r="AO11" s="974"/>
      <c r="AP11" s="974"/>
      <c r="AQ11" s="974"/>
      <c r="AR11" s="974"/>
      <c r="AS11" s="974"/>
      <c r="AT11" s="974"/>
      <c r="AU11" s="974"/>
      <c r="AV11" s="974"/>
      <c r="AW11" s="974"/>
      <c r="AX11" s="974"/>
      <c r="AY11" s="974"/>
      <c r="AZ11" s="974"/>
      <c r="BA11" s="974"/>
      <c r="BB11" s="974"/>
      <c r="BC11" s="974"/>
    </row>
    <row r="12" spans="1:76" ht="21.75" customHeight="1">
      <c r="A12" s="978" t="s">
        <v>481</v>
      </c>
      <c r="B12" s="978"/>
      <c r="C12" s="978"/>
      <c r="D12" s="978"/>
      <c r="E12" s="978"/>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8"/>
      <c r="AL12" s="978"/>
      <c r="AM12" s="978"/>
      <c r="AN12" s="978"/>
      <c r="AO12" s="978"/>
      <c r="AP12" s="978"/>
      <c r="AQ12" s="978"/>
      <c r="AR12" s="978"/>
      <c r="AS12" s="978"/>
      <c r="AT12" s="978"/>
      <c r="AU12" s="978"/>
      <c r="AV12" s="978"/>
      <c r="AW12" s="978"/>
      <c r="AX12" s="978"/>
      <c r="AY12" s="978"/>
      <c r="AZ12" s="978"/>
      <c r="BA12" s="978"/>
      <c r="BB12" s="978"/>
      <c r="BC12" s="978"/>
    </row>
    <row r="13" spans="1:76" ht="23.25" customHeight="1">
      <c r="A13" s="980" t="s">
        <v>482</v>
      </c>
      <c r="B13" s="980"/>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c r="AK13" s="980"/>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0"/>
      <c r="BJ13" s="378"/>
      <c r="BK13" s="378"/>
      <c r="BL13" s="378"/>
    </row>
    <row r="14" spans="1:76" ht="33.75" customHeight="1">
      <c r="A14" s="978" t="s">
        <v>483</v>
      </c>
      <c r="B14" s="978"/>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8"/>
      <c r="AQ14" s="978"/>
      <c r="AR14" s="978"/>
      <c r="AS14" s="978"/>
      <c r="AT14" s="978"/>
      <c r="AU14" s="978"/>
      <c r="AV14" s="978"/>
      <c r="AW14" s="978"/>
      <c r="AX14" s="978"/>
      <c r="AY14" s="978"/>
      <c r="AZ14" s="978"/>
      <c r="BA14" s="978"/>
      <c r="BB14" s="978"/>
      <c r="BC14" s="978"/>
      <c r="BD14" s="978"/>
      <c r="BE14" s="978"/>
      <c r="BF14" s="978"/>
      <c r="BG14" s="978"/>
      <c r="BH14" s="978"/>
      <c r="BI14" s="978"/>
      <c r="BJ14" s="379"/>
      <c r="BK14" s="379"/>
      <c r="BL14" s="379"/>
    </row>
    <row r="15" spans="1:76" ht="23.25" customHeight="1">
      <c r="A15" s="973" t="s">
        <v>1383</v>
      </c>
      <c r="B15" s="973"/>
      <c r="C15" s="973"/>
      <c r="D15" s="973"/>
      <c r="E15" s="973"/>
      <c r="F15" s="973"/>
      <c r="G15" s="973"/>
      <c r="H15" s="973"/>
      <c r="I15" s="973"/>
      <c r="J15" s="973"/>
      <c r="K15" s="973"/>
      <c r="L15" s="973"/>
      <c r="M15" s="973"/>
      <c r="N15" s="973"/>
      <c r="O15" s="973"/>
      <c r="P15" s="973"/>
      <c r="Q15" s="973"/>
      <c r="R15" s="973"/>
      <c r="S15" s="973"/>
      <c r="T15" s="973"/>
      <c r="U15" s="973"/>
      <c r="V15" s="973"/>
      <c r="W15" s="973"/>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3"/>
      <c r="AV15" s="973"/>
      <c r="AW15" s="973"/>
      <c r="AX15" s="973"/>
      <c r="AY15" s="973"/>
      <c r="AZ15" s="973"/>
      <c r="BA15" s="973"/>
      <c r="BB15" s="973"/>
      <c r="BC15" s="973"/>
    </row>
    <row r="16" spans="1:76" ht="39" customHeight="1">
      <c r="A16" s="978" t="s">
        <v>484</v>
      </c>
      <c r="B16" s="978"/>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8"/>
      <c r="AQ16" s="978"/>
      <c r="AR16" s="978"/>
      <c r="AS16" s="978"/>
      <c r="AT16" s="978"/>
      <c r="AU16" s="978"/>
      <c r="AV16" s="978"/>
      <c r="AW16" s="978"/>
      <c r="AX16" s="978"/>
      <c r="AY16" s="978"/>
      <c r="AZ16" s="978"/>
      <c r="BA16" s="978"/>
      <c r="BB16" s="978"/>
      <c r="BC16" s="978"/>
    </row>
    <row r="17" spans="1:76" ht="22.5" customHeight="1">
      <c r="A17" s="973" t="s">
        <v>1384</v>
      </c>
      <c r="B17" s="973"/>
      <c r="C17" s="973"/>
      <c r="D17" s="973"/>
      <c r="E17" s="973"/>
      <c r="F17" s="973"/>
      <c r="G17" s="973"/>
      <c r="H17" s="973"/>
      <c r="I17" s="973"/>
      <c r="J17" s="973"/>
      <c r="K17" s="973"/>
      <c r="L17" s="973"/>
      <c r="M17" s="973"/>
      <c r="N17" s="973"/>
      <c r="O17" s="973"/>
      <c r="P17" s="973"/>
      <c r="Q17" s="973"/>
      <c r="R17" s="973"/>
      <c r="S17" s="973"/>
      <c r="T17" s="973"/>
      <c r="U17" s="973"/>
      <c r="V17" s="973"/>
      <c r="W17" s="973"/>
      <c r="X17" s="973"/>
      <c r="Y17" s="973"/>
      <c r="Z17" s="973"/>
      <c r="AA17" s="973"/>
      <c r="AB17" s="973"/>
      <c r="AC17" s="973"/>
      <c r="AD17" s="973"/>
      <c r="AE17" s="973"/>
      <c r="AF17" s="973"/>
      <c r="AG17" s="973"/>
      <c r="AH17" s="973"/>
      <c r="AI17" s="973"/>
      <c r="AJ17" s="973"/>
      <c r="AK17" s="973"/>
      <c r="AL17" s="973"/>
      <c r="AM17" s="973"/>
      <c r="AN17" s="973"/>
      <c r="AO17" s="973"/>
      <c r="AP17" s="973"/>
      <c r="AQ17" s="973"/>
      <c r="AR17" s="973"/>
      <c r="AS17" s="973"/>
      <c r="AT17" s="973"/>
      <c r="AU17" s="973"/>
      <c r="AV17" s="973"/>
      <c r="AW17" s="973"/>
      <c r="AX17" s="973"/>
      <c r="AY17" s="973"/>
      <c r="AZ17" s="973"/>
      <c r="BA17" s="973"/>
      <c r="BB17" s="973"/>
      <c r="BC17" s="973"/>
    </row>
    <row r="18" spans="1:76" ht="21.75" customHeight="1">
      <c r="A18" s="978" t="s">
        <v>485</v>
      </c>
      <c r="B18" s="978"/>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8"/>
      <c r="AQ18" s="978"/>
      <c r="AR18" s="978"/>
      <c r="AS18" s="978"/>
      <c r="AT18" s="978"/>
      <c r="AU18" s="978"/>
      <c r="AV18" s="978"/>
      <c r="AW18" s="978"/>
      <c r="AX18" s="978"/>
      <c r="AY18" s="978"/>
      <c r="AZ18" s="978"/>
      <c r="BA18" s="978"/>
      <c r="BB18" s="978"/>
      <c r="BC18" s="978"/>
    </row>
    <row r="19" spans="1:76" ht="21.7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row>
    <row r="20" spans="1:76" ht="18.75" customHeight="1">
      <c r="A20" s="977"/>
      <c r="B20" s="977"/>
      <c r="C20" s="977"/>
      <c r="D20" s="977"/>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977"/>
      <c r="AY20" s="977"/>
      <c r="AZ20" s="977"/>
      <c r="BA20" s="977"/>
      <c r="BB20" s="977"/>
      <c r="BC20" s="977"/>
      <c r="BD20" s="977"/>
      <c r="BE20" s="977"/>
      <c r="BF20" s="977"/>
      <c r="BG20" s="977"/>
      <c r="BH20" s="977"/>
      <c r="BI20" s="977"/>
      <c r="BJ20" s="977"/>
      <c r="BK20" s="977"/>
      <c r="BL20" s="977"/>
      <c r="BM20" s="977"/>
      <c r="BN20" s="977"/>
      <c r="BO20" s="977"/>
      <c r="BP20" s="977"/>
      <c r="BQ20" s="977"/>
      <c r="BR20" s="977"/>
      <c r="BS20" s="977"/>
      <c r="BT20" s="977"/>
      <c r="BU20" s="977"/>
      <c r="BV20" s="977"/>
      <c r="BW20" s="977"/>
      <c r="BX20" s="977"/>
    </row>
    <row r="21" spans="1:76" ht="4.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row>
    <row r="22" spans="1:76" ht="75" customHeight="1">
      <c r="A22" s="975"/>
      <c r="B22" s="975"/>
      <c r="C22" s="975"/>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5"/>
      <c r="AZ22" s="975"/>
      <c r="BA22" s="975"/>
      <c r="BB22" s="975"/>
      <c r="BC22" s="975"/>
      <c r="BD22" s="975"/>
      <c r="BE22" s="975"/>
      <c r="BF22" s="975"/>
      <c r="BG22" s="975"/>
      <c r="BH22" s="975"/>
      <c r="BI22" s="975"/>
      <c r="BJ22" s="975"/>
      <c r="BK22" s="975"/>
      <c r="BL22" s="975"/>
      <c r="BM22" s="975"/>
      <c r="BN22" s="975"/>
      <c r="BO22" s="975"/>
      <c r="BP22" s="975"/>
      <c r="BQ22" s="975"/>
      <c r="BR22" s="975"/>
      <c r="BS22" s="975"/>
      <c r="BT22" s="975"/>
      <c r="BU22" s="975"/>
      <c r="BV22" s="975"/>
      <c r="BW22" s="975"/>
      <c r="BX22" s="975"/>
    </row>
    <row r="23" spans="1:76" ht="127.5" customHeight="1">
      <c r="A23" s="975"/>
      <c r="B23" s="975"/>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5"/>
      <c r="AZ23" s="975"/>
      <c r="BA23" s="975"/>
      <c r="BB23" s="975"/>
      <c r="BC23" s="975"/>
      <c r="BD23" s="975"/>
      <c r="BE23" s="975"/>
      <c r="BF23" s="975"/>
      <c r="BG23" s="975"/>
      <c r="BH23" s="975"/>
      <c r="BI23" s="975"/>
      <c r="BJ23" s="975"/>
      <c r="BK23" s="975"/>
      <c r="BL23" s="975"/>
      <c r="BM23" s="975"/>
      <c r="BN23" s="975"/>
      <c r="BO23" s="975"/>
      <c r="BP23" s="975"/>
      <c r="BQ23" s="975"/>
      <c r="BR23" s="975"/>
      <c r="BS23" s="975"/>
      <c r="BT23" s="975"/>
      <c r="BU23" s="975"/>
      <c r="BV23" s="975"/>
      <c r="BW23" s="975"/>
      <c r="BX23" s="975"/>
    </row>
    <row r="24" spans="1:76" ht="75" customHeight="1">
      <c r="A24" s="975"/>
      <c r="B24" s="975"/>
      <c r="C24" s="975"/>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5"/>
      <c r="BH24" s="975"/>
      <c r="BI24" s="975"/>
      <c r="BJ24" s="975"/>
      <c r="BK24" s="975"/>
      <c r="BL24" s="975"/>
      <c r="BM24" s="975"/>
      <c r="BN24" s="975"/>
      <c r="BO24" s="975"/>
      <c r="BP24" s="975"/>
      <c r="BQ24" s="975"/>
      <c r="BR24" s="975"/>
      <c r="BS24" s="975"/>
      <c r="BT24" s="975"/>
      <c r="BU24" s="975"/>
      <c r="BV24" s="975"/>
      <c r="BW24" s="975"/>
      <c r="BX24" s="975"/>
    </row>
    <row r="25" spans="1:76" ht="36.75" customHeight="1">
      <c r="A25" s="976"/>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976"/>
      <c r="BK25" s="976"/>
      <c r="BL25" s="976"/>
      <c r="BM25" s="976"/>
      <c r="BN25" s="976"/>
      <c r="BO25" s="976"/>
      <c r="BP25" s="976"/>
      <c r="BQ25" s="976"/>
      <c r="BR25" s="976"/>
      <c r="BS25" s="976"/>
      <c r="BT25" s="976"/>
      <c r="BU25" s="976"/>
      <c r="BV25" s="976"/>
      <c r="BW25" s="976"/>
      <c r="BX25" s="976"/>
    </row>
    <row r="26" spans="1:76" ht="91.5" customHeight="1">
      <c r="A26" s="976"/>
      <c r="B26" s="976"/>
      <c r="C26" s="976"/>
      <c r="D26" s="976"/>
      <c r="E26" s="976"/>
      <c r="F26" s="976"/>
      <c r="G26" s="976"/>
      <c r="H26" s="976"/>
      <c r="I26" s="976"/>
      <c r="J26" s="976"/>
      <c r="K26" s="976"/>
      <c r="L26" s="976"/>
      <c r="M26" s="976"/>
      <c r="N26" s="976"/>
      <c r="O26" s="976"/>
      <c r="P26" s="976"/>
      <c r="Q26" s="976"/>
      <c r="R26" s="976"/>
      <c r="S26" s="976"/>
      <c r="T26" s="976"/>
      <c r="U26" s="976"/>
      <c r="V26" s="976"/>
      <c r="W26" s="976"/>
      <c r="X26" s="976"/>
      <c r="Y26" s="976"/>
      <c r="Z26" s="976"/>
      <c r="AA26" s="976"/>
      <c r="AB26" s="976"/>
      <c r="AC26" s="976"/>
      <c r="AD26" s="976"/>
      <c r="AE26" s="976"/>
      <c r="AF26" s="976"/>
      <c r="AG26" s="976"/>
      <c r="AH26" s="976"/>
      <c r="AI26" s="976"/>
      <c r="AJ26" s="976"/>
      <c r="AK26" s="976"/>
      <c r="AL26" s="976"/>
      <c r="AM26" s="976"/>
      <c r="AN26" s="976"/>
      <c r="AO26" s="976"/>
      <c r="AP26" s="976"/>
      <c r="AQ26" s="976"/>
      <c r="AR26" s="976"/>
      <c r="AS26" s="976"/>
      <c r="AT26" s="976"/>
      <c r="AU26" s="976"/>
      <c r="AV26" s="976"/>
      <c r="AW26" s="976"/>
      <c r="AX26" s="976"/>
      <c r="AY26" s="976"/>
      <c r="AZ26" s="976"/>
      <c r="BA26" s="976"/>
      <c r="BB26" s="976"/>
      <c r="BC26" s="976"/>
      <c r="BD26" s="976"/>
      <c r="BE26" s="976"/>
      <c r="BF26" s="976"/>
      <c r="BG26" s="976"/>
      <c r="BH26" s="976"/>
      <c r="BI26" s="976"/>
      <c r="BJ26" s="976"/>
      <c r="BK26" s="976"/>
      <c r="BL26" s="976"/>
      <c r="BM26" s="976"/>
      <c r="BN26" s="976"/>
      <c r="BO26" s="976"/>
      <c r="BP26" s="976"/>
      <c r="BQ26" s="976"/>
      <c r="BR26" s="976"/>
      <c r="BS26" s="976"/>
      <c r="BT26" s="976"/>
      <c r="BU26" s="976"/>
      <c r="BV26" s="976"/>
      <c r="BW26" s="976"/>
      <c r="BX26" s="976"/>
    </row>
    <row r="27" spans="1:76" ht="37.5" customHeight="1">
      <c r="A27" s="975"/>
      <c r="B27" s="975"/>
      <c r="C27" s="975"/>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5"/>
      <c r="BC27" s="975"/>
      <c r="BD27" s="975"/>
      <c r="BE27" s="975"/>
      <c r="BF27" s="975"/>
      <c r="BG27" s="975"/>
      <c r="BH27" s="975"/>
      <c r="BI27" s="975"/>
      <c r="BJ27" s="975"/>
      <c r="BK27" s="975"/>
      <c r="BL27" s="975"/>
      <c r="BM27" s="975"/>
      <c r="BN27" s="975"/>
      <c r="BO27" s="975"/>
      <c r="BP27" s="975"/>
      <c r="BQ27" s="975"/>
      <c r="BR27" s="975"/>
      <c r="BS27" s="975"/>
      <c r="BT27" s="975"/>
      <c r="BU27" s="975"/>
      <c r="BV27" s="975"/>
      <c r="BW27" s="975"/>
      <c r="BX27" s="975"/>
    </row>
    <row r="28" spans="1:76" ht="58.5" customHeight="1">
      <c r="A28" s="975"/>
      <c r="B28" s="975"/>
      <c r="C28" s="975"/>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5"/>
      <c r="BC28" s="975"/>
      <c r="BD28" s="975"/>
      <c r="BE28" s="975"/>
      <c r="BF28" s="975"/>
      <c r="BG28" s="975"/>
      <c r="BH28" s="975"/>
      <c r="BI28" s="975"/>
      <c r="BJ28" s="975"/>
      <c r="BK28" s="975"/>
      <c r="BL28" s="975"/>
      <c r="BM28" s="975"/>
      <c r="BN28" s="975"/>
      <c r="BO28" s="975"/>
      <c r="BP28" s="975"/>
      <c r="BQ28" s="975"/>
      <c r="BR28" s="975"/>
      <c r="BS28" s="975"/>
      <c r="BT28" s="975"/>
      <c r="BU28" s="975"/>
      <c r="BV28" s="975"/>
      <c r="BW28" s="975"/>
      <c r="BX28" s="975"/>
    </row>
    <row r="29" spans="1:76" ht="58.5" customHeight="1">
      <c r="A29" s="975"/>
      <c r="B29" s="975"/>
      <c r="C29" s="975"/>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5"/>
      <c r="AZ29" s="975"/>
      <c r="BA29" s="975"/>
      <c r="BB29" s="975"/>
      <c r="BC29" s="975"/>
      <c r="BD29" s="975"/>
      <c r="BE29" s="975"/>
      <c r="BF29" s="975"/>
      <c r="BG29" s="975"/>
      <c r="BH29" s="975"/>
      <c r="BI29" s="975"/>
      <c r="BJ29" s="975"/>
      <c r="BK29" s="975"/>
      <c r="BL29" s="975"/>
      <c r="BM29" s="975"/>
      <c r="BN29" s="975"/>
      <c r="BO29" s="975"/>
      <c r="BP29" s="975"/>
      <c r="BQ29" s="975"/>
      <c r="BR29" s="975"/>
      <c r="BS29" s="975"/>
      <c r="BT29" s="975"/>
      <c r="BU29" s="975"/>
      <c r="BV29" s="975"/>
      <c r="BW29" s="975"/>
      <c r="BX29" s="975"/>
    </row>
    <row r="30" spans="1:76" ht="42" customHeight="1">
      <c r="A30" s="975"/>
      <c r="B30" s="975"/>
      <c r="C30" s="975"/>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c r="AV30" s="975"/>
      <c r="AW30" s="975"/>
      <c r="AX30" s="975"/>
      <c r="AY30" s="975"/>
      <c r="AZ30" s="975"/>
      <c r="BA30" s="975"/>
      <c r="BB30" s="975"/>
      <c r="BC30" s="975"/>
      <c r="BD30" s="975"/>
      <c r="BE30" s="975"/>
      <c r="BF30" s="975"/>
      <c r="BG30" s="975"/>
      <c r="BH30" s="975"/>
      <c r="BI30" s="975"/>
      <c r="BJ30" s="975"/>
      <c r="BK30" s="975"/>
      <c r="BL30" s="975"/>
      <c r="BM30" s="975"/>
      <c r="BN30" s="975"/>
      <c r="BO30" s="975"/>
      <c r="BP30" s="975"/>
      <c r="BQ30" s="975"/>
      <c r="BR30" s="975"/>
      <c r="BS30" s="975"/>
      <c r="BT30" s="975"/>
      <c r="BU30" s="975"/>
      <c r="BV30" s="975"/>
      <c r="BW30" s="975"/>
      <c r="BX30" s="975"/>
    </row>
    <row r="31" spans="1:76" ht="42" customHeight="1">
      <c r="A31" s="975"/>
      <c r="B31" s="975"/>
      <c r="C31" s="975"/>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5"/>
      <c r="AZ31" s="975"/>
      <c r="BA31" s="975"/>
      <c r="BB31" s="975"/>
      <c r="BC31" s="975"/>
      <c r="BD31" s="975"/>
      <c r="BE31" s="975"/>
      <c r="BF31" s="975"/>
      <c r="BG31" s="975"/>
      <c r="BH31" s="975"/>
      <c r="BI31" s="975"/>
      <c r="BJ31" s="975"/>
      <c r="BK31" s="975"/>
      <c r="BL31" s="975"/>
      <c r="BM31" s="975"/>
      <c r="BN31" s="975"/>
      <c r="BO31" s="975"/>
      <c r="BP31" s="975"/>
      <c r="BQ31" s="975"/>
      <c r="BR31" s="975"/>
      <c r="BS31" s="975"/>
      <c r="BT31" s="975"/>
      <c r="BU31" s="975"/>
      <c r="BV31" s="975"/>
      <c r="BW31" s="975"/>
      <c r="BX31" s="975"/>
    </row>
    <row r="32" spans="1:76" ht="106.5" customHeight="1">
      <c r="A32" s="975"/>
      <c r="B32" s="975"/>
      <c r="C32" s="975"/>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975"/>
      <c r="AU32" s="975"/>
      <c r="AV32" s="975"/>
      <c r="AW32" s="975"/>
      <c r="AX32" s="975"/>
      <c r="AY32" s="975"/>
      <c r="AZ32" s="975"/>
      <c r="BA32" s="975"/>
      <c r="BB32" s="975"/>
      <c r="BC32" s="975"/>
      <c r="BD32" s="975"/>
      <c r="BE32" s="975"/>
      <c r="BF32" s="975"/>
      <c r="BG32" s="975"/>
      <c r="BH32" s="975"/>
      <c r="BI32" s="975"/>
      <c r="BJ32" s="975"/>
      <c r="BK32" s="975"/>
      <c r="BL32" s="975"/>
      <c r="BM32" s="975"/>
      <c r="BN32" s="975"/>
      <c r="BO32" s="975"/>
      <c r="BP32" s="975"/>
      <c r="BQ32" s="975"/>
      <c r="BR32" s="975"/>
      <c r="BS32" s="975"/>
      <c r="BT32" s="975"/>
      <c r="BU32" s="975"/>
      <c r="BV32" s="975"/>
      <c r="BW32" s="975"/>
      <c r="BX32" s="975"/>
    </row>
    <row r="33" spans="1:76" ht="42.75" customHeight="1">
      <c r="A33" s="979"/>
      <c r="B33" s="979"/>
      <c r="C33" s="979"/>
      <c r="D33" s="979"/>
      <c r="E33" s="979"/>
      <c r="F33" s="979"/>
      <c r="G33" s="979"/>
      <c r="H33" s="979"/>
      <c r="I33" s="979"/>
      <c r="J33" s="979"/>
      <c r="K33" s="979"/>
      <c r="L33" s="979"/>
      <c r="M33" s="979"/>
      <c r="N33" s="979"/>
      <c r="O33" s="979"/>
      <c r="P33" s="979"/>
      <c r="Q33" s="979"/>
      <c r="R33" s="979"/>
      <c r="S33" s="979"/>
      <c r="T33" s="979"/>
      <c r="U33" s="979"/>
      <c r="V33" s="979"/>
      <c r="W33" s="979"/>
      <c r="X33" s="979"/>
      <c r="Y33" s="979"/>
      <c r="Z33" s="979"/>
      <c r="AA33" s="979"/>
      <c r="AB33" s="979"/>
      <c r="AC33" s="979"/>
      <c r="AD33" s="979"/>
      <c r="AE33" s="979"/>
      <c r="AF33" s="979"/>
      <c r="AG33" s="979"/>
      <c r="AH33" s="979"/>
      <c r="AI33" s="979"/>
      <c r="AJ33" s="979"/>
      <c r="AK33" s="979"/>
      <c r="AL33" s="979"/>
      <c r="AM33" s="979"/>
      <c r="AN33" s="979"/>
      <c r="AO33" s="979"/>
      <c r="AP33" s="979"/>
      <c r="AQ33" s="979"/>
      <c r="AR33" s="979"/>
      <c r="AS33" s="979"/>
      <c r="AT33" s="979"/>
      <c r="AU33" s="979"/>
      <c r="AV33" s="979"/>
      <c r="AW33" s="979"/>
      <c r="AX33" s="979"/>
      <c r="AY33" s="979"/>
      <c r="AZ33" s="979"/>
      <c r="BA33" s="979"/>
      <c r="BB33" s="979"/>
      <c r="BC33" s="979"/>
      <c r="BD33" s="979"/>
      <c r="BE33" s="979"/>
      <c r="BF33" s="979"/>
      <c r="BG33" s="979"/>
      <c r="BH33" s="979"/>
      <c r="BI33" s="979"/>
      <c r="BJ33" s="979"/>
      <c r="BK33" s="979"/>
      <c r="BL33" s="979"/>
      <c r="BM33" s="979"/>
      <c r="BN33" s="979"/>
      <c r="BO33" s="979"/>
      <c r="BP33" s="979"/>
      <c r="BQ33" s="979"/>
      <c r="BR33" s="979"/>
      <c r="BS33" s="979"/>
      <c r="BT33" s="979"/>
      <c r="BU33" s="979"/>
      <c r="BV33" s="979"/>
      <c r="BW33" s="979"/>
      <c r="BX33" s="979"/>
    </row>
    <row r="34" spans="1:76" ht="116.25" customHeight="1">
      <c r="A34" s="975"/>
      <c r="B34" s="975"/>
      <c r="C34" s="975"/>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5"/>
      <c r="AX34" s="975"/>
      <c r="AY34" s="975"/>
      <c r="AZ34" s="975"/>
      <c r="BA34" s="975"/>
      <c r="BB34" s="975"/>
      <c r="BC34" s="975"/>
      <c r="BD34" s="975"/>
      <c r="BE34" s="975"/>
      <c r="BF34" s="975"/>
      <c r="BG34" s="975"/>
      <c r="BH34" s="975"/>
      <c r="BI34" s="975"/>
      <c r="BJ34" s="975"/>
      <c r="BK34" s="975"/>
      <c r="BL34" s="975"/>
      <c r="BM34" s="975"/>
      <c r="BN34" s="975"/>
      <c r="BO34" s="975"/>
      <c r="BP34" s="975"/>
      <c r="BQ34" s="975"/>
      <c r="BR34" s="975"/>
      <c r="BS34" s="975"/>
      <c r="BT34" s="975"/>
      <c r="BU34" s="975"/>
      <c r="BV34" s="975"/>
      <c r="BW34" s="975"/>
      <c r="BX34" s="975"/>
    </row>
    <row r="35" spans="1:76" ht="119.25" customHeight="1">
      <c r="A35" s="975"/>
      <c r="B35" s="975"/>
      <c r="C35" s="975"/>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5"/>
      <c r="AX35" s="975"/>
      <c r="AY35" s="975"/>
      <c r="AZ35" s="975"/>
      <c r="BA35" s="975"/>
      <c r="BB35" s="975"/>
      <c r="BC35" s="975"/>
      <c r="BD35" s="975"/>
      <c r="BE35" s="975"/>
      <c r="BF35" s="975"/>
      <c r="BG35" s="975"/>
      <c r="BH35" s="975"/>
      <c r="BI35" s="975"/>
      <c r="BJ35" s="975"/>
      <c r="BK35" s="975"/>
      <c r="BL35" s="975"/>
      <c r="BM35" s="975"/>
      <c r="BN35" s="975"/>
      <c r="BO35" s="975"/>
      <c r="BP35" s="975"/>
      <c r="BQ35" s="975"/>
      <c r="BR35" s="975"/>
      <c r="BS35" s="975"/>
      <c r="BT35" s="975"/>
      <c r="BU35" s="975"/>
      <c r="BV35" s="975"/>
      <c r="BW35" s="975"/>
      <c r="BX35" s="975"/>
    </row>
    <row r="36" spans="1:76" ht="57.75" customHeight="1">
      <c r="A36" s="975"/>
      <c r="B36" s="975"/>
      <c r="C36" s="975"/>
      <c r="D36" s="975"/>
      <c r="E36" s="975"/>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75"/>
      <c r="AR36" s="975"/>
      <c r="AS36" s="975"/>
      <c r="AT36" s="975"/>
      <c r="AU36" s="975"/>
      <c r="AV36" s="975"/>
      <c r="AW36" s="975"/>
      <c r="AX36" s="975"/>
      <c r="AY36" s="975"/>
      <c r="AZ36" s="975"/>
      <c r="BA36" s="975"/>
      <c r="BB36" s="975"/>
      <c r="BC36" s="975"/>
      <c r="BD36" s="975"/>
      <c r="BE36" s="975"/>
      <c r="BF36" s="975"/>
      <c r="BG36" s="975"/>
      <c r="BH36" s="975"/>
      <c r="BI36" s="975"/>
      <c r="BJ36" s="975"/>
      <c r="BK36" s="975"/>
      <c r="BL36" s="975"/>
      <c r="BM36" s="975"/>
      <c r="BN36" s="975"/>
      <c r="BO36" s="975"/>
      <c r="BP36" s="975"/>
      <c r="BQ36" s="975"/>
      <c r="BR36" s="975"/>
      <c r="BS36" s="975"/>
      <c r="BT36" s="975"/>
      <c r="BU36" s="975"/>
      <c r="BV36" s="975"/>
      <c r="BW36" s="975"/>
      <c r="BX36" s="975"/>
    </row>
    <row r="37" spans="1:76" ht="9.75" customHeight="1">
      <c r="A37" s="972"/>
      <c r="B37" s="972"/>
      <c r="C37" s="972"/>
      <c r="D37" s="972"/>
      <c r="E37" s="972"/>
      <c r="F37" s="972"/>
      <c r="G37" s="972"/>
      <c r="H37" s="972"/>
      <c r="I37" s="972"/>
      <c r="J37" s="972"/>
      <c r="K37" s="972"/>
      <c r="L37" s="972"/>
      <c r="M37" s="972"/>
      <c r="N37" s="972"/>
      <c r="O37" s="972"/>
      <c r="P37" s="972"/>
      <c r="Q37" s="972"/>
      <c r="R37" s="972"/>
      <c r="S37" s="972"/>
      <c r="T37" s="972"/>
      <c r="U37" s="972"/>
      <c r="V37" s="972"/>
      <c r="W37" s="972"/>
      <c r="X37" s="972"/>
      <c r="Y37" s="972"/>
      <c r="Z37" s="972"/>
      <c r="AA37" s="972"/>
      <c r="AB37" s="972"/>
      <c r="AC37" s="972"/>
      <c r="AD37" s="972"/>
      <c r="AE37" s="972"/>
      <c r="AF37" s="972"/>
      <c r="AG37" s="972"/>
      <c r="AH37" s="972"/>
      <c r="AI37" s="972"/>
      <c r="AJ37" s="972"/>
      <c r="AK37" s="972"/>
      <c r="AL37" s="972"/>
      <c r="AM37" s="972"/>
      <c r="AN37" s="972"/>
      <c r="AO37" s="972"/>
      <c r="AP37" s="972"/>
      <c r="AQ37" s="972"/>
      <c r="AR37" s="972"/>
      <c r="AS37" s="972"/>
      <c r="AT37" s="972"/>
      <c r="AU37" s="972"/>
      <c r="AV37" s="972"/>
      <c r="AW37" s="972"/>
      <c r="AX37" s="972"/>
      <c r="AY37" s="972"/>
      <c r="AZ37" s="972"/>
      <c r="BA37" s="972"/>
      <c r="BB37" s="972"/>
      <c r="BC37" s="972"/>
      <c r="BD37" s="972"/>
      <c r="BE37" s="972"/>
      <c r="BF37" s="972"/>
      <c r="BG37" s="972"/>
      <c r="BH37" s="972"/>
      <c r="BI37" s="972"/>
      <c r="BJ37" s="972"/>
      <c r="BK37" s="972"/>
      <c r="BL37" s="972"/>
      <c r="BM37" s="972"/>
      <c r="BN37" s="972"/>
      <c r="BO37" s="972"/>
      <c r="BP37" s="972"/>
      <c r="BQ37" s="972"/>
      <c r="BR37" s="972"/>
      <c r="BS37" s="972"/>
      <c r="BT37" s="972"/>
      <c r="BU37" s="972"/>
      <c r="BV37" s="972"/>
      <c r="BW37" s="972"/>
      <c r="BX37" s="972"/>
    </row>
    <row r="38" spans="1:76" ht="18.75" customHeight="1">
      <c r="A38" s="971"/>
      <c r="B38" s="971"/>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971"/>
      <c r="AX38" s="971"/>
      <c r="AY38" s="971"/>
      <c r="AZ38" s="971"/>
      <c r="BA38" s="971"/>
      <c r="BB38" s="971"/>
      <c r="BC38" s="971"/>
      <c r="BD38" s="971"/>
      <c r="BE38" s="971"/>
      <c r="BF38" s="971"/>
      <c r="BG38" s="971"/>
      <c r="BH38" s="971"/>
      <c r="BI38" s="971"/>
      <c r="BJ38" s="971"/>
      <c r="BK38" s="971"/>
      <c r="BL38" s="971"/>
      <c r="BM38" s="971"/>
      <c r="BN38" s="971"/>
      <c r="BO38" s="971"/>
      <c r="BP38" s="971"/>
      <c r="BQ38" s="971"/>
      <c r="BR38" s="971"/>
      <c r="BS38" s="971"/>
      <c r="BT38" s="971"/>
      <c r="BU38" s="971"/>
      <c r="BV38" s="971"/>
      <c r="BW38" s="971"/>
      <c r="BX38" s="971"/>
    </row>
    <row r="39" spans="1:76" ht="2.25" customHeight="1">
      <c r="A39" s="972"/>
      <c r="B39" s="972"/>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2"/>
      <c r="AY39" s="972"/>
      <c r="AZ39" s="972"/>
      <c r="BA39" s="972"/>
      <c r="BB39" s="972"/>
      <c r="BC39" s="972"/>
      <c r="BD39" s="972"/>
      <c r="BE39" s="972"/>
      <c r="BF39" s="972"/>
      <c r="BG39" s="972"/>
      <c r="BH39" s="972"/>
      <c r="BI39" s="972"/>
      <c r="BJ39" s="972"/>
      <c r="BK39" s="972"/>
      <c r="BL39" s="972"/>
      <c r="BM39" s="972"/>
      <c r="BN39" s="972"/>
      <c r="BO39" s="972"/>
      <c r="BP39" s="972"/>
      <c r="BQ39" s="972"/>
      <c r="BR39" s="972"/>
      <c r="BS39" s="972"/>
      <c r="BT39" s="972"/>
      <c r="BU39" s="972"/>
      <c r="BV39" s="972"/>
      <c r="BW39" s="972"/>
      <c r="BX39" s="972"/>
    </row>
    <row r="40" spans="1:76" ht="18" customHeight="1">
      <c r="A40" s="975"/>
      <c r="B40" s="975"/>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c r="AO40" s="975"/>
      <c r="AP40" s="975"/>
      <c r="AQ40" s="975"/>
      <c r="AR40" s="975"/>
      <c r="AS40" s="975"/>
      <c r="AT40" s="975"/>
      <c r="AU40" s="975"/>
      <c r="AV40" s="975"/>
      <c r="AW40" s="975"/>
      <c r="AX40" s="975"/>
      <c r="AY40" s="975"/>
      <c r="AZ40" s="975"/>
      <c r="BA40" s="975"/>
      <c r="BB40" s="975"/>
      <c r="BC40" s="975"/>
      <c r="BD40" s="975"/>
      <c r="BE40" s="975"/>
      <c r="BF40" s="975"/>
      <c r="BG40" s="975"/>
      <c r="BH40" s="975"/>
      <c r="BI40" s="975"/>
      <c r="BJ40" s="975"/>
      <c r="BK40" s="975"/>
      <c r="BL40" s="975"/>
      <c r="BM40" s="975"/>
      <c r="BN40" s="975"/>
      <c r="BO40" s="975"/>
      <c r="BP40" s="975"/>
      <c r="BQ40" s="975"/>
      <c r="BR40" s="975"/>
      <c r="BS40" s="975"/>
      <c r="BT40" s="975"/>
      <c r="BU40" s="975"/>
      <c r="BV40" s="975"/>
      <c r="BW40" s="975"/>
      <c r="BX40" s="975"/>
    </row>
    <row r="41" spans="1:76" ht="116.25" customHeight="1">
      <c r="A41" s="975"/>
      <c r="B41" s="975"/>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5"/>
      <c r="AT41" s="975"/>
      <c r="AU41" s="975"/>
      <c r="AV41" s="975"/>
      <c r="AW41" s="975"/>
      <c r="AX41" s="975"/>
      <c r="AY41" s="975"/>
      <c r="AZ41" s="975"/>
      <c r="BA41" s="975"/>
      <c r="BB41" s="975"/>
      <c r="BC41" s="975"/>
      <c r="BD41" s="975"/>
      <c r="BE41" s="975"/>
      <c r="BF41" s="975"/>
      <c r="BG41" s="975"/>
      <c r="BH41" s="975"/>
      <c r="BI41" s="975"/>
      <c r="BJ41" s="975"/>
      <c r="BK41" s="975"/>
      <c r="BL41" s="975"/>
      <c r="BM41" s="975"/>
      <c r="BN41" s="975"/>
      <c r="BO41" s="975"/>
      <c r="BP41" s="975"/>
      <c r="BQ41" s="975"/>
      <c r="BR41" s="975"/>
      <c r="BS41" s="975"/>
      <c r="BT41" s="975"/>
      <c r="BU41" s="975"/>
      <c r="BV41" s="975"/>
      <c r="BW41" s="975"/>
      <c r="BX41" s="975"/>
    </row>
    <row r="42" spans="1:76" ht="57.75" customHeight="1">
      <c r="A42" s="975"/>
      <c r="B42" s="975"/>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c r="AO42" s="975"/>
      <c r="AP42" s="975"/>
      <c r="AQ42" s="975"/>
      <c r="AR42" s="975"/>
      <c r="AS42" s="975"/>
      <c r="AT42" s="975"/>
      <c r="AU42" s="975"/>
      <c r="AV42" s="975"/>
      <c r="AW42" s="975"/>
      <c r="AX42" s="975"/>
      <c r="AY42" s="975"/>
      <c r="AZ42" s="975"/>
      <c r="BA42" s="975"/>
      <c r="BB42" s="975"/>
      <c r="BC42" s="975"/>
      <c r="BD42" s="975"/>
      <c r="BE42" s="975"/>
      <c r="BF42" s="975"/>
      <c r="BG42" s="975"/>
      <c r="BH42" s="975"/>
      <c r="BI42" s="975"/>
      <c r="BJ42" s="975"/>
      <c r="BK42" s="975"/>
      <c r="BL42" s="975"/>
      <c r="BM42" s="975"/>
      <c r="BN42" s="975"/>
      <c r="BO42" s="975"/>
      <c r="BP42" s="975"/>
      <c r="BQ42" s="975"/>
      <c r="BR42" s="975"/>
      <c r="BS42" s="975"/>
      <c r="BT42" s="975"/>
      <c r="BU42" s="975"/>
      <c r="BV42" s="975"/>
      <c r="BW42" s="975"/>
      <c r="BX42" s="975"/>
    </row>
    <row r="43" spans="1:76" ht="16.5" customHeight="1">
      <c r="A43" s="975"/>
      <c r="B43" s="975"/>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5"/>
      <c r="AT43" s="975"/>
      <c r="AU43" s="975"/>
      <c r="AV43" s="975"/>
      <c r="AW43" s="975"/>
      <c r="AX43" s="975"/>
      <c r="AY43" s="975"/>
      <c r="AZ43" s="975"/>
      <c r="BA43" s="975"/>
      <c r="BB43" s="975"/>
      <c r="BC43" s="975"/>
      <c r="BD43" s="975"/>
      <c r="BE43" s="975"/>
      <c r="BF43" s="975"/>
      <c r="BG43" s="975"/>
      <c r="BH43" s="975"/>
      <c r="BI43" s="975"/>
      <c r="BJ43" s="975"/>
      <c r="BK43" s="975"/>
      <c r="BL43" s="975"/>
      <c r="BM43" s="975"/>
      <c r="BN43" s="975"/>
      <c r="BO43" s="975"/>
      <c r="BP43" s="975"/>
      <c r="BQ43" s="975"/>
      <c r="BR43" s="975"/>
      <c r="BS43" s="975"/>
      <c r="BT43" s="975"/>
      <c r="BU43" s="975"/>
      <c r="BV43" s="975"/>
      <c r="BW43" s="975"/>
      <c r="BX43" s="975"/>
    </row>
    <row r="44" spans="1:76" ht="39" customHeight="1">
      <c r="A44" s="975"/>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5"/>
      <c r="AT44" s="975"/>
      <c r="AU44" s="975"/>
      <c r="AV44" s="975"/>
      <c r="AW44" s="975"/>
      <c r="AX44" s="975"/>
      <c r="AY44" s="975"/>
      <c r="AZ44" s="975"/>
      <c r="BA44" s="975"/>
      <c r="BB44" s="975"/>
      <c r="BC44" s="975"/>
      <c r="BD44" s="975"/>
      <c r="BE44" s="975"/>
      <c r="BF44" s="975"/>
      <c r="BG44" s="975"/>
      <c r="BH44" s="975"/>
      <c r="BI44" s="975"/>
      <c r="BJ44" s="975"/>
      <c r="BK44" s="975"/>
      <c r="BL44" s="975"/>
      <c r="BM44" s="975"/>
      <c r="BN44" s="975"/>
      <c r="BO44" s="975"/>
      <c r="BP44" s="975"/>
      <c r="BQ44" s="975"/>
      <c r="BR44" s="975"/>
      <c r="BS44" s="975"/>
      <c r="BT44" s="975"/>
      <c r="BU44" s="975"/>
      <c r="BV44" s="975"/>
      <c r="BW44" s="975"/>
      <c r="BX44" s="975"/>
    </row>
    <row r="45" spans="1:76" ht="39" customHeight="1">
      <c r="A45" s="975"/>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5"/>
      <c r="AY45" s="975"/>
      <c r="AZ45" s="975"/>
      <c r="BA45" s="975"/>
      <c r="BB45" s="975"/>
      <c r="BC45" s="975"/>
      <c r="BD45" s="975"/>
      <c r="BE45" s="975"/>
      <c r="BF45" s="975"/>
      <c r="BG45" s="975"/>
      <c r="BH45" s="975"/>
      <c r="BI45" s="975"/>
      <c r="BJ45" s="975"/>
      <c r="BK45" s="975"/>
      <c r="BL45" s="975"/>
      <c r="BM45" s="975"/>
      <c r="BN45" s="975"/>
      <c r="BO45" s="975"/>
      <c r="BP45" s="975"/>
      <c r="BQ45" s="975"/>
      <c r="BR45" s="975"/>
      <c r="BS45" s="975"/>
      <c r="BT45" s="975"/>
      <c r="BU45" s="975"/>
      <c r="BV45" s="975"/>
      <c r="BW45" s="975"/>
      <c r="BX45" s="975"/>
    </row>
    <row r="46" spans="1:76" ht="36.75" customHeight="1">
      <c r="A46" s="975"/>
      <c r="B46" s="975"/>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c r="AM46" s="975"/>
      <c r="AN46" s="975"/>
      <c r="AO46" s="975"/>
      <c r="AP46" s="975"/>
      <c r="AQ46" s="975"/>
      <c r="AR46" s="975"/>
      <c r="AS46" s="975"/>
      <c r="AT46" s="975"/>
      <c r="AU46" s="975"/>
      <c r="AV46" s="975"/>
      <c r="AW46" s="975"/>
      <c r="AX46" s="975"/>
      <c r="AY46" s="975"/>
      <c r="AZ46" s="975"/>
      <c r="BA46" s="975"/>
      <c r="BB46" s="975"/>
      <c r="BC46" s="975"/>
      <c r="BD46" s="975"/>
      <c r="BE46" s="975"/>
      <c r="BF46" s="975"/>
      <c r="BG46" s="975"/>
      <c r="BH46" s="975"/>
      <c r="BI46" s="975"/>
      <c r="BJ46" s="975"/>
      <c r="BK46" s="975"/>
      <c r="BL46" s="975"/>
      <c r="BM46" s="975"/>
      <c r="BN46" s="975"/>
      <c r="BO46" s="975"/>
      <c r="BP46" s="975"/>
      <c r="BQ46" s="975"/>
      <c r="BR46" s="975"/>
      <c r="BS46" s="975"/>
      <c r="BT46" s="975"/>
      <c r="BU46" s="975"/>
      <c r="BV46" s="975"/>
      <c r="BW46" s="975"/>
      <c r="BX46" s="975"/>
    </row>
    <row r="47" spans="1:76" ht="231.75" customHeight="1">
      <c r="A47" s="975"/>
      <c r="B47" s="975"/>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5"/>
      <c r="AR47" s="975"/>
      <c r="AS47" s="975"/>
      <c r="AT47" s="975"/>
      <c r="AU47" s="975"/>
      <c r="AV47" s="975"/>
      <c r="AW47" s="975"/>
      <c r="AX47" s="975"/>
      <c r="AY47" s="975"/>
      <c r="AZ47" s="975"/>
      <c r="BA47" s="975"/>
      <c r="BB47" s="975"/>
      <c r="BC47" s="975"/>
      <c r="BD47" s="975"/>
      <c r="BE47" s="975"/>
      <c r="BF47" s="975"/>
      <c r="BG47" s="975"/>
      <c r="BH47" s="975"/>
      <c r="BI47" s="975"/>
      <c r="BJ47" s="975"/>
      <c r="BK47" s="975"/>
      <c r="BL47" s="975"/>
      <c r="BM47" s="975"/>
      <c r="BN47" s="975"/>
      <c r="BO47" s="975"/>
      <c r="BP47" s="975"/>
      <c r="BQ47" s="975"/>
      <c r="BR47" s="975"/>
      <c r="BS47" s="975"/>
      <c r="BT47" s="975"/>
      <c r="BU47" s="975"/>
      <c r="BV47" s="975"/>
      <c r="BW47" s="975"/>
      <c r="BX47" s="975"/>
    </row>
    <row r="48" spans="1:76" ht="131.25" customHeight="1">
      <c r="A48" s="975"/>
      <c r="B48" s="975"/>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5"/>
      <c r="AR48" s="975"/>
      <c r="AS48" s="975"/>
      <c r="AT48" s="975"/>
      <c r="AU48" s="975"/>
      <c r="AV48" s="975"/>
      <c r="AW48" s="975"/>
      <c r="AX48" s="975"/>
      <c r="AY48" s="975"/>
      <c r="AZ48" s="975"/>
      <c r="BA48" s="975"/>
      <c r="BB48" s="975"/>
      <c r="BC48" s="975"/>
      <c r="BD48" s="975"/>
      <c r="BE48" s="975"/>
      <c r="BF48" s="975"/>
      <c r="BG48" s="975"/>
      <c r="BH48" s="975"/>
      <c r="BI48" s="975"/>
      <c r="BJ48" s="975"/>
      <c r="BK48" s="975"/>
      <c r="BL48" s="975"/>
      <c r="BM48" s="975"/>
      <c r="BN48" s="975"/>
      <c r="BO48" s="975"/>
      <c r="BP48" s="975"/>
      <c r="BQ48" s="975"/>
      <c r="BR48" s="975"/>
      <c r="BS48" s="975"/>
      <c r="BT48" s="975"/>
      <c r="BU48" s="975"/>
      <c r="BV48" s="975"/>
      <c r="BW48" s="975"/>
      <c r="BX48" s="975"/>
    </row>
    <row r="49" spans="1:76" ht="77.25" customHeight="1">
      <c r="A49" s="975"/>
      <c r="B49" s="975"/>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c r="AM49" s="975"/>
      <c r="AN49" s="975"/>
      <c r="AO49" s="975"/>
      <c r="AP49" s="975"/>
      <c r="AQ49" s="975"/>
      <c r="AR49" s="975"/>
      <c r="AS49" s="975"/>
      <c r="AT49" s="975"/>
      <c r="AU49" s="975"/>
      <c r="AV49" s="975"/>
      <c r="AW49" s="975"/>
      <c r="AX49" s="975"/>
      <c r="AY49" s="975"/>
      <c r="AZ49" s="975"/>
      <c r="BA49" s="975"/>
      <c r="BB49" s="975"/>
      <c r="BC49" s="975"/>
      <c r="BD49" s="975"/>
      <c r="BE49" s="975"/>
      <c r="BF49" s="975"/>
      <c r="BG49" s="975"/>
      <c r="BH49" s="975"/>
      <c r="BI49" s="975"/>
      <c r="BJ49" s="975"/>
      <c r="BK49" s="975"/>
      <c r="BL49" s="975"/>
      <c r="BM49" s="975"/>
      <c r="BN49" s="975"/>
      <c r="BO49" s="975"/>
      <c r="BP49" s="975"/>
      <c r="BQ49" s="975"/>
      <c r="BR49" s="975"/>
      <c r="BS49" s="975"/>
      <c r="BT49" s="975"/>
      <c r="BU49" s="975"/>
      <c r="BV49" s="975"/>
      <c r="BW49" s="975"/>
      <c r="BX49" s="975"/>
    </row>
    <row r="50" spans="1:76" ht="57" customHeight="1">
      <c r="A50" s="975"/>
      <c r="B50" s="975"/>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5"/>
      <c r="AT50" s="975"/>
      <c r="AU50" s="975"/>
      <c r="AV50" s="975"/>
      <c r="AW50" s="975"/>
      <c r="AX50" s="975"/>
      <c r="AY50" s="975"/>
      <c r="AZ50" s="975"/>
      <c r="BA50" s="975"/>
      <c r="BB50" s="975"/>
      <c r="BC50" s="975"/>
      <c r="BD50" s="975"/>
      <c r="BE50" s="975"/>
      <c r="BF50" s="975"/>
      <c r="BG50" s="975"/>
      <c r="BH50" s="975"/>
      <c r="BI50" s="975"/>
      <c r="BJ50" s="975"/>
      <c r="BK50" s="975"/>
      <c r="BL50" s="975"/>
      <c r="BM50" s="975"/>
      <c r="BN50" s="975"/>
      <c r="BO50" s="975"/>
      <c r="BP50" s="975"/>
      <c r="BQ50" s="975"/>
      <c r="BR50" s="975"/>
      <c r="BS50" s="975"/>
      <c r="BT50" s="975"/>
      <c r="BU50" s="975"/>
      <c r="BV50" s="975"/>
      <c r="BW50" s="975"/>
      <c r="BX50" s="975"/>
    </row>
    <row r="51" spans="1:76" ht="180" customHeight="1">
      <c r="A51" s="975"/>
      <c r="B51" s="975"/>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5"/>
      <c r="AP51" s="975"/>
      <c r="AQ51" s="975"/>
      <c r="AR51" s="975"/>
      <c r="AS51" s="975"/>
      <c r="AT51" s="975"/>
      <c r="AU51" s="975"/>
      <c r="AV51" s="975"/>
      <c r="AW51" s="975"/>
      <c r="AX51" s="975"/>
      <c r="AY51" s="975"/>
      <c r="AZ51" s="975"/>
      <c r="BA51" s="975"/>
      <c r="BB51" s="975"/>
      <c r="BC51" s="975"/>
      <c r="BD51" s="975"/>
      <c r="BE51" s="975"/>
      <c r="BF51" s="975"/>
      <c r="BG51" s="975"/>
      <c r="BH51" s="975"/>
      <c r="BI51" s="975"/>
      <c r="BJ51" s="975"/>
      <c r="BK51" s="975"/>
      <c r="BL51" s="975"/>
      <c r="BM51" s="975"/>
      <c r="BN51" s="975"/>
      <c r="BO51" s="975"/>
      <c r="BP51" s="975"/>
      <c r="BQ51" s="975"/>
      <c r="BR51" s="975"/>
      <c r="BS51" s="975"/>
      <c r="BT51" s="975"/>
      <c r="BU51" s="975"/>
      <c r="BV51" s="975"/>
      <c r="BW51" s="975"/>
      <c r="BX51" s="975"/>
    </row>
    <row r="52" spans="1:76">
      <c r="A52" s="13"/>
      <c r="B52" s="13"/>
      <c r="C52" s="13"/>
      <c r="D52" s="13"/>
      <c r="E52" s="13"/>
      <c r="F52" s="13"/>
      <c r="G52" s="13"/>
      <c r="H52" s="13"/>
      <c r="I52" s="13"/>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row>
    <row r="53" spans="1:76">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1:76">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row>
    <row r="55" spans="1:76">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1:76">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row>
    <row r="57" spans="1:76">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row>
    <row r="58" spans="1:76">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row>
    <row r="59" spans="1:76">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row>
    <row r="60" spans="1:76">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row>
    <row r="61" spans="1:76">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row>
    <row r="62" spans="1:76">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row>
    <row r="63" spans="1:76">
      <c r="A63" s="21"/>
      <c r="B63" s="21"/>
      <c r="C63" s="21"/>
      <c r="D63" s="21"/>
      <c r="E63" s="21"/>
      <c r="F63" s="21"/>
      <c r="G63" s="21"/>
      <c r="H63" s="21"/>
      <c r="I63" s="21"/>
    </row>
    <row r="64" spans="1:76">
      <c r="A64" s="21"/>
      <c r="B64" s="21"/>
      <c r="C64" s="21"/>
      <c r="D64" s="21"/>
      <c r="E64" s="21"/>
      <c r="F64" s="21"/>
      <c r="G64" s="21"/>
      <c r="H64" s="21"/>
      <c r="I64" s="21"/>
    </row>
    <row r="65" spans="1:9">
      <c r="A65" s="21"/>
      <c r="B65" s="21"/>
      <c r="C65" s="21"/>
      <c r="D65" s="21"/>
      <c r="E65" s="21"/>
      <c r="F65" s="21"/>
      <c r="G65" s="21"/>
      <c r="H65" s="21"/>
      <c r="I65" s="21"/>
    </row>
    <row r="66" spans="1:9">
      <c r="A66" s="21"/>
      <c r="B66" s="21"/>
      <c r="C66" s="21"/>
      <c r="D66" s="21"/>
      <c r="E66" s="21"/>
      <c r="F66" s="21"/>
      <c r="G66" s="21"/>
      <c r="H66" s="21"/>
      <c r="I66" s="21"/>
    </row>
    <row r="67" spans="1:9">
      <c r="A67" s="21"/>
      <c r="B67" s="21"/>
      <c r="C67" s="21"/>
      <c r="D67" s="21"/>
      <c r="E67" s="21"/>
      <c r="F67" s="21"/>
      <c r="G67" s="21"/>
      <c r="H67" s="21"/>
      <c r="I67" s="21"/>
    </row>
    <row r="68" spans="1:9">
      <c r="A68" s="21"/>
      <c r="B68" s="21"/>
      <c r="C68" s="21"/>
      <c r="D68" s="21"/>
      <c r="E68" s="21"/>
      <c r="F68" s="21"/>
      <c r="G68" s="21"/>
      <c r="H68" s="21"/>
      <c r="I68" s="21"/>
    </row>
    <row r="69" spans="1:9">
      <c r="A69" s="21"/>
      <c r="B69" s="21"/>
      <c r="C69" s="21"/>
      <c r="D69" s="21"/>
      <c r="E69" s="21"/>
      <c r="F69" s="21"/>
      <c r="G69" s="21"/>
      <c r="H69" s="21"/>
      <c r="I69" s="21"/>
    </row>
    <row r="70" spans="1:9">
      <c r="A70" s="21"/>
      <c r="B70" s="21"/>
      <c r="C70" s="21"/>
      <c r="D70" s="21"/>
      <c r="E70" s="21"/>
      <c r="F70" s="21"/>
      <c r="G70" s="21"/>
      <c r="H70" s="21"/>
      <c r="I70" s="21"/>
    </row>
    <row r="71" spans="1:9">
      <c r="A71" s="21"/>
      <c r="B71" s="21"/>
      <c r="C71" s="21"/>
      <c r="D71" s="21"/>
      <c r="E71" s="21"/>
      <c r="F71" s="21"/>
      <c r="G71" s="21"/>
      <c r="H71" s="21"/>
      <c r="I71" s="21"/>
    </row>
    <row r="72" spans="1:9">
      <c r="A72" s="21"/>
      <c r="B72" s="21"/>
      <c r="C72" s="21"/>
      <c r="D72" s="21"/>
      <c r="E72" s="21"/>
      <c r="F72" s="21"/>
      <c r="G72" s="21"/>
      <c r="H72" s="21"/>
      <c r="I72" s="21"/>
    </row>
    <row r="73" spans="1:9">
      <c r="A73" s="21"/>
      <c r="B73" s="21"/>
      <c r="C73" s="21"/>
      <c r="D73" s="21"/>
      <c r="E73" s="21"/>
      <c r="F73" s="21"/>
      <c r="G73" s="21"/>
      <c r="H73" s="21"/>
      <c r="I73" s="21"/>
    </row>
    <row r="74" spans="1:9">
      <c r="A74" s="21"/>
      <c r="B74" s="21"/>
      <c r="C74" s="21"/>
      <c r="D74" s="21"/>
      <c r="E74" s="21"/>
      <c r="F74" s="21"/>
      <c r="G74" s="21"/>
      <c r="H74" s="21"/>
      <c r="I74" s="21"/>
    </row>
  </sheetData>
  <mergeCells count="45">
    <mergeCell ref="A40:BX40"/>
    <mergeCell ref="A39:BX39"/>
    <mergeCell ref="A18:BC18"/>
    <mergeCell ref="A49:BX49"/>
    <mergeCell ref="A50:BX50"/>
    <mergeCell ref="A35:BX35"/>
    <mergeCell ref="A38:BX38"/>
    <mergeCell ref="A36:BX36"/>
    <mergeCell ref="A51:BX51"/>
    <mergeCell ref="A41:BX41"/>
    <mergeCell ref="A45:BX45"/>
    <mergeCell ref="A46:BX46"/>
    <mergeCell ref="A47:BX47"/>
    <mergeCell ref="A42:BX42"/>
    <mergeCell ref="A43:BX43"/>
    <mergeCell ref="A44:BX44"/>
    <mergeCell ref="A48:BX48"/>
    <mergeCell ref="A10:BC10"/>
    <mergeCell ref="A22:BX22"/>
    <mergeCell ref="A33:BX33"/>
    <mergeCell ref="A34:BX34"/>
    <mergeCell ref="A23:BX23"/>
    <mergeCell ref="A28:BX28"/>
    <mergeCell ref="A13:BI13"/>
    <mergeCell ref="A14:BI14"/>
    <mergeCell ref="A29:BX29"/>
    <mergeCell ref="A30:BX30"/>
    <mergeCell ref="A31:BX31"/>
    <mergeCell ref="A32:BX32"/>
    <mergeCell ref="A2:BX2"/>
    <mergeCell ref="A3:BX3"/>
    <mergeCell ref="A4:BX4"/>
    <mergeCell ref="A5:BX5"/>
    <mergeCell ref="A37:BX37"/>
    <mergeCell ref="A9:BC9"/>
    <mergeCell ref="A24:BX24"/>
    <mergeCell ref="A25:BX25"/>
    <mergeCell ref="A26:BX26"/>
    <mergeCell ref="A27:BX27"/>
    <mergeCell ref="A17:BC17"/>
    <mergeCell ref="A20:BX20"/>
    <mergeCell ref="A11:BC11"/>
    <mergeCell ref="A12:BC12"/>
    <mergeCell ref="A15:BC15"/>
    <mergeCell ref="A16:BC16"/>
  </mergeCells>
  <pageMargins left="0.98425196850393704" right="0.39370078740157483" top="0.39370078740157483" bottom="0.39370078740157483" header="0.31496062992125984" footer="0.31496062992125984"/>
  <pageSetup paperSize="9" orientation="portrait" horizontalDpi="180" verticalDpi="180" r:id="rId1"/>
</worksheet>
</file>

<file path=xl/worksheets/sheet20.xml><?xml version="1.0" encoding="utf-8"?>
<worksheet xmlns="http://schemas.openxmlformats.org/spreadsheetml/2006/main" xmlns:r="http://schemas.openxmlformats.org/officeDocument/2006/relationships">
  <sheetPr>
    <tabColor rgb="FFFF0000"/>
  </sheetPr>
  <dimension ref="A1:AM231"/>
  <sheetViews>
    <sheetView view="pageBreakPreview" topLeftCell="A166" zoomScaleNormal="100" zoomScaleSheetLayoutView="100" workbookViewId="0">
      <selection activeCell="AO229" sqref="AO229"/>
    </sheetView>
  </sheetViews>
  <sheetFormatPr defaultRowHeight="15" outlineLevelCol="1"/>
  <cols>
    <col min="1" max="1" width="9.140625" style="819" customWidth="1"/>
    <col min="2" max="2" width="3" style="819" customWidth="1"/>
    <col min="3" max="3" width="6" style="819" customWidth="1"/>
    <col min="4" max="5" width="5.5703125" style="819" customWidth="1"/>
    <col min="6" max="6" width="28" style="820" customWidth="1"/>
    <col min="7" max="8" width="12.28515625" style="820" hidden="1" customWidth="1"/>
    <col min="9" max="9" width="14.85546875" style="820" customWidth="1"/>
    <col min="10" max="10" width="13.42578125" style="820" customWidth="1"/>
    <col min="11" max="15" width="9.140625" style="820" hidden="1" customWidth="1" outlineLevel="1"/>
    <col min="16" max="16" width="10.5703125" style="820" hidden="1" customWidth="1" outlineLevel="1"/>
    <col min="17" max="18" width="9.140625" style="820" hidden="1" customWidth="1" outlineLevel="1"/>
    <col min="19" max="19" width="12" style="820" hidden="1" customWidth="1" outlineLevel="1"/>
    <col min="20" max="23" width="9.140625" style="820" hidden="1" customWidth="1" outlineLevel="1"/>
    <col min="24" max="24" width="11.140625" style="820" hidden="1" customWidth="1" outlineLevel="1"/>
    <col min="25" max="27" width="9.140625" style="820" hidden="1" customWidth="1" outlineLevel="1"/>
    <col min="28" max="28" width="9.7109375" style="820" hidden="1" customWidth="1" outlineLevel="1"/>
    <col min="29" max="33" width="9.140625" style="820" hidden="1" customWidth="1" outlineLevel="1"/>
    <col min="34" max="34" width="11" style="820" hidden="1" customWidth="1" outlineLevel="1"/>
    <col min="35" max="35" width="15.7109375" style="820" hidden="1" customWidth="1" outlineLevel="1"/>
    <col min="36" max="36" width="17.5703125" style="820" hidden="1" customWidth="1" outlineLevel="1"/>
    <col min="37" max="37" width="13.5703125" style="820" hidden="1" customWidth="1" outlineLevel="1"/>
    <col min="38" max="38" width="12.7109375" style="765" customWidth="1" outlineLevel="1"/>
    <col min="39" max="39" width="10.28515625" style="765" customWidth="1"/>
    <col min="40" max="16384" width="9.140625" style="763"/>
  </cols>
  <sheetData>
    <row r="1" spans="1:39">
      <c r="A1" s="763"/>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4"/>
      <c r="AH1" s="764"/>
      <c r="AI1" s="764"/>
      <c r="AJ1" s="764"/>
      <c r="AK1" s="764"/>
    </row>
    <row r="2" spans="1:39" ht="15.75">
      <c r="A2" s="1927" t="s">
        <v>1530</v>
      </c>
      <c r="B2" s="1928"/>
      <c r="C2" s="1928"/>
      <c r="D2" s="1928"/>
      <c r="E2" s="1928"/>
      <c r="F2" s="1928"/>
      <c r="G2" s="1928"/>
      <c r="H2" s="1928"/>
      <c r="I2" s="1928"/>
      <c r="J2" s="1928"/>
      <c r="K2" s="1928"/>
      <c r="L2" s="1928"/>
      <c r="M2" s="1928"/>
      <c r="N2" s="1928"/>
      <c r="O2" s="1928"/>
      <c r="P2" s="1928"/>
      <c r="Q2" s="1928"/>
      <c r="R2" s="1928"/>
      <c r="S2" s="1928"/>
      <c r="T2" s="1928"/>
      <c r="U2" s="1928"/>
      <c r="V2" s="1928"/>
      <c r="W2" s="1928"/>
      <c r="X2" s="1928"/>
      <c r="Y2" s="1928"/>
      <c r="Z2" s="1928"/>
      <c r="AA2" s="1928"/>
      <c r="AB2" s="1928"/>
      <c r="AC2" s="1928"/>
      <c r="AD2" s="1928"/>
      <c r="AE2" s="1929"/>
      <c r="AF2" s="1929"/>
      <c r="AG2" s="1930"/>
      <c r="AH2" s="1930"/>
      <c r="AI2" s="1930"/>
      <c r="AJ2" s="1930"/>
      <c r="AK2" s="1930"/>
      <c r="AL2" s="1930"/>
      <c r="AM2" s="1930"/>
    </row>
    <row r="3" spans="1:39" ht="15.75">
      <c r="A3" s="1931" t="s">
        <v>1531</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c r="AC3" s="1629"/>
      <c r="AD3" s="1629"/>
      <c r="AE3" s="991"/>
      <c r="AF3" s="991"/>
      <c r="AG3" s="764"/>
      <c r="AH3" s="764"/>
      <c r="AI3" s="764"/>
      <c r="AJ3" s="764"/>
      <c r="AK3" s="764"/>
    </row>
    <row r="4" spans="1:39" ht="15.75">
      <c r="A4" s="1932"/>
      <c r="B4" s="1933"/>
      <c r="C4" s="1933"/>
      <c r="D4" s="1933"/>
      <c r="E4" s="1933"/>
      <c r="F4" s="1933"/>
      <c r="G4" s="1933"/>
      <c r="H4" s="1933"/>
      <c r="I4" s="1933"/>
      <c r="J4" s="1933"/>
      <c r="K4" s="1933"/>
      <c r="L4" s="1933"/>
      <c r="M4" s="1933"/>
      <c r="N4" s="1933"/>
      <c r="O4" s="1933"/>
      <c r="P4" s="1933"/>
      <c r="Q4" s="1933"/>
      <c r="R4" s="1933"/>
      <c r="S4" s="1933"/>
      <c r="T4" s="1933"/>
      <c r="U4" s="1933"/>
      <c r="V4" s="1933"/>
      <c r="W4" s="1933"/>
      <c r="X4" s="1933"/>
      <c r="Y4" s="1933"/>
      <c r="Z4" s="1933"/>
      <c r="AA4" s="1933"/>
      <c r="AB4" s="1933"/>
      <c r="AC4" s="1933"/>
      <c r="AD4" s="1933"/>
      <c r="AE4" s="5"/>
      <c r="AF4" s="5"/>
      <c r="AG4" s="764"/>
      <c r="AH4" s="764"/>
      <c r="AI4" s="764"/>
      <c r="AJ4" s="764"/>
      <c r="AK4" s="764"/>
    </row>
    <row r="5" spans="1:39" ht="15.75">
      <c r="A5" s="1934" t="s">
        <v>2103</v>
      </c>
      <c r="B5" s="1935"/>
      <c r="C5" s="1935"/>
      <c r="D5" s="1935"/>
      <c r="E5" s="1935"/>
      <c r="F5" s="1935"/>
      <c r="G5" s="1935"/>
      <c r="H5" s="1935"/>
      <c r="I5" s="1935"/>
      <c r="J5" s="1935"/>
      <c r="K5" s="1935"/>
      <c r="L5" s="1935"/>
      <c r="M5" s="1935"/>
      <c r="N5" s="1935"/>
      <c r="O5" s="1935"/>
      <c r="P5" s="1935"/>
      <c r="Q5" s="1935"/>
      <c r="R5" s="1935"/>
      <c r="S5" s="1935"/>
      <c r="T5" s="1935"/>
      <c r="U5" s="1935"/>
      <c r="V5" s="1935"/>
      <c r="W5" s="1935"/>
      <c r="X5" s="1935"/>
      <c r="Y5" s="1935"/>
      <c r="Z5" s="1935"/>
      <c r="AA5" s="1935"/>
      <c r="AB5" s="1935"/>
      <c r="AC5" s="1935"/>
      <c r="AD5" s="1935"/>
      <c r="AE5" s="1929"/>
      <c r="AF5" s="1929"/>
      <c r="AG5" s="1930"/>
      <c r="AH5" s="1930"/>
      <c r="AI5" s="1930"/>
      <c r="AJ5" s="1930"/>
      <c r="AK5" s="1930"/>
      <c r="AL5" s="1930"/>
      <c r="AM5" s="1930"/>
    </row>
    <row r="6" spans="1:39" ht="15.75">
      <c r="A6" s="1932" t="s">
        <v>1532</v>
      </c>
      <c r="B6" s="1936"/>
      <c r="C6" s="1936"/>
      <c r="D6" s="1936"/>
      <c r="E6" s="1936"/>
      <c r="F6" s="1936"/>
      <c r="G6" s="1936"/>
      <c r="H6" s="1936"/>
      <c r="I6" s="1936"/>
      <c r="J6" s="1936"/>
      <c r="K6" s="1936"/>
      <c r="L6" s="1936"/>
      <c r="M6" s="1936"/>
      <c r="N6" s="1936"/>
      <c r="O6" s="1936"/>
      <c r="P6" s="1936"/>
      <c r="Q6" s="1936"/>
      <c r="R6" s="1936"/>
      <c r="S6" s="1936"/>
      <c r="T6" s="1936"/>
      <c r="U6" s="1936"/>
      <c r="V6" s="1936"/>
      <c r="W6" s="1936"/>
      <c r="X6" s="1936"/>
      <c r="Y6" s="1936"/>
      <c r="Z6" s="1936"/>
      <c r="AA6" s="1936"/>
      <c r="AB6" s="1936"/>
      <c r="AC6" s="1936"/>
      <c r="AD6" s="1936"/>
      <c r="AE6" s="991"/>
      <c r="AF6" s="991"/>
      <c r="AG6" s="1937"/>
      <c r="AH6" s="1937"/>
      <c r="AI6" s="1937"/>
      <c r="AJ6" s="1937"/>
      <c r="AK6" s="1937"/>
      <c r="AL6" s="1937"/>
      <c r="AM6" s="1937"/>
    </row>
    <row r="7" spans="1:39" ht="15.75">
      <c r="A7" s="1938" t="s">
        <v>1533</v>
      </c>
      <c r="B7" s="1938"/>
      <c r="C7" s="1938"/>
      <c r="D7" s="1938"/>
      <c r="E7" s="1938"/>
      <c r="F7" s="1938"/>
      <c r="G7" s="1938"/>
      <c r="H7" s="1938"/>
      <c r="I7" s="1938"/>
      <c r="J7" s="1938"/>
      <c r="K7" s="1938"/>
      <c r="L7" s="1938"/>
      <c r="M7" s="1938"/>
      <c r="N7" s="1938"/>
      <c r="O7" s="1938"/>
      <c r="P7" s="1938"/>
      <c r="Q7" s="1938"/>
      <c r="R7" s="1938"/>
      <c r="S7" s="1938"/>
      <c r="T7" s="1938"/>
      <c r="U7" s="1938"/>
      <c r="V7" s="1938"/>
      <c r="W7" s="1938"/>
      <c r="X7" s="1938"/>
      <c r="Y7" s="1938"/>
      <c r="Z7" s="1938"/>
      <c r="AA7" s="1938"/>
      <c r="AB7" s="1938"/>
      <c r="AC7" s="1938"/>
      <c r="AD7" s="1938"/>
      <c r="AE7" s="1938"/>
      <c r="AF7" s="1938"/>
      <c r="AG7" s="764"/>
      <c r="AH7" s="764"/>
      <c r="AI7" s="764"/>
      <c r="AJ7" s="764"/>
      <c r="AK7" s="764"/>
      <c r="AL7" s="764"/>
      <c r="AM7" s="764"/>
    </row>
    <row r="8" spans="1:39" ht="6.75" customHeight="1">
      <c r="A8" s="766"/>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4"/>
      <c r="AH8" s="764"/>
      <c r="AI8" s="764"/>
      <c r="AJ8" s="764"/>
      <c r="AK8" s="764"/>
      <c r="AL8" s="764"/>
      <c r="AM8" s="764"/>
    </row>
    <row r="9" spans="1:39">
      <c r="A9" s="1939" t="s">
        <v>7</v>
      </c>
      <c r="B9" s="1941" t="s">
        <v>8</v>
      </c>
      <c r="C9" s="1942"/>
      <c r="D9" s="1942"/>
      <c r="E9" s="1942"/>
      <c r="F9" s="1943"/>
      <c r="G9" s="1568" t="s">
        <v>1534</v>
      </c>
      <c r="H9" s="437"/>
      <c r="I9" s="1570" t="s">
        <v>1535</v>
      </c>
      <c r="J9" s="1950"/>
      <c r="K9" s="1952" t="s">
        <v>865</v>
      </c>
      <c r="L9" s="1953"/>
      <c r="M9" s="1952" t="s">
        <v>866</v>
      </c>
      <c r="N9" s="1953"/>
      <c r="O9" s="1952" t="s">
        <v>867</v>
      </c>
      <c r="P9" s="1953"/>
      <c r="Q9" s="1952" t="s">
        <v>868</v>
      </c>
      <c r="R9" s="1953"/>
      <c r="S9" s="1952" t="s">
        <v>869</v>
      </c>
      <c r="T9" s="1953"/>
      <c r="U9" s="1952" t="s">
        <v>870</v>
      </c>
      <c r="V9" s="1953"/>
      <c r="W9" s="1956" t="s">
        <v>871</v>
      </c>
      <c r="X9" s="1957"/>
      <c r="Y9" s="1956" t="s">
        <v>872</v>
      </c>
      <c r="Z9" s="1957"/>
      <c r="AA9" s="1956" t="s">
        <v>873</v>
      </c>
      <c r="AB9" s="1957"/>
      <c r="AC9" s="1956" t="s">
        <v>874</v>
      </c>
      <c r="AD9" s="1957"/>
      <c r="AE9" s="1956" t="s">
        <v>875</v>
      </c>
      <c r="AF9" s="1957"/>
      <c r="AG9" s="1956" t="s">
        <v>876</v>
      </c>
      <c r="AH9" s="1957"/>
      <c r="AI9" s="1918" t="s">
        <v>1536</v>
      </c>
      <c r="AJ9" s="1918" t="s">
        <v>1537</v>
      </c>
      <c r="AK9" s="1918" t="s">
        <v>1538</v>
      </c>
      <c r="AL9" s="1577" t="s">
        <v>490</v>
      </c>
      <c r="AM9" s="1920"/>
    </row>
    <row r="10" spans="1:39">
      <c r="A10" s="1940"/>
      <c r="B10" s="1944"/>
      <c r="C10" s="1945"/>
      <c r="D10" s="1945"/>
      <c r="E10" s="1945"/>
      <c r="F10" s="1946"/>
      <c r="G10" s="1569"/>
      <c r="H10" s="437"/>
      <c r="I10" s="1572"/>
      <c r="J10" s="1951"/>
      <c r="K10" s="1954"/>
      <c r="L10" s="1955"/>
      <c r="M10" s="1954"/>
      <c r="N10" s="1955"/>
      <c r="O10" s="1954"/>
      <c r="P10" s="1955"/>
      <c r="Q10" s="1954"/>
      <c r="R10" s="1955"/>
      <c r="S10" s="1954"/>
      <c r="T10" s="1955"/>
      <c r="U10" s="1954"/>
      <c r="V10" s="1955"/>
      <c r="W10" s="1958"/>
      <c r="X10" s="1959"/>
      <c r="Y10" s="1958"/>
      <c r="Z10" s="1959"/>
      <c r="AA10" s="1958"/>
      <c r="AB10" s="1959"/>
      <c r="AC10" s="1958"/>
      <c r="AD10" s="1959"/>
      <c r="AE10" s="1958"/>
      <c r="AF10" s="1959"/>
      <c r="AG10" s="1958"/>
      <c r="AH10" s="1959"/>
      <c r="AI10" s="1919"/>
      <c r="AJ10" s="1919"/>
      <c r="AK10" s="1919"/>
      <c r="AL10" s="1921"/>
      <c r="AM10" s="1922"/>
    </row>
    <row r="11" spans="1:39" ht="78" customHeight="1">
      <c r="A11" s="1911"/>
      <c r="B11" s="1947"/>
      <c r="C11" s="1948"/>
      <c r="D11" s="1948"/>
      <c r="E11" s="1948"/>
      <c r="F11" s="1949"/>
      <c r="G11" s="438"/>
      <c r="H11" s="438"/>
      <c r="I11" s="438" t="s">
        <v>877</v>
      </c>
      <c r="J11" s="438" t="s">
        <v>878</v>
      </c>
      <c r="K11" s="767"/>
      <c r="L11" s="768"/>
      <c r="M11" s="767"/>
      <c r="N11" s="768"/>
      <c r="O11" s="767"/>
      <c r="P11" s="768"/>
      <c r="Q11" s="767"/>
      <c r="R11" s="768"/>
      <c r="S11" s="767"/>
      <c r="T11" s="768"/>
      <c r="U11" s="767"/>
      <c r="V11" s="768"/>
      <c r="W11" s="769"/>
      <c r="X11" s="770"/>
      <c r="Y11" s="769"/>
      <c r="Z11" s="770"/>
      <c r="AA11" s="769"/>
      <c r="AB11" s="770"/>
      <c r="AC11" s="769"/>
      <c r="AD11" s="770"/>
      <c r="AE11" s="769"/>
      <c r="AF11" s="770"/>
      <c r="AG11" s="769"/>
      <c r="AH11" s="770"/>
      <c r="AI11" s="439"/>
      <c r="AJ11" s="439"/>
      <c r="AK11" s="439"/>
      <c r="AL11" s="440" t="s">
        <v>491</v>
      </c>
      <c r="AM11" s="547" t="s">
        <v>492</v>
      </c>
    </row>
    <row r="12" spans="1:39" ht="22.5" customHeight="1">
      <c r="A12" s="771">
        <v>1</v>
      </c>
      <c r="B12" s="1923">
        <v>2</v>
      </c>
      <c r="C12" s="1924"/>
      <c r="D12" s="1924"/>
      <c r="E12" s="1924"/>
      <c r="F12" s="1925"/>
      <c r="G12" s="771"/>
      <c r="H12" s="772"/>
      <c r="I12" s="772">
        <v>3</v>
      </c>
      <c r="J12" s="438">
        <v>4</v>
      </c>
      <c r="K12" s="438" t="s">
        <v>879</v>
      </c>
      <c r="L12" s="438" t="s">
        <v>880</v>
      </c>
      <c r="M12" s="438" t="s">
        <v>879</v>
      </c>
      <c r="N12" s="438" t="s">
        <v>880</v>
      </c>
      <c r="O12" s="438" t="s">
        <v>879</v>
      </c>
      <c r="P12" s="438" t="s">
        <v>880</v>
      </c>
      <c r="Q12" s="438" t="s">
        <v>879</v>
      </c>
      <c r="R12" s="438" t="s">
        <v>880</v>
      </c>
      <c r="S12" s="438" t="s">
        <v>879</v>
      </c>
      <c r="T12" s="438" t="s">
        <v>880</v>
      </c>
      <c r="U12" s="438" t="s">
        <v>879</v>
      </c>
      <c r="V12" s="438" t="s">
        <v>880</v>
      </c>
      <c r="W12" s="438" t="s">
        <v>879</v>
      </c>
      <c r="X12" s="438" t="s">
        <v>880</v>
      </c>
      <c r="Y12" s="438" t="s">
        <v>879</v>
      </c>
      <c r="Z12" s="438" t="s">
        <v>880</v>
      </c>
      <c r="AA12" s="438" t="s">
        <v>879</v>
      </c>
      <c r="AB12" s="438" t="s">
        <v>880</v>
      </c>
      <c r="AC12" s="438" t="s">
        <v>879</v>
      </c>
      <c r="AD12" s="438" t="s">
        <v>880</v>
      </c>
      <c r="AE12" s="438" t="s">
        <v>879</v>
      </c>
      <c r="AF12" s="438" t="s">
        <v>880</v>
      </c>
      <c r="AG12" s="438" t="s">
        <v>879</v>
      </c>
      <c r="AH12" s="438" t="s">
        <v>880</v>
      </c>
      <c r="AI12" s="438"/>
      <c r="AJ12" s="438"/>
      <c r="AK12" s="438"/>
      <c r="AL12" s="441">
        <v>5</v>
      </c>
      <c r="AM12" s="441">
        <v>6</v>
      </c>
    </row>
    <row r="13" spans="1:39">
      <c r="A13" s="1595" t="s">
        <v>1539</v>
      </c>
      <c r="B13" s="1596"/>
      <c r="C13" s="1596"/>
      <c r="D13" s="1596"/>
      <c r="E13" s="1596"/>
      <c r="F13" s="1926"/>
      <c r="G13" s="442">
        <f>G14+G43+G50+G58+G62+G113+G142+G170</f>
        <v>66347.28</v>
      </c>
      <c r="H13" s="442"/>
      <c r="I13" s="442">
        <f>I14+I43+I50+I58+I62+I113+I142+I170</f>
        <v>56226.50847457628</v>
      </c>
      <c r="J13" s="442">
        <f>J14+J43+J50+J58+J62+J113+J142+J170</f>
        <v>61404.991939491534</v>
      </c>
      <c r="K13" s="443"/>
      <c r="L13" s="443"/>
      <c r="M13" s="443"/>
      <c r="N13" s="443"/>
      <c r="O13" s="443"/>
      <c r="P13" s="443"/>
      <c r="Q13" s="443"/>
      <c r="R13" s="443"/>
      <c r="S13" s="443"/>
      <c r="T13" s="443"/>
      <c r="U13" s="443"/>
      <c r="V13" s="443"/>
      <c r="W13" s="444"/>
      <c r="X13" s="444"/>
      <c r="Y13" s="444"/>
      <c r="Z13" s="444"/>
      <c r="AA13" s="444"/>
      <c r="AB13" s="444"/>
      <c r="AC13" s="444"/>
      <c r="AD13" s="444"/>
      <c r="AE13" s="444"/>
      <c r="AF13" s="444"/>
      <c r="AG13" s="444"/>
      <c r="AH13" s="444"/>
      <c r="AI13" s="439"/>
      <c r="AJ13" s="439"/>
      <c r="AK13" s="439"/>
      <c r="AL13" s="445"/>
      <c r="AM13" s="445"/>
    </row>
    <row r="14" spans="1:39">
      <c r="A14" s="1889" t="s">
        <v>469</v>
      </c>
      <c r="B14" s="1890"/>
      <c r="C14" s="1890"/>
      <c r="D14" s="1890"/>
      <c r="E14" s="1890"/>
      <c r="F14" s="1891"/>
      <c r="G14" s="442">
        <f>SUM(G15:G42)</f>
        <v>23797.09</v>
      </c>
      <c r="H14" s="442"/>
      <c r="I14" s="442">
        <f>SUM(I15:I42)</f>
        <v>20167.025423728817</v>
      </c>
      <c r="J14" s="442">
        <f>SUM(J15:J42)</f>
        <v>16675.33257627119</v>
      </c>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3"/>
      <c r="AJ14" s="773"/>
      <c r="AK14" s="773"/>
      <c r="AL14" s="774"/>
      <c r="AM14" s="774"/>
    </row>
    <row r="15" spans="1:39">
      <c r="A15" s="1907" t="s">
        <v>137</v>
      </c>
      <c r="B15" s="1237" t="s">
        <v>1540</v>
      </c>
      <c r="C15" s="1238"/>
      <c r="D15" s="1238"/>
      <c r="E15" s="1238"/>
      <c r="F15" s="1239"/>
      <c r="G15" s="1914">
        <v>255.16</v>
      </c>
      <c r="H15" s="1902">
        <v>1.18</v>
      </c>
      <c r="I15" s="1908">
        <f>G15/H15</f>
        <v>216.23728813559322</v>
      </c>
      <c r="J15" s="1916">
        <f>SUM(K15:AH15)</f>
        <v>42.809322033898304</v>
      </c>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f>50.515/1.18</f>
        <v>42.809322033898304</v>
      </c>
      <c r="AI15" s="780"/>
      <c r="AJ15" s="780"/>
      <c r="AK15" s="780"/>
      <c r="AL15" s="1904" t="s">
        <v>1327</v>
      </c>
      <c r="AM15" s="1904" t="s">
        <v>1328</v>
      </c>
    </row>
    <row r="16" spans="1:39" ht="30">
      <c r="A16" s="1907"/>
      <c r="B16" s="781" t="s">
        <v>438</v>
      </c>
      <c r="C16" s="782" t="s">
        <v>459</v>
      </c>
      <c r="D16" s="782" t="s">
        <v>439</v>
      </c>
      <c r="E16" s="782" t="s">
        <v>446</v>
      </c>
      <c r="F16" s="729" t="s">
        <v>440</v>
      </c>
      <c r="G16" s="1914"/>
      <c r="H16" s="1903"/>
      <c r="I16" s="1909"/>
      <c r="J16" s="1917"/>
      <c r="K16" s="783"/>
      <c r="L16" s="780"/>
      <c r="M16" s="780"/>
      <c r="N16" s="780"/>
      <c r="O16" s="780"/>
      <c r="P16" s="780"/>
      <c r="Q16" s="780"/>
      <c r="R16" s="780"/>
      <c r="S16" s="780"/>
      <c r="T16" s="780"/>
      <c r="U16" s="780"/>
      <c r="V16" s="780"/>
      <c r="W16" s="784"/>
      <c r="X16" s="784"/>
      <c r="Y16" s="784"/>
      <c r="Z16" s="784"/>
      <c r="AA16" s="784"/>
      <c r="AB16" s="784"/>
      <c r="AC16" s="784"/>
      <c r="AD16" s="785"/>
      <c r="AE16" s="784"/>
      <c r="AF16" s="784"/>
      <c r="AG16" s="779"/>
      <c r="AH16" s="784"/>
      <c r="AI16" s="780"/>
      <c r="AJ16" s="771"/>
      <c r="AK16" s="786"/>
      <c r="AL16" s="1905"/>
      <c r="AM16" s="1906"/>
    </row>
    <row r="17" spans="1:39">
      <c r="A17" s="1907" t="s">
        <v>138</v>
      </c>
      <c r="B17" s="1237" t="s">
        <v>1541</v>
      </c>
      <c r="C17" s="1238"/>
      <c r="D17" s="1238"/>
      <c r="E17" s="1238"/>
      <c r="F17" s="1239"/>
      <c r="G17" s="1915">
        <v>2510</v>
      </c>
      <c r="H17" s="1902">
        <v>1.18</v>
      </c>
      <c r="I17" s="1908">
        <f>G17/H17</f>
        <v>2127.1186440677966</v>
      </c>
      <c r="J17" s="1916">
        <v>15</v>
      </c>
      <c r="K17" s="783"/>
      <c r="L17" s="780"/>
      <c r="M17" s="780"/>
      <c r="N17" s="780"/>
      <c r="O17" s="780"/>
      <c r="P17" s="780"/>
      <c r="Q17" s="780"/>
      <c r="R17" s="780"/>
      <c r="S17" s="780"/>
      <c r="T17" s="780"/>
      <c r="U17" s="780"/>
      <c r="V17" s="780"/>
      <c r="W17" s="784"/>
      <c r="X17" s="784"/>
      <c r="Y17" s="784"/>
      <c r="Z17" s="442">
        <v>15</v>
      </c>
      <c r="AA17" s="784"/>
      <c r="AB17" s="785"/>
      <c r="AC17" s="784"/>
      <c r="AD17" s="784"/>
      <c r="AE17" s="784"/>
      <c r="AF17" s="784"/>
      <c r="AG17" s="779"/>
      <c r="AH17" s="784"/>
      <c r="AI17" s="780"/>
      <c r="AJ17" s="771"/>
      <c r="AK17" s="786"/>
      <c r="AL17" s="1904" t="s">
        <v>1327</v>
      </c>
      <c r="AM17" s="1904" t="s">
        <v>1328</v>
      </c>
    </row>
    <row r="18" spans="1:39" ht="30">
      <c r="A18" s="1907"/>
      <c r="B18" s="781" t="s">
        <v>438</v>
      </c>
      <c r="C18" s="782" t="s">
        <v>465</v>
      </c>
      <c r="D18" s="782" t="s">
        <v>439</v>
      </c>
      <c r="E18" s="782" t="s">
        <v>464</v>
      </c>
      <c r="F18" s="729" t="s">
        <v>440</v>
      </c>
      <c r="G18" s="1915"/>
      <c r="H18" s="1903"/>
      <c r="I18" s="1909"/>
      <c r="J18" s="1917"/>
      <c r="K18" s="783"/>
      <c r="L18" s="780"/>
      <c r="M18" s="780"/>
      <c r="N18" s="780"/>
      <c r="O18" s="780"/>
      <c r="P18" s="780"/>
      <c r="Q18" s="780"/>
      <c r="R18" s="780"/>
      <c r="S18" s="780"/>
      <c r="T18" s="780"/>
      <c r="U18" s="780"/>
      <c r="V18" s="780"/>
      <c r="W18" s="784"/>
      <c r="X18" s="784"/>
      <c r="Y18" s="784"/>
      <c r="Z18" s="784"/>
      <c r="AA18" s="784"/>
      <c r="AB18" s="784"/>
      <c r="AC18" s="784"/>
      <c r="AD18" s="784"/>
      <c r="AE18" s="784"/>
      <c r="AF18" s="784"/>
      <c r="AG18" s="779"/>
      <c r="AH18" s="784"/>
      <c r="AI18" s="780"/>
      <c r="AJ18" s="780"/>
      <c r="AK18" s="780"/>
      <c r="AL18" s="1905"/>
      <c r="AM18" s="1906"/>
    </row>
    <row r="19" spans="1:39">
      <c r="A19" s="1907" t="s">
        <v>139</v>
      </c>
      <c r="B19" s="1237" t="s">
        <v>2104</v>
      </c>
      <c r="C19" s="1238"/>
      <c r="D19" s="1238"/>
      <c r="E19" s="1238"/>
      <c r="F19" s="1239"/>
      <c r="G19" s="1914">
        <v>222.49</v>
      </c>
      <c r="H19" s="1902">
        <v>1.18</v>
      </c>
      <c r="I19" s="1908">
        <f>G19/H19</f>
        <v>188.55084745762713</v>
      </c>
      <c r="J19" s="1916">
        <f>SUM(K19:AH19)</f>
        <v>44.267796610169491</v>
      </c>
      <c r="K19" s="783"/>
      <c r="L19" s="780"/>
      <c r="M19" s="780"/>
      <c r="N19" s="780"/>
      <c r="O19" s="780"/>
      <c r="P19" s="780"/>
      <c r="Q19" s="780"/>
      <c r="R19" s="780"/>
      <c r="S19" s="780"/>
      <c r="T19" s="780"/>
      <c r="U19" s="780"/>
      <c r="V19" s="780"/>
      <c r="W19" s="784"/>
      <c r="X19" s="784"/>
      <c r="Y19" s="784"/>
      <c r="Z19" s="784"/>
      <c r="AA19" s="784"/>
      <c r="AB19" s="785"/>
      <c r="AC19" s="784"/>
      <c r="AD19" s="784"/>
      <c r="AE19" s="784"/>
      <c r="AF19" s="784"/>
      <c r="AG19" s="779"/>
      <c r="AH19" s="442">
        <f>52.236/1.18</f>
        <v>44.267796610169491</v>
      </c>
      <c r="AI19" s="780"/>
      <c r="AJ19" s="787"/>
      <c r="AK19" s="788"/>
      <c r="AL19" s="1904" t="s">
        <v>1327</v>
      </c>
      <c r="AM19" s="1904" t="s">
        <v>1328</v>
      </c>
    </row>
    <row r="20" spans="1:39" ht="30">
      <c r="A20" s="1907"/>
      <c r="B20" s="781" t="s">
        <v>438</v>
      </c>
      <c r="C20" s="782" t="s">
        <v>459</v>
      </c>
      <c r="D20" s="782" t="s">
        <v>439</v>
      </c>
      <c r="E20" s="782" t="s">
        <v>448</v>
      </c>
      <c r="F20" s="729" t="s">
        <v>440</v>
      </c>
      <c r="G20" s="1914"/>
      <c r="H20" s="1903"/>
      <c r="I20" s="1909"/>
      <c r="J20" s="1917"/>
      <c r="K20" s="783"/>
      <c r="L20" s="780"/>
      <c r="M20" s="780"/>
      <c r="N20" s="780"/>
      <c r="O20" s="780"/>
      <c r="P20" s="780"/>
      <c r="Q20" s="780"/>
      <c r="R20" s="780"/>
      <c r="S20" s="780"/>
      <c r="T20" s="780"/>
      <c r="U20" s="780"/>
      <c r="V20" s="780"/>
      <c r="W20" s="784"/>
      <c r="X20" s="784"/>
      <c r="Y20" s="784"/>
      <c r="Z20" s="784"/>
      <c r="AA20" s="784"/>
      <c r="AB20" s="784"/>
      <c r="AC20" s="784"/>
      <c r="AD20" s="784"/>
      <c r="AE20" s="784"/>
      <c r="AF20" s="784"/>
      <c r="AG20" s="779"/>
      <c r="AH20" s="784"/>
      <c r="AI20" s="780"/>
      <c r="AJ20" s="780"/>
      <c r="AK20" s="780"/>
      <c r="AL20" s="1905"/>
      <c r="AM20" s="1906"/>
    </row>
    <row r="21" spans="1:39">
      <c r="A21" s="1907" t="s">
        <v>136</v>
      </c>
      <c r="B21" s="1237" t="s">
        <v>1542</v>
      </c>
      <c r="C21" s="1238"/>
      <c r="D21" s="1238"/>
      <c r="E21" s="1238"/>
      <c r="F21" s="1239"/>
      <c r="G21" s="1914">
        <v>123.94</v>
      </c>
      <c r="H21" s="1902">
        <v>1.18</v>
      </c>
      <c r="I21" s="1908">
        <f>G21/H21</f>
        <v>105.03389830508475</v>
      </c>
      <c r="J21" s="1916">
        <f>SUM(K21:AH21)</f>
        <v>197.93656779661018</v>
      </c>
      <c r="K21" s="783"/>
      <c r="L21" s="780"/>
      <c r="M21" s="780"/>
      <c r="N21" s="780"/>
      <c r="O21" s="780"/>
      <c r="P21" s="780"/>
      <c r="Q21" s="780"/>
      <c r="R21" s="780"/>
      <c r="S21" s="780"/>
      <c r="T21" s="780"/>
      <c r="U21" s="780"/>
      <c r="V21" s="780"/>
      <c r="W21" s="784"/>
      <c r="X21" s="784"/>
      <c r="Y21" s="784"/>
      <c r="Z21" s="784"/>
      <c r="AA21" s="784"/>
      <c r="AB21" s="784"/>
      <c r="AC21" s="784"/>
      <c r="AD21" s="784"/>
      <c r="AE21" s="784"/>
      <c r="AF21" s="785"/>
      <c r="AG21" s="779"/>
      <c r="AH21" s="789">
        <f>(48.766+184.79915)/1.18</f>
        <v>197.93656779661018</v>
      </c>
      <c r="AI21" s="780"/>
      <c r="AJ21" s="771"/>
      <c r="AK21" s="786"/>
      <c r="AL21" s="1904" t="s">
        <v>1327</v>
      </c>
      <c r="AM21" s="1904" t="s">
        <v>1328</v>
      </c>
    </row>
    <row r="22" spans="1:39" ht="30">
      <c r="A22" s="1907"/>
      <c r="B22" s="781" t="s">
        <v>438</v>
      </c>
      <c r="C22" s="782" t="s">
        <v>454</v>
      </c>
      <c r="D22" s="782" t="s">
        <v>439</v>
      </c>
      <c r="E22" s="782" t="s">
        <v>457</v>
      </c>
      <c r="F22" s="729" t="s">
        <v>440</v>
      </c>
      <c r="G22" s="1914"/>
      <c r="H22" s="1903"/>
      <c r="I22" s="1909"/>
      <c r="J22" s="1917"/>
      <c r="K22" s="783"/>
      <c r="L22" s="780"/>
      <c r="M22" s="780"/>
      <c r="N22" s="780"/>
      <c r="O22" s="780"/>
      <c r="P22" s="780"/>
      <c r="Q22" s="780"/>
      <c r="R22" s="780"/>
      <c r="S22" s="780"/>
      <c r="T22" s="780"/>
      <c r="U22" s="780"/>
      <c r="V22" s="780"/>
      <c r="W22" s="784"/>
      <c r="X22" s="784"/>
      <c r="Y22" s="784"/>
      <c r="Z22" s="784"/>
      <c r="AA22" s="784"/>
      <c r="AB22" s="784"/>
      <c r="AC22" s="784"/>
      <c r="AD22" s="784"/>
      <c r="AE22" s="784"/>
      <c r="AF22" s="784"/>
      <c r="AG22" s="779"/>
      <c r="AH22" s="784"/>
      <c r="AI22" s="780"/>
      <c r="AJ22" s="771"/>
      <c r="AK22" s="786"/>
      <c r="AL22" s="1905"/>
      <c r="AM22" s="1906"/>
    </row>
    <row r="23" spans="1:39">
      <c r="A23" s="1898" t="s">
        <v>140</v>
      </c>
      <c r="B23" s="1237" t="s">
        <v>1543</v>
      </c>
      <c r="C23" s="1238"/>
      <c r="D23" s="1238"/>
      <c r="E23" s="1238"/>
      <c r="F23" s="1239"/>
      <c r="G23" s="1915">
        <v>507.76</v>
      </c>
      <c r="H23" s="1902">
        <v>1.18</v>
      </c>
      <c r="I23" s="1908">
        <f>G23/H23</f>
        <v>430.30508474576271</v>
      </c>
      <c r="J23" s="1916">
        <v>69.25</v>
      </c>
      <c r="K23" s="783"/>
      <c r="L23" s="780"/>
      <c r="M23" s="780"/>
      <c r="N23" s="780"/>
      <c r="O23" s="780"/>
      <c r="P23" s="780"/>
      <c r="Q23" s="780"/>
      <c r="R23" s="780"/>
      <c r="S23" s="780"/>
      <c r="T23" s="780"/>
      <c r="U23" s="780"/>
      <c r="V23" s="780"/>
      <c r="W23" s="784"/>
      <c r="X23" s="784"/>
      <c r="Y23" s="784"/>
      <c r="Z23" s="784"/>
      <c r="AA23" s="784"/>
      <c r="AB23" s="785"/>
      <c r="AC23" s="784"/>
      <c r="AD23" s="784"/>
      <c r="AE23" s="784"/>
      <c r="AF23" s="784"/>
      <c r="AG23" s="779"/>
      <c r="AH23" s="442"/>
      <c r="AI23" s="780"/>
      <c r="AJ23" s="771"/>
      <c r="AK23" s="786"/>
      <c r="AL23" s="1904" t="s">
        <v>1327</v>
      </c>
      <c r="AM23" s="1904" t="s">
        <v>1328</v>
      </c>
    </row>
    <row r="24" spans="1:39" ht="30">
      <c r="A24" s="1899"/>
      <c r="B24" s="781" t="s">
        <v>438</v>
      </c>
      <c r="C24" s="782" t="s">
        <v>441</v>
      </c>
      <c r="D24" s="782" t="s">
        <v>439</v>
      </c>
      <c r="E24" s="782" t="s">
        <v>446</v>
      </c>
      <c r="F24" s="729" t="s">
        <v>440</v>
      </c>
      <c r="G24" s="1915"/>
      <c r="H24" s="1903"/>
      <c r="I24" s="1909"/>
      <c r="J24" s="1917"/>
      <c r="K24" s="783"/>
      <c r="L24" s="780"/>
      <c r="M24" s="780"/>
      <c r="N24" s="780"/>
      <c r="O24" s="780"/>
      <c r="P24" s="780"/>
      <c r="Q24" s="780"/>
      <c r="R24" s="780"/>
      <c r="S24" s="780"/>
      <c r="T24" s="780"/>
      <c r="U24" s="780"/>
      <c r="V24" s="780"/>
      <c r="W24" s="784"/>
      <c r="X24" s="784"/>
      <c r="Y24" s="784"/>
      <c r="Z24" s="784"/>
      <c r="AA24" s="784"/>
      <c r="AB24" s="790"/>
      <c r="AC24" s="784"/>
      <c r="AD24" s="784"/>
      <c r="AE24" s="784"/>
      <c r="AF24" s="785"/>
      <c r="AG24" s="779"/>
      <c r="AH24" s="784"/>
      <c r="AI24" s="780"/>
      <c r="AJ24" s="771"/>
      <c r="AK24" s="786"/>
      <c r="AL24" s="1905"/>
      <c r="AM24" s="1906"/>
    </row>
    <row r="25" spans="1:39">
      <c r="A25" s="1898" t="s">
        <v>141</v>
      </c>
      <c r="B25" s="1237" t="s">
        <v>1544</v>
      </c>
      <c r="C25" s="1238"/>
      <c r="D25" s="1238"/>
      <c r="E25" s="1238"/>
      <c r="F25" s="1239"/>
      <c r="G25" s="1914">
        <v>260.62</v>
      </c>
      <c r="H25" s="1902">
        <v>1.18</v>
      </c>
      <c r="I25" s="1908">
        <f>G25/H25</f>
        <v>220.86440677966104</v>
      </c>
      <c r="J25" s="1916">
        <f>SUM(K25:AH25)</f>
        <v>446.59450847457634</v>
      </c>
      <c r="K25" s="783"/>
      <c r="L25" s="780"/>
      <c r="M25" s="780"/>
      <c r="N25" s="780"/>
      <c r="O25" s="780"/>
      <c r="P25" s="780"/>
      <c r="Q25" s="780"/>
      <c r="R25" s="780"/>
      <c r="S25" s="780"/>
      <c r="T25" s="780"/>
      <c r="U25" s="780"/>
      <c r="V25" s="780"/>
      <c r="W25" s="784"/>
      <c r="X25" s="784"/>
      <c r="Y25" s="784"/>
      <c r="Z25" s="784"/>
      <c r="AA25" s="784"/>
      <c r="AB25" s="790"/>
      <c r="AC25" s="784"/>
      <c r="AD25" s="784"/>
      <c r="AE25" s="784"/>
      <c r="AF25" s="784"/>
      <c r="AG25" s="779"/>
      <c r="AH25" s="791">
        <f>(57.4+469.58152)/1.18</f>
        <v>446.59450847457634</v>
      </c>
      <c r="AI25" s="780"/>
      <c r="AJ25" s="771"/>
      <c r="AK25" s="786"/>
      <c r="AL25" s="1904" t="s">
        <v>1327</v>
      </c>
      <c r="AM25" s="1904" t="s">
        <v>1328</v>
      </c>
    </row>
    <row r="26" spans="1:39" ht="30">
      <c r="A26" s="1899"/>
      <c r="B26" s="781" t="s">
        <v>438</v>
      </c>
      <c r="C26" s="782" t="s">
        <v>454</v>
      </c>
      <c r="D26" s="782" t="s">
        <v>439</v>
      </c>
      <c r="E26" s="782" t="s">
        <v>455</v>
      </c>
      <c r="F26" s="729" t="s">
        <v>440</v>
      </c>
      <c r="G26" s="1914"/>
      <c r="H26" s="1903"/>
      <c r="I26" s="1909"/>
      <c r="J26" s="1917"/>
      <c r="K26" s="783"/>
      <c r="L26" s="780"/>
      <c r="M26" s="780"/>
      <c r="N26" s="780"/>
      <c r="O26" s="780"/>
      <c r="P26" s="780"/>
      <c r="Q26" s="780"/>
      <c r="R26" s="780"/>
      <c r="S26" s="780"/>
      <c r="T26" s="780"/>
      <c r="U26" s="780"/>
      <c r="V26" s="780"/>
      <c r="W26" s="784"/>
      <c r="X26" s="784"/>
      <c r="Y26" s="784"/>
      <c r="Z26" s="784"/>
      <c r="AA26" s="784"/>
      <c r="AB26" s="790"/>
      <c r="AC26" s="784"/>
      <c r="AD26" s="784"/>
      <c r="AE26" s="784"/>
      <c r="AF26" s="784"/>
      <c r="AG26" s="779"/>
      <c r="AH26" s="784"/>
      <c r="AI26" s="780"/>
      <c r="AJ26" s="771"/>
      <c r="AK26" s="786"/>
      <c r="AL26" s="1905"/>
      <c r="AM26" s="1906"/>
    </row>
    <row r="27" spans="1:39">
      <c r="A27" s="1898" t="s">
        <v>142</v>
      </c>
      <c r="B27" s="1237" t="s">
        <v>1545</v>
      </c>
      <c r="C27" s="1238"/>
      <c r="D27" s="1238"/>
      <c r="E27" s="1238"/>
      <c r="F27" s="1239"/>
      <c r="G27" s="1915">
        <v>393.18</v>
      </c>
      <c r="H27" s="1902">
        <v>1.18</v>
      </c>
      <c r="I27" s="1908">
        <f>G27/H27</f>
        <v>333.20338983050851</v>
      </c>
      <c r="J27" s="1916">
        <f>SUM(K27:AH27)</f>
        <v>484.33198305084744</v>
      </c>
      <c r="K27" s="783"/>
      <c r="L27" s="780"/>
      <c r="M27" s="780"/>
      <c r="N27" s="780"/>
      <c r="O27" s="780"/>
      <c r="P27" s="780"/>
      <c r="Q27" s="780"/>
      <c r="R27" s="780"/>
      <c r="S27" s="780"/>
      <c r="T27" s="780"/>
      <c r="U27" s="780"/>
      <c r="V27" s="780"/>
      <c r="W27" s="784"/>
      <c r="X27" s="784"/>
      <c r="Y27" s="784"/>
      <c r="Z27" s="784"/>
      <c r="AA27" s="784"/>
      <c r="AB27" s="792"/>
      <c r="AC27" s="784"/>
      <c r="AD27" s="784"/>
      <c r="AE27" s="784"/>
      <c r="AF27" s="784"/>
      <c r="AG27" s="779"/>
      <c r="AH27" s="442">
        <f>(64.286+507.22574)/1.18</f>
        <v>484.33198305084744</v>
      </c>
      <c r="AI27" s="780"/>
      <c r="AJ27" s="780"/>
      <c r="AK27" s="780"/>
      <c r="AL27" s="1904" t="s">
        <v>1327</v>
      </c>
      <c r="AM27" s="1904" t="s">
        <v>1328</v>
      </c>
    </row>
    <row r="28" spans="1:39" ht="30">
      <c r="A28" s="1899"/>
      <c r="B28" s="781" t="s">
        <v>438</v>
      </c>
      <c r="C28" s="782" t="s">
        <v>459</v>
      </c>
      <c r="D28" s="782" t="s">
        <v>439</v>
      </c>
      <c r="E28" s="782" t="s">
        <v>466</v>
      </c>
      <c r="F28" s="729" t="s">
        <v>440</v>
      </c>
      <c r="G28" s="1915"/>
      <c r="H28" s="1903"/>
      <c r="I28" s="1909"/>
      <c r="J28" s="1917"/>
      <c r="K28" s="783"/>
      <c r="L28" s="780"/>
      <c r="M28" s="780"/>
      <c r="N28" s="780"/>
      <c r="O28" s="780"/>
      <c r="P28" s="780"/>
      <c r="Q28" s="780"/>
      <c r="R28" s="780"/>
      <c r="S28" s="780"/>
      <c r="T28" s="780"/>
      <c r="U28" s="780"/>
      <c r="V28" s="780"/>
      <c r="W28" s="784"/>
      <c r="X28" s="784"/>
      <c r="Y28" s="784"/>
      <c r="Z28" s="784"/>
      <c r="AA28" s="784"/>
      <c r="AB28" s="792"/>
      <c r="AC28" s="784"/>
      <c r="AD28" s="784"/>
      <c r="AE28" s="784"/>
      <c r="AF28" s="784"/>
      <c r="AG28" s="779"/>
      <c r="AH28" s="784"/>
      <c r="AI28" s="780"/>
      <c r="AJ28" s="780"/>
      <c r="AK28" s="780"/>
      <c r="AL28" s="1905"/>
      <c r="AM28" s="1906"/>
    </row>
    <row r="29" spans="1:39">
      <c r="A29" s="1898" t="s">
        <v>143</v>
      </c>
      <c r="B29" s="1237" t="s">
        <v>1546</v>
      </c>
      <c r="C29" s="1238"/>
      <c r="D29" s="1238"/>
      <c r="E29" s="1238"/>
      <c r="F29" s="1239"/>
      <c r="G29" s="1915">
        <v>372.76</v>
      </c>
      <c r="H29" s="1902">
        <v>1.18</v>
      </c>
      <c r="I29" s="1908">
        <f>G29/H29</f>
        <v>315.89830508474574</v>
      </c>
      <c r="J29" s="1900">
        <f>SUM(K29:AM29)</f>
        <v>48.644067796610173</v>
      </c>
      <c r="K29" s="783"/>
      <c r="L29" s="780"/>
      <c r="M29" s="780"/>
      <c r="N29" s="780"/>
      <c r="O29" s="780"/>
      <c r="P29" s="780"/>
      <c r="Q29" s="780"/>
      <c r="R29" s="780"/>
      <c r="S29" s="780"/>
      <c r="T29" s="780"/>
      <c r="U29" s="780"/>
      <c r="V29" s="780"/>
      <c r="W29" s="784"/>
      <c r="X29" s="784"/>
      <c r="Y29" s="784"/>
      <c r="Z29" s="784"/>
      <c r="AA29" s="784"/>
      <c r="AB29" s="790"/>
      <c r="AC29" s="784"/>
      <c r="AD29" s="784"/>
      <c r="AE29" s="784"/>
      <c r="AF29" s="784"/>
      <c r="AG29" s="779"/>
      <c r="AH29" s="794">
        <f>57.4/1.18</f>
        <v>48.644067796610173</v>
      </c>
      <c r="AI29" s="780"/>
      <c r="AJ29" s="771"/>
      <c r="AK29" s="786"/>
      <c r="AL29" s="1904" t="s">
        <v>1327</v>
      </c>
      <c r="AM29" s="1904" t="s">
        <v>1328</v>
      </c>
    </row>
    <row r="30" spans="1:39" ht="30">
      <c r="A30" s="1899"/>
      <c r="B30" s="781" t="s">
        <v>438</v>
      </c>
      <c r="C30" s="782" t="s">
        <v>459</v>
      </c>
      <c r="D30" s="782" t="s">
        <v>439</v>
      </c>
      <c r="E30" s="782" t="s">
        <v>455</v>
      </c>
      <c r="F30" s="729" t="s">
        <v>440</v>
      </c>
      <c r="G30" s="1915"/>
      <c r="H30" s="1903"/>
      <c r="I30" s="1909"/>
      <c r="J30" s="1901"/>
      <c r="K30" s="783"/>
      <c r="L30" s="780"/>
      <c r="M30" s="780"/>
      <c r="N30" s="780"/>
      <c r="O30" s="780"/>
      <c r="P30" s="780"/>
      <c r="Q30" s="780"/>
      <c r="R30" s="780"/>
      <c r="S30" s="780"/>
      <c r="T30" s="780"/>
      <c r="U30" s="780"/>
      <c r="V30" s="780"/>
      <c r="W30" s="784"/>
      <c r="X30" s="784"/>
      <c r="Y30" s="784"/>
      <c r="Z30" s="784"/>
      <c r="AA30" s="784"/>
      <c r="AB30" s="784"/>
      <c r="AC30" s="784"/>
      <c r="AD30" s="784"/>
      <c r="AE30" s="784"/>
      <c r="AF30" s="784"/>
      <c r="AG30" s="779"/>
      <c r="AH30" s="794">
        <f>57.4/1.18</f>
        <v>48.644067796610173</v>
      </c>
      <c r="AI30" s="780"/>
      <c r="AJ30" s="771"/>
      <c r="AK30" s="786"/>
      <c r="AL30" s="1905"/>
      <c r="AM30" s="1906"/>
    </row>
    <row r="31" spans="1:39">
      <c r="A31" s="1898" t="s">
        <v>144</v>
      </c>
      <c r="B31" s="1237" t="s">
        <v>342</v>
      </c>
      <c r="C31" s="1238"/>
      <c r="D31" s="1238"/>
      <c r="E31" s="1238"/>
      <c r="F31" s="1239"/>
      <c r="G31" s="1914">
        <v>400</v>
      </c>
      <c r="H31" s="1902">
        <v>1.18</v>
      </c>
      <c r="I31" s="1908">
        <f>G31/H31</f>
        <v>338.98305084745766</v>
      </c>
      <c r="J31" s="1900">
        <f>SUM(K31:AM31)</f>
        <v>0</v>
      </c>
      <c r="K31" s="783"/>
      <c r="L31" s="780"/>
      <c r="M31" s="780"/>
      <c r="N31" s="780"/>
      <c r="O31" s="780"/>
      <c r="P31" s="780"/>
      <c r="Q31" s="780"/>
      <c r="R31" s="780"/>
      <c r="S31" s="780"/>
      <c r="T31" s="780"/>
      <c r="U31" s="780"/>
      <c r="V31" s="780"/>
      <c r="W31" s="784"/>
      <c r="X31" s="784"/>
      <c r="Y31" s="784"/>
      <c r="Z31" s="784"/>
      <c r="AA31" s="784"/>
      <c r="AB31" s="784"/>
      <c r="AC31" s="784"/>
      <c r="AD31" s="784"/>
      <c r="AE31" s="784"/>
      <c r="AF31" s="784"/>
      <c r="AG31" s="779"/>
      <c r="AH31" s="784"/>
      <c r="AI31" s="795"/>
      <c r="AJ31" s="780"/>
      <c r="AK31" s="780"/>
      <c r="AL31" s="1904" t="s">
        <v>1327</v>
      </c>
      <c r="AM31" s="1904" t="s">
        <v>1328</v>
      </c>
    </row>
    <row r="32" spans="1:39" ht="30">
      <c r="A32" s="1899"/>
      <c r="B32" s="781" t="s">
        <v>438</v>
      </c>
      <c r="C32" s="782" t="s">
        <v>459</v>
      </c>
      <c r="D32" s="782" t="s">
        <v>439</v>
      </c>
      <c r="E32" s="782" t="s">
        <v>442</v>
      </c>
      <c r="F32" s="729" t="s">
        <v>440</v>
      </c>
      <c r="G32" s="1914"/>
      <c r="H32" s="1903"/>
      <c r="I32" s="1909"/>
      <c r="J32" s="1910"/>
      <c r="K32" s="783"/>
      <c r="L32" s="780"/>
      <c r="M32" s="780"/>
      <c r="N32" s="780"/>
      <c r="O32" s="780"/>
      <c r="P32" s="780"/>
      <c r="Q32" s="780"/>
      <c r="R32" s="780"/>
      <c r="S32" s="780"/>
      <c r="T32" s="780"/>
      <c r="U32" s="780"/>
      <c r="V32" s="780"/>
      <c r="W32" s="784"/>
      <c r="X32" s="784"/>
      <c r="Y32" s="784"/>
      <c r="Z32" s="784"/>
      <c r="AA32" s="784"/>
      <c r="AB32" s="784"/>
      <c r="AC32" s="784"/>
      <c r="AD32" s="785"/>
      <c r="AE32" s="784"/>
      <c r="AF32" s="784"/>
      <c r="AG32" s="779"/>
      <c r="AH32" s="784"/>
      <c r="AI32" s="780"/>
      <c r="AJ32" s="771"/>
      <c r="AK32" s="786"/>
      <c r="AL32" s="1905"/>
      <c r="AM32" s="1906"/>
    </row>
    <row r="33" spans="1:39">
      <c r="A33" s="1898" t="s">
        <v>145</v>
      </c>
      <c r="B33" s="1237" t="s">
        <v>1547</v>
      </c>
      <c r="C33" s="1238"/>
      <c r="D33" s="1238"/>
      <c r="E33" s="1238"/>
      <c r="F33" s="1239"/>
      <c r="G33" s="1914">
        <v>1056.55</v>
      </c>
      <c r="H33" s="1902">
        <v>1.18</v>
      </c>
      <c r="I33" s="1908">
        <f>G33/H33</f>
        <v>895.38135593220341</v>
      </c>
      <c r="J33" s="1900">
        <f>SUM(K33:AM33)</f>
        <v>895.38046610169511</v>
      </c>
      <c r="K33" s="783"/>
      <c r="L33" s="780"/>
      <c r="M33" s="780"/>
      <c r="N33" s="796">
        <f>1056.54895/1.18</f>
        <v>895.38046610169511</v>
      </c>
      <c r="O33" s="780"/>
      <c r="P33" s="780"/>
      <c r="Q33" s="780"/>
      <c r="R33" s="780"/>
      <c r="S33" s="780"/>
      <c r="T33" s="780"/>
      <c r="U33" s="780"/>
      <c r="V33" s="780"/>
      <c r="W33" s="784"/>
      <c r="X33" s="784"/>
      <c r="Y33" s="784"/>
      <c r="Z33" s="784"/>
      <c r="AA33" s="784"/>
      <c r="AB33" s="784"/>
      <c r="AC33" s="784"/>
      <c r="AD33" s="784"/>
      <c r="AE33" s="784"/>
      <c r="AF33" s="784"/>
      <c r="AG33" s="779"/>
      <c r="AH33" s="784"/>
      <c r="AI33" s="780"/>
      <c r="AJ33" s="780"/>
      <c r="AK33" s="780"/>
      <c r="AL33" s="1904" t="s">
        <v>1327</v>
      </c>
      <c r="AM33" s="1904" t="s">
        <v>1328</v>
      </c>
    </row>
    <row r="34" spans="1:39" ht="30">
      <c r="A34" s="1899"/>
      <c r="B34" s="781" t="s">
        <v>438</v>
      </c>
      <c r="C34" s="782" t="s">
        <v>449</v>
      </c>
      <c r="D34" s="782" t="s">
        <v>439</v>
      </c>
      <c r="E34" s="782" t="s">
        <v>453</v>
      </c>
      <c r="F34" s="729" t="s">
        <v>440</v>
      </c>
      <c r="G34" s="1914"/>
      <c r="H34" s="1903"/>
      <c r="I34" s="1909"/>
      <c r="J34" s="1910"/>
      <c r="K34" s="783"/>
      <c r="L34" s="780"/>
      <c r="M34" s="780"/>
      <c r="N34" s="780"/>
      <c r="O34" s="780"/>
      <c r="P34" s="780"/>
      <c r="Q34" s="780"/>
      <c r="R34" s="780"/>
      <c r="S34" s="780"/>
      <c r="T34" s="780"/>
      <c r="U34" s="780"/>
      <c r="V34" s="780"/>
      <c r="W34" s="784"/>
      <c r="X34" s="784"/>
      <c r="Y34" s="784"/>
      <c r="Z34" s="784"/>
      <c r="AA34" s="784"/>
      <c r="AB34" s="797"/>
      <c r="AC34" s="784"/>
      <c r="AD34" s="784"/>
      <c r="AE34" s="784"/>
      <c r="AF34" s="784"/>
      <c r="AG34" s="779"/>
      <c r="AH34" s="784"/>
      <c r="AI34" s="780"/>
      <c r="AJ34" s="771"/>
      <c r="AK34" s="786"/>
      <c r="AL34" s="1905"/>
      <c r="AM34" s="1906"/>
    </row>
    <row r="35" spans="1:39">
      <c r="A35" s="1907" t="s">
        <v>146</v>
      </c>
      <c r="B35" s="1237" t="s">
        <v>2105</v>
      </c>
      <c r="C35" s="1238"/>
      <c r="D35" s="1238"/>
      <c r="E35" s="1238"/>
      <c r="F35" s="1239"/>
      <c r="G35" s="1914">
        <v>600</v>
      </c>
      <c r="H35" s="1902">
        <v>1.18</v>
      </c>
      <c r="I35" s="1908">
        <f>G35/H35</f>
        <v>508.47457627118649</v>
      </c>
      <c r="J35" s="1900">
        <f>SUM(K35:AM35)</f>
        <v>0</v>
      </c>
      <c r="K35" s="783"/>
      <c r="L35" s="780"/>
      <c r="M35" s="780"/>
      <c r="N35" s="780"/>
      <c r="O35" s="780"/>
      <c r="P35" s="780"/>
      <c r="Q35" s="780"/>
      <c r="R35" s="780"/>
      <c r="S35" s="780"/>
      <c r="T35" s="780"/>
      <c r="U35" s="780"/>
      <c r="V35" s="780"/>
      <c r="W35" s="784"/>
      <c r="X35" s="784"/>
      <c r="Y35" s="784"/>
      <c r="Z35" s="784"/>
      <c r="AA35" s="784"/>
      <c r="AB35" s="790"/>
      <c r="AC35" s="784"/>
      <c r="AD35" s="784"/>
      <c r="AE35" s="784"/>
      <c r="AF35" s="784"/>
      <c r="AG35" s="779"/>
      <c r="AH35" s="784"/>
      <c r="AI35" s="780"/>
      <c r="AJ35" s="771"/>
      <c r="AK35" s="786"/>
      <c r="AL35" s="1904" t="s">
        <v>1327</v>
      </c>
      <c r="AM35" s="1904" t="s">
        <v>1328</v>
      </c>
    </row>
    <row r="36" spans="1:39" ht="30">
      <c r="A36" s="1907"/>
      <c r="B36" s="781" t="s">
        <v>438</v>
      </c>
      <c r="C36" s="782" t="s">
        <v>459</v>
      </c>
      <c r="D36" s="782" t="s">
        <v>439</v>
      </c>
      <c r="E36" s="782" t="s">
        <v>467</v>
      </c>
      <c r="F36" s="729" t="s">
        <v>440</v>
      </c>
      <c r="G36" s="1914"/>
      <c r="H36" s="1903"/>
      <c r="I36" s="1909"/>
      <c r="J36" s="1910"/>
      <c r="K36" s="783"/>
      <c r="L36" s="780"/>
      <c r="M36" s="780"/>
      <c r="N36" s="780"/>
      <c r="O36" s="780"/>
      <c r="P36" s="780"/>
      <c r="Q36" s="780"/>
      <c r="R36" s="780"/>
      <c r="S36" s="780"/>
      <c r="T36" s="780"/>
      <c r="U36" s="780"/>
      <c r="V36" s="780"/>
      <c r="W36" s="784"/>
      <c r="X36" s="784"/>
      <c r="Y36" s="784"/>
      <c r="Z36" s="784"/>
      <c r="AA36" s="784"/>
      <c r="AB36" s="784"/>
      <c r="AC36" s="784"/>
      <c r="AD36" s="784"/>
      <c r="AE36" s="784"/>
      <c r="AF36" s="784"/>
      <c r="AG36" s="779"/>
      <c r="AH36" s="784"/>
      <c r="AI36" s="780"/>
      <c r="AJ36" s="771"/>
      <c r="AK36" s="786"/>
      <c r="AL36" s="1905"/>
      <c r="AM36" s="1906"/>
    </row>
    <row r="37" spans="1:39">
      <c r="A37" s="1907" t="s">
        <v>147</v>
      </c>
      <c r="B37" s="1237" t="s">
        <v>1548</v>
      </c>
      <c r="C37" s="1238"/>
      <c r="D37" s="1238"/>
      <c r="E37" s="1238"/>
      <c r="F37" s="1239"/>
      <c r="G37" s="1900">
        <v>7743.26</v>
      </c>
      <c r="H37" s="1902">
        <v>1.18</v>
      </c>
      <c r="I37" s="1908">
        <f>G37/H37</f>
        <v>6562.0847457627124</v>
      </c>
      <c r="J37" s="1900">
        <f>P37+X37+AD37</f>
        <v>6562.0828389830513</v>
      </c>
      <c r="K37" s="785"/>
      <c r="L37" s="785"/>
      <c r="M37" s="785"/>
      <c r="N37" s="785"/>
      <c r="O37" s="785"/>
      <c r="P37" s="442">
        <f>4553.36243/1.18</f>
        <v>3858.7817203389832</v>
      </c>
      <c r="Q37" s="442"/>
      <c r="R37" s="442"/>
      <c r="S37" s="442"/>
      <c r="T37" s="442"/>
      <c r="U37" s="442"/>
      <c r="V37" s="785"/>
      <c r="W37" s="785"/>
      <c r="X37" s="442">
        <f>2434.71679/1.18</f>
        <v>2063.3193135593219</v>
      </c>
      <c r="Y37" s="785"/>
      <c r="Z37" s="785"/>
      <c r="AA37" s="785"/>
      <c r="AB37" s="785"/>
      <c r="AC37" s="442"/>
      <c r="AD37" s="442">
        <f>755.17853/1.18</f>
        <v>639.98180508474582</v>
      </c>
      <c r="AE37" s="785"/>
      <c r="AF37" s="785"/>
      <c r="AG37" s="779"/>
      <c r="AH37" s="785"/>
      <c r="AI37" s="785"/>
      <c r="AJ37" s="771"/>
      <c r="AK37" s="786"/>
      <c r="AL37" s="1904" t="s">
        <v>1327</v>
      </c>
      <c r="AM37" s="1904" t="s">
        <v>1328</v>
      </c>
    </row>
    <row r="38" spans="1:39" ht="30">
      <c r="A38" s="1907"/>
      <c r="B38" s="798" t="s">
        <v>438</v>
      </c>
      <c r="C38" s="798">
        <v>2500</v>
      </c>
      <c r="D38" s="798" t="s">
        <v>1549</v>
      </c>
      <c r="E38" s="798"/>
      <c r="F38" s="799" t="s">
        <v>1550</v>
      </c>
      <c r="G38" s="1901"/>
      <c r="H38" s="1903"/>
      <c r="I38" s="1909"/>
      <c r="J38" s="1903"/>
      <c r="K38" s="783"/>
      <c r="L38" s="780"/>
      <c r="M38" s="780"/>
      <c r="N38" s="780"/>
      <c r="O38" s="780"/>
      <c r="P38" s="800"/>
      <c r="Q38" s="800"/>
      <c r="R38" s="800"/>
      <c r="S38" s="800"/>
      <c r="T38" s="800"/>
      <c r="U38" s="800"/>
      <c r="V38" s="780"/>
      <c r="W38" s="784"/>
      <c r="X38" s="801"/>
      <c r="Y38" s="784"/>
      <c r="Z38" s="784"/>
      <c r="AA38" s="784"/>
      <c r="AB38" s="790"/>
      <c r="AC38" s="785"/>
      <c r="AD38" s="785"/>
      <c r="AE38" s="785"/>
      <c r="AF38" s="785"/>
      <c r="AG38" s="779"/>
      <c r="AH38" s="785"/>
      <c r="AI38" s="785"/>
      <c r="AJ38" s="771"/>
      <c r="AK38" s="786"/>
      <c r="AL38" s="1905"/>
      <c r="AM38" s="1906"/>
    </row>
    <row r="39" spans="1:39">
      <c r="A39" s="1898" t="s">
        <v>148</v>
      </c>
      <c r="B39" s="1237" t="s">
        <v>1551</v>
      </c>
      <c r="C39" s="1912"/>
      <c r="D39" s="1912"/>
      <c r="E39" s="1912"/>
      <c r="F39" s="1913"/>
      <c r="G39" s="1900">
        <v>1082.6199999999999</v>
      </c>
      <c r="H39" s="1902">
        <v>1.18</v>
      </c>
      <c r="I39" s="1908">
        <f>G39/H39</f>
        <v>917.47457627118638</v>
      </c>
      <c r="J39" s="1900">
        <f>P39+T39</f>
        <v>861.61987288135606</v>
      </c>
      <c r="K39" s="783"/>
      <c r="L39" s="780"/>
      <c r="M39" s="780"/>
      <c r="N39" s="780"/>
      <c r="O39" s="780"/>
      <c r="P39" s="462">
        <f>768.13282/1.18</f>
        <v>650.96001694915265</v>
      </c>
      <c r="Q39" s="800"/>
      <c r="R39" s="800"/>
      <c r="S39" s="800"/>
      <c r="T39" s="462">
        <f>248.57863/1.18</f>
        <v>210.65985593220341</v>
      </c>
      <c r="U39" s="800"/>
      <c r="V39" s="780"/>
      <c r="W39" s="784"/>
      <c r="X39" s="801"/>
      <c r="Y39" s="784"/>
      <c r="Z39" s="784"/>
      <c r="AA39" s="784"/>
      <c r="AB39" s="790"/>
      <c r="AC39" s="785"/>
      <c r="AD39" s="785"/>
      <c r="AE39" s="785"/>
      <c r="AF39" s="785"/>
      <c r="AG39" s="779"/>
      <c r="AH39" s="785"/>
      <c r="AI39" s="785"/>
      <c r="AJ39" s="771"/>
      <c r="AK39" s="786"/>
      <c r="AL39" s="1904" t="s">
        <v>1327</v>
      </c>
      <c r="AM39" s="1904" t="s">
        <v>1328</v>
      </c>
    </row>
    <row r="40" spans="1:39">
      <c r="A40" s="1911"/>
      <c r="B40" s="802" t="s">
        <v>1552</v>
      </c>
      <c r="C40" s="803"/>
      <c r="D40" s="803"/>
      <c r="E40" s="804" t="s">
        <v>1553</v>
      </c>
      <c r="F40" s="804"/>
      <c r="G40" s="1903"/>
      <c r="H40" s="1903"/>
      <c r="I40" s="1909"/>
      <c r="J40" s="1903"/>
      <c r="K40" s="783"/>
      <c r="L40" s="780"/>
      <c r="M40" s="780"/>
      <c r="N40" s="780"/>
      <c r="O40" s="780"/>
      <c r="P40" s="462"/>
      <c r="Q40" s="800"/>
      <c r="R40" s="800"/>
      <c r="S40" s="800"/>
      <c r="T40" s="462"/>
      <c r="U40" s="800"/>
      <c r="V40" s="780"/>
      <c r="W40" s="784"/>
      <c r="X40" s="801"/>
      <c r="Y40" s="784"/>
      <c r="Z40" s="784"/>
      <c r="AA40" s="784"/>
      <c r="AB40" s="790"/>
      <c r="AC40" s="785"/>
      <c r="AD40" s="785"/>
      <c r="AE40" s="785"/>
      <c r="AF40" s="785"/>
      <c r="AG40" s="779"/>
      <c r="AH40" s="785"/>
      <c r="AI40" s="785"/>
      <c r="AJ40" s="771"/>
      <c r="AK40" s="786"/>
      <c r="AL40" s="1905"/>
      <c r="AM40" s="1906"/>
    </row>
    <row r="41" spans="1:39">
      <c r="A41" s="1898" t="s">
        <v>149</v>
      </c>
      <c r="B41" s="1237" t="s">
        <v>1554</v>
      </c>
      <c r="C41" s="1238"/>
      <c r="D41" s="1238"/>
      <c r="E41" s="1238"/>
      <c r="F41" s="1239"/>
      <c r="G41" s="1900">
        <v>8268.75</v>
      </c>
      <c r="H41" s="1902">
        <v>1.18</v>
      </c>
      <c r="I41" s="1908">
        <f>G41/H41</f>
        <v>7007.4152542372885</v>
      </c>
      <c r="J41" s="1900">
        <f>SUM(K41:AM41)</f>
        <v>7007.4151525423731</v>
      </c>
      <c r="K41" s="785"/>
      <c r="L41" s="785"/>
      <c r="M41" s="785"/>
      <c r="N41" s="785"/>
      <c r="O41" s="785"/>
      <c r="P41" s="442"/>
      <c r="Q41" s="442"/>
      <c r="R41" s="442"/>
      <c r="S41" s="442"/>
      <c r="T41" s="442"/>
      <c r="U41" s="442"/>
      <c r="V41" s="785"/>
      <c r="W41" s="785"/>
      <c r="X41" s="442">
        <f>4017.89434/1.18</f>
        <v>3404.9952033898307</v>
      </c>
      <c r="Y41" s="785"/>
      <c r="Z41" s="785"/>
      <c r="AA41" s="785"/>
      <c r="AB41" s="785"/>
      <c r="AC41" s="442"/>
      <c r="AD41" s="442">
        <f>4250.85554/1.18</f>
        <v>3602.4199491525424</v>
      </c>
      <c r="AE41" s="785"/>
      <c r="AF41" s="785"/>
      <c r="AG41" s="779"/>
      <c r="AH41" s="785"/>
      <c r="AI41" s="785"/>
      <c r="AJ41" s="771"/>
      <c r="AK41" s="786"/>
      <c r="AL41" s="1904" t="s">
        <v>1327</v>
      </c>
      <c r="AM41" s="1904" t="s">
        <v>1328</v>
      </c>
    </row>
    <row r="42" spans="1:39" ht="30">
      <c r="A42" s="1899"/>
      <c r="B42" s="727" t="s">
        <v>438</v>
      </c>
      <c r="C42" s="728">
        <v>630</v>
      </c>
      <c r="D42" s="728" t="s">
        <v>439</v>
      </c>
      <c r="E42" s="728"/>
      <c r="F42" s="729" t="s">
        <v>1555</v>
      </c>
      <c r="G42" s="1901"/>
      <c r="H42" s="1903"/>
      <c r="I42" s="1909"/>
      <c r="J42" s="1910"/>
      <c r="K42" s="783"/>
      <c r="L42" s="780"/>
      <c r="M42" s="780"/>
      <c r="N42" s="780"/>
      <c r="O42" s="780"/>
      <c r="P42" s="800"/>
      <c r="Q42" s="800"/>
      <c r="R42" s="800"/>
      <c r="S42" s="800"/>
      <c r="T42" s="800"/>
      <c r="U42" s="800"/>
      <c r="V42" s="780"/>
      <c r="W42" s="784"/>
      <c r="X42" s="801"/>
      <c r="Y42" s="784"/>
      <c r="Z42" s="784"/>
      <c r="AA42" s="784"/>
      <c r="AB42" s="790"/>
      <c r="AC42" s="785"/>
      <c r="AD42" s="785"/>
      <c r="AE42" s="785"/>
      <c r="AF42" s="785"/>
      <c r="AG42" s="779"/>
      <c r="AH42" s="785"/>
      <c r="AI42" s="785"/>
      <c r="AJ42" s="771"/>
      <c r="AK42" s="786"/>
      <c r="AL42" s="1905"/>
      <c r="AM42" s="1906"/>
    </row>
    <row r="43" spans="1:39">
      <c r="A43" s="1889" t="s">
        <v>343</v>
      </c>
      <c r="B43" s="1890"/>
      <c r="C43" s="1890"/>
      <c r="D43" s="1890"/>
      <c r="E43" s="1890"/>
      <c r="F43" s="1891"/>
      <c r="G43" s="442">
        <f>SUM(G44:G48)</f>
        <v>952.9</v>
      </c>
      <c r="H43" s="442"/>
      <c r="I43" s="442">
        <f>SUM(I44:I48)</f>
        <v>807.54237288135596</v>
      </c>
      <c r="J43" s="442">
        <f>SUM(J44:J49)</f>
        <v>1313.0245808474576</v>
      </c>
      <c r="K43" s="783"/>
      <c r="L43" s="780"/>
      <c r="M43" s="780"/>
      <c r="N43" s="780"/>
      <c r="O43" s="780"/>
      <c r="P43" s="800"/>
      <c r="Q43" s="800"/>
      <c r="R43" s="800"/>
      <c r="S43" s="800"/>
      <c r="T43" s="800"/>
      <c r="U43" s="800"/>
      <c r="V43" s="780"/>
      <c r="W43" s="784"/>
      <c r="X43" s="784"/>
      <c r="Y43" s="784"/>
      <c r="Z43" s="784"/>
      <c r="AA43" s="784"/>
      <c r="AB43" s="790"/>
      <c r="AC43" s="785"/>
      <c r="AD43" s="785"/>
      <c r="AE43" s="785"/>
      <c r="AF43" s="785"/>
      <c r="AG43" s="779"/>
      <c r="AH43" s="785"/>
      <c r="AI43" s="785"/>
      <c r="AJ43" s="771"/>
      <c r="AK43" s="786"/>
      <c r="AL43" s="775"/>
      <c r="AM43" s="568"/>
    </row>
    <row r="44" spans="1:39">
      <c r="A44" s="775" t="s">
        <v>176</v>
      </c>
      <c r="B44" s="1883" t="s">
        <v>344</v>
      </c>
      <c r="C44" s="1884"/>
      <c r="D44" s="1884"/>
      <c r="E44" s="1884"/>
      <c r="F44" s="1885"/>
      <c r="G44" s="776">
        <v>145.94</v>
      </c>
      <c r="H44" s="776">
        <v>1.18</v>
      </c>
      <c r="I44" s="805">
        <f>G44/H44</f>
        <v>123.67796610169492</v>
      </c>
      <c r="J44" s="785">
        <f>SUM(K44:AM44)</f>
        <v>311.48305084745766</v>
      </c>
      <c r="K44" s="783"/>
      <c r="L44" s="780"/>
      <c r="M44" s="780"/>
      <c r="N44" s="780"/>
      <c r="O44" s="780"/>
      <c r="P44" s="800"/>
      <c r="Q44" s="800"/>
      <c r="R44" s="800"/>
      <c r="S44" s="800"/>
      <c r="T44" s="800"/>
      <c r="U44" s="800"/>
      <c r="V44" s="780"/>
      <c r="W44" s="784"/>
      <c r="X44" s="784"/>
      <c r="Y44" s="784"/>
      <c r="Z44" s="784"/>
      <c r="AA44" s="784"/>
      <c r="AB44" s="784"/>
      <c r="AC44" s="785"/>
      <c r="AD44" s="785"/>
      <c r="AE44" s="785"/>
      <c r="AF44" s="442">
        <f>110.428/1.18</f>
        <v>93.583050847457628</v>
      </c>
      <c r="AG44" s="779"/>
      <c r="AH44" s="442">
        <f>257.122/1.18</f>
        <v>217.90000000000003</v>
      </c>
      <c r="AI44" s="785"/>
      <c r="AJ44" s="780"/>
      <c r="AK44" s="780"/>
      <c r="AL44" s="568" t="s">
        <v>1327</v>
      </c>
      <c r="AM44" s="568" t="s">
        <v>1328</v>
      </c>
    </row>
    <row r="45" spans="1:39">
      <c r="A45" s="775" t="s">
        <v>177</v>
      </c>
      <c r="B45" s="1883" t="s">
        <v>1556</v>
      </c>
      <c r="C45" s="1884"/>
      <c r="D45" s="1884"/>
      <c r="E45" s="1884"/>
      <c r="F45" s="1885"/>
      <c r="G45" s="776">
        <v>193.54</v>
      </c>
      <c r="H45" s="776">
        <v>1.18</v>
      </c>
      <c r="I45" s="805">
        <f>G45/H45</f>
        <v>164.01694915254237</v>
      </c>
      <c r="J45" s="785">
        <v>97.55</v>
      </c>
      <c r="K45" s="783"/>
      <c r="L45" s="780"/>
      <c r="M45" s="780"/>
      <c r="N45" s="780"/>
      <c r="O45" s="780"/>
      <c r="P45" s="800"/>
      <c r="Q45" s="800"/>
      <c r="R45" s="800"/>
      <c r="S45" s="800"/>
      <c r="T45" s="800"/>
      <c r="U45" s="800"/>
      <c r="V45" s="780"/>
      <c r="W45" s="784"/>
      <c r="X45" s="784"/>
      <c r="Y45" s="784"/>
      <c r="Z45" s="784"/>
      <c r="AA45" s="784"/>
      <c r="AB45" s="784"/>
      <c r="AC45" s="785"/>
      <c r="AD45" s="785"/>
      <c r="AE45" s="785"/>
      <c r="AF45" s="442">
        <f>118.217/1.18</f>
        <v>100.18389830508475</v>
      </c>
      <c r="AG45" s="779"/>
      <c r="AH45" s="442">
        <f>115.108/1.18</f>
        <v>97.549152542372894</v>
      </c>
      <c r="AI45" s="785"/>
      <c r="AJ45" s="780"/>
      <c r="AK45" s="780"/>
      <c r="AL45" s="568" t="s">
        <v>1327</v>
      </c>
      <c r="AM45" s="568" t="s">
        <v>1328</v>
      </c>
    </row>
    <row r="46" spans="1:39">
      <c r="A46" s="775" t="s">
        <v>178</v>
      </c>
      <c r="B46" s="1883" t="s">
        <v>345</v>
      </c>
      <c r="C46" s="1884"/>
      <c r="D46" s="1884"/>
      <c r="E46" s="1884"/>
      <c r="F46" s="1885"/>
      <c r="G46" s="776">
        <v>176.76</v>
      </c>
      <c r="H46" s="776">
        <v>1.18</v>
      </c>
      <c r="I46" s="805">
        <f>G46/H46</f>
        <v>149.79661016949152</v>
      </c>
      <c r="J46" s="785">
        <v>176.3</v>
      </c>
      <c r="K46" s="783"/>
      <c r="L46" s="780"/>
      <c r="M46" s="780"/>
      <c r="N46" s="780"/>
      <c r="O46" s="780"/>
      <c r="P46" s="800"/>
      <c r="Q46" s="800"/>
      <c r="R46" s="800"/>
      <c r="S46" s="800"/>
      <c r="T46" s="800"/>
      <c r="U46" s="800"/>
      <c r="V46" s="780"/>
      <c r="W46" s="784"/>
      <c r="X46" s="784"/>
      <c r="Y46" s="784"/>
      <c r="Z46" s="784"/>
      <c r="AA46" s="784"/>
      <c r="AB46" s="784"/>
      <c r="AC46" s="785"/>
      <c r="AD46" s="785"/>
      <c r="AE46" s="785"/>
      <c r="AF46" s="785"/>
      <c r="AG46" s="779"/>
      <c r="AH46" s="442">
        <f>144.404/1.18</f>
        <v>122.37627118644068</v>
      </c>
      <c r="AI46" s="785"/>
      <c r="AJ46" s="780"/>
      <c r="AK46" s="780"/>
      <c r="AL46" s="568" t="s">
        <v>1327</v>
      </c>
      <c r="AM46" s="568" t="s">
        <v>1328</v>
      </c>
    </row>
    <row r="47" spans="1:39">
      <c r="A47" s="775" t="s">
        <v>179</v>
      </c>
      <c r="B47" s="1883" t="s">
        <v>1346</v>
      </c>
      <c r="C47" s="1884"/>
      <c r="D47" s="1884"/>
      <c r="E47" s="1884"/>
      <c r="F47" s="1885"/>
      <c r="G47" s="776">
        <v>394.39</v>
      </c>
      <c r="H47" s="776">
        <v>1.18</v>
      </c>
      <c r="I47" s="805">
        <f>G47/H47</f>
        <v>334.22881355932202</v>
      </c>
      <c r="J47" s="785">
        <f>SUM(K47:AM47)</f>
        <v>334.23153000000002</v>
      </c>
      <c r="K47" s="783"/>
      <c r="L47" s="780"/>
      <c r="M47" s="780"/>
      <c r="N47" s="780"/>
      <c r="O47" s="780"/>
      <c r="P47" s="800"/>
      <c r="Q47" s="800"/>
      <c r="R47" s="800"/>
      <c r="S47" s="800"/>
      <c r="T47" s="800"/>
      <c r="U47" s="800"/>
      <c r="V47" s="462">
        <v>334.23153000000002</v>
      </c>
      <c r="W47" s="784"/>
      <c r="X47" s="784"/>
      <c r="Y47" s="784"/>
      <c r="Z47" s="784"/>
      <c r="AA47" s="784"/>
      <c r="AB47" s="784"/>
      <c r="AC47" s="785"/>
      <c r="AD47" s="785"/>
      <c r="AE47" s="785"/>
      <c r="AF47" s="785"/>
      <c r="AG47" s="779"/>
      <c r="AH47" s="442"/>
      <c r="AI47" s="785"/>
      <c r="AJ47" s="780"/>
      <c r="AK47" s="780"/>
      <c r="AL47" s="568" t="s">
        <v>1327</v>
      </c>
      <c r="AM47" s="568" t="s">
        <v>1328</v>
      </c>
    </row>
    <row r="48" spans="1:39">
      <c r="A48" s="806" t="s">
        <v>180</v>
      </c>
      <c r="B48" s="1880" t="s">
        <v>1557</v>
      </c>
      <c r="C48" s="1896"/>
      <c r="D48" s="1896"/>
      <c r="E48" s="1896"/>
      <c r="F48" s="1897"/>
      <c r="G48" s="776">
        <v>42.27</v>
      </c>
      <c r="H48" s="776">
        <v>1.18</v>
      </c>
      <c r="I48" s="805">
        <f>G48/H48</f>
        <v>35.822033898305087</v>
      </c>
      <c r="J48" s="785">
        <v>42.27</v>
      </c>
      <c r="K48" s="783"/>
      <c r="L48" s="780"/>
      <c r="M48" s="780"/>
      <c r="N48" s="780"/>
      <c r="O48" s="780"/>
      <c r="P48" s="800"/>
      <c r="Q48" s="800"/>
      <c r="R48" s="800"/>
      <c r="S48" s="800"/>
      <c r="T48" s="462">
        <f>42.26718</f>
        <v>42.267180000000003</v>
      </c>
      <c r="U48" s="800"/>
      <c r="V48" s="780"/>
      <c r="W48" s="784"/>
      <c r="X48" s="784"/>
      <c r="Y48" s="784"/>
      <c r="Z48" s="784"/>
      <c r="AA48" s="784"/>
      <c r="AB48" s="784"/>
      <c r="AC48" s="785"/>
      <c r="AD48" s="785"/>
      <c r="AE48" s="785"/>
      <c r="AF48" s="785"/>
      <c r="AG48" s="779"/>
      <c r="AH48" s="785"/>
      <c r="AI48" s="785"/>
      <c r="AJ48" s="780"/>
      <c r="AK48" s="780"/>
      <c r="AL48" s="568" t="s">
        <v>1327</v>
      </c>
      <c r="AM48" s="568" t="s">
        <v>1328</v>
      </c>
    </row>
    <row r="49" spans="1:39">
      <c r="A49" s="775" t="s">
        <v>181</v>
      </c>
      <c r="B49" s="1880" t="s">
        <v>1558</v>
      </c>
      <c r="C49" s="1881"/>
      <c r="D49" s="1881"/>
      <c r="E49" s="1881"/>
      <c r="F49" s="1882"/>
      <c r="G49" s="776"/>
      <c r="H49" s="777"/>
      <c r="I49" s="778"/>
      <c r="J49" s="793">
        <v>351.19</v>
      </c>
      <c r="K49" s="783"/>
      <c r="L49" s="780"/>
      <c r="M49" s="780"/>
      <c r="N49" s="780"/>
      <c r="O49" s="780"/>
      <c r="P49" s="800"/>
      <c r="Q49" s="800"/>
      <c r="R49" s="800"/>
      <c r="S49" s="800"/>
      <c r="T49" s="462"/>
      <c r="U49" s="800"/>
      <c r="V49" s="780"/>
      <c r="W49" s="784"/>
      <c r="X49" s="784"/>
      <c r="Y49" s="784"/>
      <c r="Z49" s="784"/>
      <c r="AA49" s="784"/>
      <c r="AB49" s="784"/>
      <c r="AC49" s="785"/>
      <c r="AD49" s="785"/>
      <c r="AE49" s="785"/>
      <c r="AF49" s="785"/>
      <c r="AG49" s="779"/>
      <c r="AH49" s="785"/>
      <c r="AI49" s="785"/>
      <c r="AJ49" s="780"/>
      <c r="AK49" s="780"/>
      <c r="AL49" s="568" t="s">
        <v>1327</v>
      </c>
      <c r="AM49" s="568" t="s">
        <v>1328</v>
      </c>
    </row>
    <row r="50" spans="1:39">
      <c r="A50" s="1889" t="s">
        <v>346</v>
      </c>
      <c r="B50" s="1890"/>
      <c r="C50" s="1890"/>
      <c r="D50" s="1890"/>
      <c r="E50" s="1890"/>
      <c r="F50" s="1890"/>
      <c r="G50" s="442">
        <f>SUM(G51:G57)</f>
        <v>3955.5299999999997</v>
      </c>
      <c r="H50" s="456"/>
      <c r="I50" s="456">
        <f>SUM(I51:I57)</f>
        <v>3352.1440677966102</v>
      </c>
      <c r="J50" s="456">
        <f>SUM(J51:J57)</f>
        <v>1212.4352422033899</v>
      </c>
      <c r="K50" s="783"/>
      <c r="L50" s="780"/>
      <c r="M50" s="780"/>
      <c r="N50" s="780"/>
      <c r="O50" s="780"/>
      <c r="P50" s="780"/>
      <c r="Q50" s="780"/>
      <c r="R50" s="780"/>
      <c r="S50" s="780"/>
      <c r="T50" s="780"/>
      <c r="U50" s="780"/>
      <c r="V50" s="780"/>
      <c r="W50" s="784"/>
      <c r="X50" s="784"/>
      <c r="Y50" s="784"/>
      <c r="Z50" s="784"/>
      <c r="AA50" s="784"/>
      <c r="AB50" s="784"/>
      <c r="AC50" s="785"/>
      <c r="AD50" s="785"/>
      <c r="AE50" s="785"/>
      <c r="AF50" s="785"/>
      <c r="AG50" s="779"/>
      <c r="AH50" s="785"/>
      <c r="AI50" s="785"/>
      <c r="AJ50" s="780"/>
      <c r="AK50" s="780"/>
      <c r="AL50" s="568"/>
      <c r="AM50" s="568"/>
    </row>
    <row r="51" spans="1:39">
      <c r="A51" s="775" t="s">
        <v>198</v>
      </c>
      <c r="B51" s="1880" t="s">
        <v>347</v>
      </c>
      <c r="C51" s="1881"/>
      <c r="D51" s="1881"/>
      <c r="E51" s="1881"/>
      <c r="F51" s="1882"/>
      <c r="G51" s="776">
        <v>805.05</v>
      </c>
      <c r="H51" s="776">
        <v>1.18</v>
      </c>
      <c r="I51" s="805">
        <f t="shared" ref="I51:I57" si="0">G51/H51</f>
        <v>682.24576271186436</v>
      </c>
      <c r="J51" s="785">
        <f t="shared" ref="J51:J57" si="1">SUM(K51:AM51)</f>
        <v>382.89322033898304</v>
      </c>
      <c r="K51" s="783"/>
      <c r="L51" s="780"/>
      <c r="M51" s="780"/>
      <c r="N51" s="780"/>
      <c r="O51" s="780"/>
      <c r="P51" s="780"/>
      <c r="Q51" s="780"/>
      <c r="R51" s="780"/>
      <c r="S51" s="780"/>
      <c r="T51" s="780"/>
      <c r="U51" s="780"/>
      <c r="V51" s="780"/>
      <c r="W51" s="784"/>
      <c r="X51" s="784"/>
      <c r="Y51" s="784"/>
      <c r="Z51" s="784"/>
      <c r="AA51" s="784"/>
      <c r="AB51" s="784"/>
      <c r="AC51" s="785"/>
      <c r="AD51" s="785"/>
      <c r="AE51" s="785"/>
      <c r="AF51" s="785"/>
      <c r="AG51" s="779"/>
      <c r="AH51" s="442">
        <f>(197.596+254.218)/1.18</f>
        <v>382.89322033898304</v>
      </c>
      <c r="AI51" s="785"/>
      <c r="AJ51" s="780"/>
      <c r="AK51" s="780"/>
      <c r="AL51" s="568" t="s">
        <v>1327</v>
      </c>
      <c r="AM51" s="568" t="s">
        <v>1328</v>
      </c>
    </row>
    <row r="52" spans="1:39">
      <c r="A52" s="775" t="s">
        <v>199</v>
      </c>
      <c r="B52" s="1880" t="s">
        <v>1559</v>
      </c>
      <c r="C52" s="1881"/>
      <c r="D52" s="1881"/>
      <c r="E52" s="1881"/>
      <c r="F52" s="1882"/>
      <c r="G52" s="776">
        <v>457.28</v>
      </c>
      <c r="H52" s="776">
        <v>1.18</v>
      </c>
      <c r="I52" s="805">
        <f t="shared" si="0"/>
        <v>387.52542372881356</v>
      </c>
      <c r="J52" s="785">
        <f t="shared" si="1"/>
        <v>43.755076271186439</v>
      </c>
      <c r="K52" s="783"/>
      <c r="L52" s="780"/>
      <c r="M52" s="780"/>
      <c r="N52" s="780"/>
      <c r="O52" s="780"/>
      <c r="P52" s="780"/>
      <c r="Q52" s="780"/>
      <c r="R52" s="780"/>
      <c r="S52" s="780"/>
      <c r="T52" s="780"/>
      <c r="U52" s="780"/>
      <c r="V52" s="780"/>
      <c r="W52" s="784"/>
      <c r="X52" s="784"/>
      <c r="Y52" s="784"/>
      <c r="Z52" s="784"/>
      <c r="AA52" s="784"/>
      <c r="AB52" s="784"/>
      <c r="AC52" s="785"/>
      <c r="AD52" s="785"/>
      <c r="AE52" s="785"/>
      <c r="AF52" s="785"/>
      <c r="AG52" s="779"/>
      <c r="AH52" s="442">
        <f>51.63099/1.18</f>
        <v>43.755076271186439</v>
      </c>
      <c r="AI52" s="785"/>
      <c r="AJ52" s="780"/>
      <c r="AK52" s="780"/>
      <c r="AL52" s="568" t="s">
        <v>1327</v>
      </c>
      <c r="AM52" s="568" t="s">
        <v>1328</v>
      </c>
    </row>
    <row r="53" spans="1:39">
      <c r="A53" s="775" t="s">
        <v>200</v>
      </c>
      <c r="B53" s="1880" t="s">
        <v>345</v>
      </c>
      <c r="C53" s="1881"/>
      <c r="D53" s="1881"/>
      <c r="E53" s="1881"/>
      <c r="F53" s="1882"/>
      <c r="G53" s="776">
        <v>441.88</v>
      </c>
      <c r="H53" s="776">
        <v>1.18</v>
      </c>
      <c r="I53" s="805">
        <f t="shared" si="0"/>
        <v>374.47457627118644</v>
      </c>
      <c r="J53" s="785">
        <v>242.92</v>
      </c>
      <c r="K53" s="783"/>
      <c r="L53" s="780"/>
      <c r="M53" s="780"/>
      <c r="N53" s="780"/>
      <c r="O53" s="780"/>
      <c r="P53" s="780"/>
      <c r="Q53" s="780"/>
      <c r="R53" s="780"/>
      <c r="S53" s="780"/>
      <c r="T53" s="780"/>
      <c r="U53" s="780"/>
      <c r="V53" s="780"/>
      <c r="W53" s="784"/>
      <c r="X53" s="784"/>
      <c r="Y53" s="784"/>
      <c r="Z53" s="784"/>
      <c r="AA53" s="784"/>
      <c r="AB53" s="784"/>
      <c r="AC53" s="785"/>
      <c r="AD53" s="785"/>
      <c r="AE53" s="785"/>
      <c r="AF53" s="442">
        <f>142.238/1.18</f>
        <v>120.5406779661017</v>
      </c>
      <c r="AG53" s="779"/>
      <c r="AH53" s="442">
        <f>208.033/1.18</f>
        <v>176.29915254237287</v>
      </c>
      <c r="AI53" s="785"/>
      <c r="AJ53" s="776"/>
      <c r="AK53" s="786"/>
      <c r="AL53" s="568" t="s">
        <v>1327</v>
      </c>
      <c r="AM53" s="568" t="s">
        <v>1328</v>
      </c>
    </row>
    <row r="54" spans="1:39">
      <c r="A54" s="775" t="s">
        <v>201</v>
      </c>
      <c r="B54" s="1880" t="s">
        <v>348</v>
      </c>
      <c r="C54" s="1881"/>
      <c r="D54" s="1881"/>
      <c r="E54" s="1881"/>
      <c r="F54" s="1882"/>
      <c r="G54" s="776">
        <v>190.6</v>
      </c>
      <c r="H54" s="776">
        <v>1.18</v>
      </c>
      <c r="I54" s="805">
        <f t="shared" si="0"/>
        <v>161.52542372881356</v>
      </c>
      <c r="J54" s="785">
        <f t="shared" si="1"/>
        <v>0</v>
      </c>
      <c r="K54" s="783"/>
      <c r="L54" s="780"/>
      <c r="M54" s="780"/>
      <c r="N54" s="780"/>
      <c r="O54" s="780"/>
      <c r="P54" s="780"/>
      <c r="Q54" s="780"/>
      <c r="R54" s="780"/>
      <c r="S54" s="780"/>
      <c r="T54" s="780"/>
      <c r="U54" s="780"/>
      <c r="V54" s="780"/>
      <c r="W54" s="784"/>
      <c r="X54" s="784"/>
      <c r="Y54" s="784"/>
      <c r="Z54" s="784"/>
      <c r="AA54" s="784"/>
      <c r="AB54" s="784"/>
      <c r="AC54" s="785"/>
      <c r="AD54" s="785"/>
      <c r="AE54" s="785"/>
      <c r="AF54" s="785"/>
      <c r="AG54" s="779"/>
      <c r="AH54" s="785"/>
      <c r="AI54" s="785"/>
      <c r="AJ54" s="780"/>
      <c r="AK54" s="780"/>
      <c r="AL54" s="568" t="s">
        <v>1327</v>
      </c>
      <c r="AM54" s="568" t="s">
        <v>1328</v>
      </c>
    </row>
    <row r="55" spans="1:39">
      <c r="A55" s="775" t="s">
        <v>202</v>
      </c>
      <c r="B55" s="1880" t="s">
        <v>1560</v>
      </c>
      <c r="C55" s="1881"/>
      <c r="D55" s="1881"/>
      <c r="E55" s="1881"/>
      <c r="F55" s="1882"/>
      <c r="G55" s="776">
        <v>441.88</v>
      </c>
      <c r="H55" s="776">
        <v>1.18</v>
      </c>
      <c r="I55" s="805">
        <f t="shared" si="0"/>
        <v>374.47457627118644</v>
      </c>
      <c r="J55" s="785">
        <f t="shared" si="1"/>
        <v>0</v>
      </c>
      <c r="K55" s="783"/>
      <c r="L55" s="780"/>
      <c r="M55" s="780"/>
      <c r="N55" s="780"/>
      <c r="O55" s="780"/>
      <c r="P55" s="780"/>
      <c r="Q55" s="780"/>
      <c r="R55" s="780"/>
      <c r="S55" s="780"/>
      <c r="T55" s="780"/>
      <c r="U55" s="780"/>
      <c r="V55" s="780"/>
      <c r="W55" s="784"/>
      <c r="X55" s="784"/>
      <c r="Y55" s="784"/>
      <c r="Z55" s="784"/>
      <c r="AA55" s="784"/>
      <c r="AB55" s="784"/>
      <c r="AC55" s="785"/>
      <c r="AD55" s="785"/>
      <c r="AE55" s="785"/>
      <c r="AF55" s="785"/>
      <c r="AG55" s="779"/>
      <c r="AH55" s="785"/>
      <c r="AI55" s="785"/>
      <c r="AJ55" s="771"/>
      <c r="AK55" s="786"/>
      <c r="AL55" s="568" t="s">
        <v>1327</v>
      </c>
      <c r="AM55" s="568" t="s">
        <v>1328</v>
      </c>
    </row>
    <row r="56" spans="1:39">
      <c r="A56" s="775" t="s">
        <v>203</v>
      </c>
      <c r="B56" s="1880" t="s">
        <v>349</v>
      </c>
      <c r="C56" s="1881"/>
      <c r="D56" s="1881"/>
      <c r="E56" s="1881"/>
      <c r="F56" s="1882"/>
      <c r="G56" s="776">
        <v>810.14</v>
      </c>
      <c r="H56" s="776">
        <v>1.18</v>
      </c>
      <c r="I56" s="805">
        <f t="shared" si="0"/>
        <v>686.5593220338983</v>
      </c>
      <c r="J56" s="785">
        <f t="shared" si="1"/>
        <v>232.30593220338983</v>
      </c>
      <c r="K56" s="783"/>
      <c r="L56" s="780"/>
      <c r="M56" s="780"/>
      <c r="N56" s="780"/>
      <c r="O56" s="780"/>
      <c r="P56" s="780"/>
      <c r="Q56" s="780"/>
      <c r="R56" s="780"/>
      <c r="S56" s="780"/>
      <c r="T56" s="780"/>
      <c r="U56" s="780"/>
      <c r="V56" s="780"/>
      <c r="W56" s="784"/>
      <c r="X56" s="784"/>
      <c r="Y56" s="784"/>
      <c r="Z56" s="784"/>
      <c r="AA56" s="784"/>
      <c r="AB56" s="784"/>
      <c r="AC56" s="785"/>
      <c r="AD56" s="785"/>
      <c r="AE56" s="785"/>
      <c r="AF56" s="797"/>
      <c r="AG56" s="779"/>
      <c r="AH56" s="442">
        <f>274.121/1.18</f>
        <v>232.30593220338983</v>
      </c>
      <c r="AI56" s="785"/>
      <c r="AJ56" s="771"/>
      <c r="AK56" s="786"/>
      <c r="AL56" s="568" t="s">
        <v>1327</v>
      </c>
      <c r="AM56" s="568" t="s">
        <v>1328</v>
      </c>
    </row>
    <row r="57" spans="1:39">
      <c r="A57" s="775" t="s">
        <v>204</v>
      </c>
      <c r="B57" s="1892" t="s">
        <v>1556</v>
      </c>
      <c r="C57" s="1892"/>
      <c r="D57" s="1892"/>
      <c r="E57" s="1892"/>
      <c r="F57" s="1892"/>
      <c r="G57" s="776">
        <v>808.7</v>
      </c>
      <c r="H57" s="776">
        <v>1.18</v>
      </c>
      <c r="I57" s="805">
        <f t="shared" si="0"/>
        <v>685.33898305084756</v>
      </c>
      <c r="J57" s="785">
        <f t="shared" si="1"/>
        <v>310.56101338983052</v>
      </c>
      <c r="K57" s="783"/>
      <c r="L57" s="780"/>
      <c r="M57" s="780"/>
      <c r="N57" s="780"/>
      <c r="O57" s="780"/>
      <c r="P57" s="780"/>
      <c r="Q57" s="780"/>
      <c r="R57" s="780"/>
      <c r="S57" s="780"/>
      <c r="T57" s="780"/>
      <c r="U57" s="780"/>
      <c r="V57" s="780"/>
      <c r="W57" s="784"/>
      <c r="X57" s="784"/>
      <c r="Y57" s="784"/>
      <c r="Z57" s="797"/>
      <c r="AA57" s="784"/>
      <c r="AB57" s="797"/>
      <c r="AC57" s="785"/>
      <c r="AD57" s="785"/>
      <c r="AE57" s="785"/>
      <c r="AF57" s="797"/>
      <c r="AG57" s="807"/>
      <c r="AH57" s="442">
        <f>93.14/1.18+231.62881</f>
        <v>310.56101338983052</v>
      </c>
      <c r="AI57" s="785"/>
      <c r="AJ57" s="771"/>
      <c r="AK57" s="786"/>
      <c r="AL57" s="568" t="s">
        <v>1327</v>
      </c>
      <c r="AM57" s="568" t="s">
        <v>1328</v>
      </c>
    </row>
    <row r="58" spans="1:39">
      <c r="A58" s="1889" t="s">
        <v>350</v>
      </c>
      <c r="B58" s="1890"/>
      <c r="C58" s="1890"/>
      <c r="D58" s="1890"/>
      <c r="E58" s="1890"/>
      <c r="F58" s="1890"/>
      <c r="G58" s="442">
        <f>SUM(G59:G61)</f>
        <v>1509.29</v>
      </c>
      <c r="H58" s="442"/>
      <c r="I58" s="442">
        <f>SUM(I59:I61)</f>
        <v>1279.0593220338983</v>
      </c>
      <c r="J58" s="442">
        <f>SUM(J59:J61)</f>
        <v>1229.9105762711865</v>
      </c>
      <c r="K58" s="783"/>
      <c r="L58" s="780"/>
      <c r="M58" s="780"/>
      <c r="N58" s="780"/>
      <c r="O58" s="780"/>
      <c r="P58" s="780"/>
      <c r="Q58" s="780"/>
      <c r="R58" s="780"/>
      <c r="S58" s="780"/>
      <c r="T58" s="780"/>
      <c r="U58" s="780"/>
      <c r="V58" s="780"/>
      <c r="W58" s="784"/>
      <c r="X58" s="784"/>
      <c r="Y58" s="784"/>
      <c r="Z58" s="797"/>
      <c r="AA58" s="784"/>
      <c r="AB58" s="797"/>
      <c r="AC58" s="785"/>
      <c r="AD58" s="785"/>
      <c r="AE58" s="785"/>
      <c r="AF58" s="797"/>
      <c r="AG58" s="779"/>
      <c r="AH58" s="785"/>
      <c r="AI58" s="785"/>
      <c r="AJ58" s="771"/>
      <c r="AK58" s="786"/>
      <c r="AL58" s="775"/>
      <c r="AM58" s="568"/>
    </row>
    <row r="59" spans="1:39">
      <c r="A59" s="775" t="s">
        <v>224</v>
      </c>
      <c r="B59" s="1880" t="s">
        <v>1561</v>
      </c>
      <c r="C59" s="1881"/>
      <c r="D59" s="1881"/>
      <c r="E59" s="1881"/>
      <c r="F59" s="1882"/>
      <c r="G59" s="785">
        <v>512.96</v>
      </c>
      <c r="H59" s="776">
        <v>1.18</v>
      </c>
      <c r="I59" s="805">
        <f>G59/H59</f>
        <v>434.71186440677974</v>
      </c>
      <c r="J59" s="785">
        <f>35.55+350.01</f>
        <v>385.56</v>
      </c>
      <c r="K59" s="783"/>
      <c r="L59" s="780"/>
      <c r="M59" s="780"/>
      <c r="N59" s="780"/>
      <c r="O59" s="780"/>
      <c r="P59" s="462">
        <f>413.01412/1.18</f>
        <v>350.01196610169495</v>
      </c>
      <c r="Q59" s="776"/>
      <c r="R59" s="462">
        <f>58.42008/1.18</f>
        <v>49.508542372881358</v>
      </c>
      <c r="S59" s="780"/>
      <c r="T59" s="780"/>
      <c r="U59" s="780"/>
      <c r="V59" s="462">
        <f>41.94782/1.18</f>
        <v>35.548999999999999</v>
      </c>
      <c r="W59" s="784"/>
      <c r="X59" s="808"/>
      <c r="Y59" s="784"/>
      <c r="Z59" s="797"/>
      <c r="AA59" s="784"/>
      <c r="AB59" s="797"/>
      <c r="AC59" s="785"/>
      <c r="AD59" s="785"/>
      <c r="AE59" s="785"/>
      <c r="AF59" s="797"/>
      <c r="AG59" s="779"/>
      <c r="AH59" s="785"/>
      <c r="AI59" s="785"/>
      <c r="AJ59" s="787"/>
      <c r="AK59" s="809"/>
      <c r="AL59" s="568" t="s">
        <v>1327</v>
      </c>
      <c r="AM59" s="568" t="s">
        <v>1328</v>
      </c>
    </row>
    <row r="60" spans="1:39">
      <c r="A60" s="775" t="s">
        <v>461</v>
      </c>
      <c r="B60" s="1880" t="s">
        <v>1562</v>
      </c>
      <c r="C60" s="1881"/>
      <c r="D60" s="1881"/>
      <c r="E60" s="1881"/>
      <c r="F60" s="1882"/>
      <c r="G60" s="785">
        <v>601.94000000000005</v>
      </c>
      <c r="H60" s="776">
        <v>1.18</v>
      </c>
      <c r="I60" s="805">
        <f>G60/H60</f>
        <v>510.11864406779671</v>
      </c>
      <c r="J60" s="785">
        <f>SUM(K60:AM60)</f>
        <v>510.11904237288138</v>
      </c>
      <c r="K60" s="783"/>
      <c r="L60" s="780"/>
      <c r="M60" s="780"/>
      <c r="N60" s="780"/>
      <c r="O60" s="780"/>
      <c r="P60" s="780"/>
      <c r="Q60" s="780"/>
      <c r="R60" s="780"/>
      <c r="S60" s="780"/>
      <c r="T60" s="780"/>
      <c r="U60" s="780"/>
      <c r="V60" s="810"/>
      <c r="W60" s="784"/>
      <c r="X60" s="442">
        <f>601.94047/1.18</f>
        <v>510.11904237288138</v>
      </c>
      <c r="Y60" s="784"/>
      <c r="Z60" s="797"/>
      <c r="AA60" s="784"/>
      <c r="AB60" s="797"/>
      <c r="AC60" s="785"/>
      <c r="AD60" s="785"/>
      <c r="AE60" s="785"/>
      <c r="AF60" s="797"/>
      <c r="AG60" s="779"/>
      <c r="AH60" s="785"/>
      <c r="AI60" s="785"/>
      <c r="AJ60" s="787"/>
      <c r="AK60" s="809"/>
      <c r="AL60" s="568" t="s">
        <v>1327</v>
      </c>
      <c r="AM60" s="568" t="s">
        <v>1328</v>
      </c>
    </row>
    <row r="61" spans="1:39">
      <c r="A61" s="775" t="s">
        <v>462</v>
      </c>
      <c r="B61" s="1880" t="s">
        <v>1346</v>
      </c>
      <c r="C61" s="1881"/>
      <c r="D61" s="1881"/>
      <c r="E61" s="1881"/>
      <c r="F61" s="1882"/>
      <c r="G61" s="785">
        <v>394.39</v>
      </c>
      <c r="H61" s="776">
        <v>1.18</v>
      </c>
      <c r="I61" s="805">
        <f>G61/H61</f>
        <v>334.22881355932202</v>
      </c>
      <c r="J61" s="785">
        <f>SUM(K61:AM61)</f>
        <v>334.23153389830509</v>
      </c>
      <c r="K61" s="783"/>
      <c r="L61" s="780"/>
      <c r="M61" s="780"/>
      <c r="N61" s="780"/>
      <c r="O61" s="780"/>
      <c r="P61" s="780"/>
      <c r="Q61" s="780"/>
      <c r="R61" s="780"/>
      <c r="S61" s="780"/>
      <c r="T61" s="780"/>
      <c r="U61" s="780"/>
      <c r="V61" s="462">
        <f>394.39321/1.18</f>
        <v>334.23153389830509</v>
      </c>
      <c r="W61" s="784"/>
      <c r="X61" s="808"/>
      <c r="Y61" s="784"/>
      <c r="Z61" s="797"/>
      <c r="AA61" s="784"/>
      <c r="AB61" s="797"/>
      <c r="AC61" s="785"/>
      <c r="AD61" s="785"/>
      <c r="AE61" s="785"/>
      <c r="AF61" s="797"/>
      <c r="AG61" s="779"/>
      <c r="AH61" s="785"/>
      <c r="AI61" s="785"/>
      <c r="AJ61" s="787"/>
      <c r="AK61" s="809"/>
      <c r="AL61" s="568" t="s">
        <v>1327</v>
      </c>
      <c r="AM61" s="568" t="s">
        <v>1328</v>
      </c>
    </row>
    <row r="62" spans="1:39">
      <c r="A62" s="1889" t="s">
        <v>351</v>
      </c>
      <c r="B62" s="1890"/>
      <c r="C62" s="1890"/>
      <c r="D62" s="1890"/>
      <c r="E62" s="1890"/>
      <c r="F62" s="1890"/>
      <c r="G62" s="442">
        <f>SUM(G63:G112)</f>
        <v>2425.27</v>
      </c>
      <c r="H62" s="442"/>
      <c r="I62" s="442">
        <f>SUM(I63:I112)</f>
        <v>2055.3135593220341</v>
      </c>
      <c r="J62" s="442">
        <f>SUM(J63:J112)</f>
        <v>7248.014028305085</v>
      </c>
      <c r="K62" s="783"/>
      <c r="L62" s="780"/>
      <c r="M62" s="780"/>
      <c r="N62" s="780"/>
      <c r="O62" s="780"/>
      <c r="P62" s="780"/>
      <c r="Q62" s="780"/>
      <c r="R62" s="780"/>
      <c r="S62" s="780"/>
      <c r="T62" s="780"/>
      <c r="U62" s="780"/>
      <c r="V62" s="810"/>
      <c r="W62" s="784"/>
      <c r="X62" s="808"/>
      <c r="Y62" s="784"/>
      <c r="Z62" s="797"/>
      <c r="AA62" s="784"/>
      <c r="AB62" s="797"/>
      <c r="AC62" s="785"/>
      <c r="AD62" s="785"/>
      <c r="AE62" s="785"/>
      <c r="AF62" s="797"/>
      <c r="AG62" s="779"/>
      <c r="AH62" s="785"/>
      <c r="AI62" s="785"/>
      <c r="AJ62" s="787"/>
      <c r="AK62" s="809"/>
      <c r="AL62" s="775"/>
      <c r="AM62" s="568"/>
    </row>
    <row r="63" spans="1:39">
      <c r="A63" s="775" t="s">
        <v>225</v>
      </c>
      <c r="B63" s="1880" t="s">
        <v>1563</v>
      </c>
      <c r="C63" s="1881"/>
      <c r="D63" s="1881"/>
      <c r="E63" s="1881"/>
      <c r="F63" s="1882"/>
      <c r="G63" s="776">
        <v>134.99</v>
      </c>
      <c r="H63" s="776">
        <v>1.18</v>
      </c>
      <c r="I63" s="805">
        <f>G63/H63</f>
        <v>114.39830508474577</v>
      </c>
      <c r="J63" s="785">
        <f t="shared" ref="J63:J81" si="2">SUM(K63:AM63)</f>
        <v>114.39999999999999</v>
      </c>
      <c r="K63" s="783"/>
      <c r="L63" s="780"/>
      <c r="M63" s="780"/>
      <c r="N63" s="780"/>
      <c r="O63" s="780"/>
      <c r="P63" s="780"/>
      <c r="Q63" s="780"/>
      <c r="R63" s="780"/>
      <c r="S63" s="780"/>
      <c r="T63" s="780"/>
      <c r="U63" s="780"/>
      <c r="V63" s="780"/>
      <c r="W63" s="784"/>
      <c r="X63" s="784"/>
      <c r="Y63" s="784"/>
      <c r="Z63" s="797"/>
      <c r="AA63" s="784"/>
      <c r="AB63" s="797"/>
      <c r="AC63" s="785"/>
      <c r="AD63" s="442">
        <f>134.992/1.18</f>
        <v>114.39999999999999</v>
      </c>
      <c r="AE63" s="785"/>
      <c r="AF63" s="797"/>
      <c r="AG63" s="779"/>
      <c r="AH63" s="785"/>
      <c r="AI63" s="785"/>
      <c r="AJ63" s="771"/>
      <c r="AK63" s="786"/>
      <c r="AL63" s="568" t="s">
        <v>1327</v>
      </c>
      <c r="AM63" s="568" t="s">
        <v>1328</v>
      </c>
    </row>
    <row r="64" spans="1:39">
      <c r="A64" s="775" t="s">
        <v>226</v>
      </c>
      <c r="B64" s="1880" t="s">
        <v>1564</v>
      </c>
      <c r="C64" s="1881"/>
      <c r="D64" s="1881"/>
      <c r="E64" s="1881"/>
      <c r="F64" s="1882"/>
      <c r="G64" s="776">
        <v>194.43</v>
      </c>
      <c r="H64" s="776">
        <v>1.18</v>
      </c>
      <c r="I64" s="805">
        <f>G64/H64</f>
        <v>164.77118644067798</v>
      </c>
      <c r="J64" s="785">
        <v>125.2</v>
      </c>
      <c r="K64" s="783"/>
      <c r="L64" s="780"/>
      <c r="M64" s="780"/>
      <c r="N64" s="780"/>
      <c r="O64" s="780"/>
      <c r="P64" s="780"/>
      <c r="Q64" s="780"/>
      <c r="R64" s="780"/>
      <c r="S64" s="780"/>
      <c r="T64" s="780"/>
      <c r="U64" s="780"/>
      <c r="V64" s="780"/>
      <c r="W64" s="784"/>
      <c r="X64" s="784"/>
      <c r="Y64" s="784"/>
      <c r="Z64" s="797"/>
      <c r="AA64" s="784"/>
      <c r="AB64" s="797"/>
      <c r="AC64" s="785"/>
      <c r="AD64" s="811"/>
      <c r="AE64" s="773"/>
      <c r="AF64" s="442">
        <v>254.1</v>
      </c>
      <c r="AG64" s="779"/>
      <c r="AH64" s="785"/>
      <c r="AI64" s="785"/>
      <c r="AJ64" s="771"/>
      <c r="AK64" s="786"/>
      <c r="AL64" s="568" t="s">
        <v>1327</v>
      </c>
      <c r="AM64" s="568" t="s">
        <v>1328</v>
      </c>
    </row>
    <row r="65" spans="1:39">
      <c r="A65" s="775" t="s">
        <v>227</v>
      </c>
      <c r="B65" s="1880" t="s">
        <v>1565</v>
      </c>
      <c r="C65" s="1881"/>
      <c r="D65" s="1881"/>
      <c r="E65" s="1881"/>
      <c r="F65" s="1882"/>
      <c r="G65" s="776">
        <v>690</v>
      </c>
      <c r="H65" s="776">
        <v>1.18</v>
      </c>
      <c r="I65" s="805">
        <f>G65/H65</f>
        <v>584.74576271186447</v>
      </c>
      <c r="J65" s="785">
        <f t="shared" si="2"/>
        <v>255.7124</v>
      </c>
      <c r="K65" s="783"/>
      <c r="L65" s="780"/>
      <c r="M65" s="780"/>
      <c r="N65" s="780"/>
      <c r="O65" s="780"/>
      <c r="P65" s="780"/>
      <c r="Q65" s="780"/>
      <c r="R65" s="780"/>
      <c r="S65" s="780"/>
      <c r="T65" s="780"/>
      <c r="U65" s="780"/>
      <c r="V65" s="805"/>
      <c r="W65" s="784"/>
      <c r="X65" s="784"/>
      <c r="Y65" s="784"/>
      <c r="Z65" s="797"/>
      <c r="AA65" s="784"/>
      <c r="AB65" s="797"/>
      <c r="AC65" s="785"/>
      <c r="AD65" s="785"/>
      <c r="AE65" s="785"/>
      <c r="AF65" s="442">
        <v>255.7124</v>
      </c>
      <c r="AG65" s="779"/>
      <c r="AH65" s="785"/>
      <c r="AI65" s="785"/>
      <c r="AJ65" s="771"/>
      <c r="AK65" s="786"/>
      <c r="AL65" s="568" t="s">
        <v>1327</v>
      </c>
      <c r="AM65" s="568" t="s">
        <v>1328</v>
      </c>
    </row>
    <row r="66" spans="1:39">
      <c r="A66" s="775" t="s">
        <v>228</v>
      </c>
      <c r="B66" s="1880" t="s">
        <v>1352</v>
      </c>
      <c r="C66" s="1881"/>
      <c r="D66" s="1881"/>
      <c r="E66" s="1881"/>
      <c r="F66" s="1882"/>
      <c r="G66" s="776">
        <v>223.71</v>
      </c>
      <c r="H66" s="776">
        <v>1.18</v>
      </c>
      <c r="I66" s="805">
        <f>G66/H66</f>
        <v>189.58474576271189</v>
      </c>
      <c r="J66" s="785">
        <v>128.9</v>
      </c>
      <c r="K66" s="783"/>
      <c r="L66" s="780"/>
      <c r="M66" s="780"/>
      <c r="N66" s="810"/>
      <c r="O66" s="780"/>
      <c r="P66" s="780"/>
      <c r="Q66" s="780"/>
      <c r="R66" s="780"/>
      <c r="S66" s="780"/>
      <c r="T66" s="780"/>
      <c r="U66" s="780"/>
      <c r="V66" s="780"/>
      <c r="W66" s="784"/>
      <c r="X66" s="784"/>
      <c r="Y66" s="784"/>
      <c r="Z66" s="797"/>
      <c r="AA66" s="784"/>
      <c r="AB66" s="797"/>
      <c r="AC66" s="785"/>
      <c r="AD66" s="785"/>
      <c r="AE66" s="785"/>
      <c r="AF66" s="785"/>
      <c r="AG66" s="779"/>
      <c r="AH66" s="785"/>
      <c r="AI66" s="785"/>
      <c r="AJ66" s="787"/>
      <c r="AK66" s="809"/>
      <c r="AL66" s="568" t="s">
        <v>1327</v>
      </c>
      <c r="AM66" s="568" t="s">
        <v>1328</v>
      </c>
    </row>
    <row r="67" spans="1:39">
      <c r="A67" s="775" t="s">
        <v>229</v>
      </c>
      <c r="B67" s="1880" t="s">
        <v>352</v>
      </c>
      <c r="C67" s="1881"/>
      <c r="D67" s="1881"/>
      <c r="E67" s="1881"/>
      <c r="F67" s="1882"/>
      <c r="G67" s="776">
        <v>450</v>
      </c>
      <c r="H67" s="776">
        <v>1.18</v>
      </c>
      <c r="I67" s="805">
        <f>G67/H67</f>
        <v>381.35593220338984</v>
      </c>
      <c r="J67" s="785">
        <f>SUM(K67:AM67)</f>
        <v>393.04601000000002</v>
      </c>
      <c r="K67" s="783"/>
      <c r="L67" s="780"/>
      <c r="M67" s="780"/>
      <c r="N67" s="780"/>
      <c r="O67" s="780"/>
      <c r="P67" s="780"/>
      <c r="Q67" s="780"/>
      <c r="R67" s="780"/>
      <c r="S67" s="780"/>
      <c r="T67" s="780"/>
      <c r="U67" s="780"/>
      <c r="V67" s="780"/>
      <c r="W67" s="784"/>
      <c r="X67" s="784"/>
      <c r="Y67" s="784"/>
      <c r="Z67" s="784"/>
      <c r="AA67" s="784"/>
      <c r="AB67" s="784"/>
      <c r="AC67" s="785"/>
      <c r="AD67" s="785"/>
      <c r="AE67" s="785"/>
      <c r="AF67" s="442"/>
      <c r="AG67" s="779"/>
      <c r="AH67" s="442">
        <v>393.04601000000002</v>
      </c>
      <c r="AI67" s="785"/>
      <c r="AJ67" s="776"/>
      <c r="AK67" s="776"/>
      <c r="AL67" s="568" t="s">
        <v>1327</v>
      </c>
      <c r="AM67" s="568" t="s">
        <v>1328</v>
      </c>
    </row>
    <row r="68" spans="1:39">
      <c r="A68" s="775" t="s">
        <v>230</v>
      </c>
      <c r="B68" s="1880" t="s">
        <v>2106</v>
      </c>
      <c r="C68" s="1881"/>
      <c r="D68" s="1881"/>
      <c r="E68" s="1881"/>
      <c r="F68" s="1882"/>
      <c r="G68" s="776"/>
      <c r="H68" s="776"/>
      <c r="I68" s="776"/>
      <c r="J68" s="785">
        <f t="shared" si="2"/>
        <v>159.10328999999999</v>
      </c>
      <c r="K68" s="783"/>
      <c r="L68" s="780"/>
      <c r="M68" s="780"/>
      <c r="N68" s="780"/>
      <c r="O68" s="780"/>
      <c r="P68" s="780"/>
      <c r="Q68" s="780"/>
      <c r="R68" s="780"/>
      <c r="S68" s="780"/>
      <c r="T68" s="780"/>
      <c r="U68" s="780"/>
      <c r="V68" s="780"/>
      <c r="W68" s="784"/>
      <c r="X68" s="784"/>
      <c r="Y68" s="784"/>
      <c r="Z68" s="797"/>
      <c r="AA68" s="784"/>
      <c r="AB68" s="812"/>
      <c r="AC68" s="785"/>
      <c r="AD68" s="785"/>
      <c r="AE68" s="785"/>
      <c r="AF68" s="785"/>
      <c r="AG68" s="779"/>
      <c r="AH68" s="442">
        <v>159.10328999999999</v>
      </c>
      <c r="AI68" s="785"/>
      <c r="AJ68" s="780"/>
      <c r="AK68" s="780"/>
      <c r="AL68" s="568" t="s">
        <v>1327</v>
      </c>
      <c r="AM68" s="568" t="s">
        <v>1328</v>
      </c>
    </row>
    <row r="69" spans="1:39">
      <c r="A69" s="775" t="s">
        <v>231</v>
      </c>
      <c r="B69" s="1880" t="s">
        <v>1566</v>
      </c>
      <c r="C69" s="1881"/>
      <c r="D69" s="1881"/>
      <c r="E69" s="1881"/>
      <c r="F69" s="1882"/>
      <c r="G69" s="776"/>
      <c r="H69" s="776"/>
      <c r="I69" s="776"/>
      <c r="J69" s="785">
        <f t="shared" si="2"/>
        <v>203.82689999999999</v>
      </c>
      <c r="K69" s="783"/>
      <c r="L69" s="780"/>
      <c r="M69" s="780"/>
      <c r="N69" s="780"/>
      <c r="O69" s="780"/>
      <c r="P69" s="780"/>
      <c r="Q69" s="780"/>
      <c r="R69" s="780"/>
      <c r="S69" s="780"/>
      <c r="T69" s="780"/>
      <c r="U69" s="780"/>
      <c r="V69" s="812"/>
      <c r="W69" s="784"/>
      <c r="X69" s="786"/>
      <c r="Y69" s="784"/>
      <c r="Z69" s="784"/>
      <c r="AA69" s="784"/>
      <c r="AB69" s="785"/>
      <c r="AC69" s="785"/>
      <c r="AD69" s="797"/>
      <c r="AE69" s="797"/>
      <c r="AF69" s="785"/>
      <c r="AG69" s="779"/>
      <c r="AH69" s="442">
        <v>203.82689999999999</v>
      </c>
      <c r="AI69" s="785"/>
      <c r="AJ69" s="771"/>
      <c r="AK69" s="786"/>
      <c r="AL69" s="568" t="s">
        <v>1327</v>
      </c>
      <c r="AM69" s="568" t="s">
        <v>1328</v>
      </c>
    </row>
    <row r="70" spans="1:39">
      <c r="A70" s="775" t="s">
        <v>232</v>
      </c>
      <c r="B70" s="1893" t="s">
        <v>1567</v>
      </c>
      <c r="C70" s="1894"/>
      <c r="D70" s="1894"/>
      <c r="E70" s="1894"/>
      <c r="F70" s="1895"/>
      <c r="G70" s="776"/>
      <c r="H70" s="776"/>
      <c r="I70" s="776"/>
      <c r="J70" s="785">
        <f t="shared" si="2"/>
        <v>159.10327000000001</v>
      </c>
      <c r="K70" s="783"/>
      <c r="L70" s="780"/>
      <c r="M70" s="780"/>
      <c r="N70" s="810"/>
      <c r="O70" s="780"/>
      <c r="P70" s="780"/>
      <c r="Q70" s="780"/>
      <c r="R70" s="780"/>
      <c r="S70" s="780"/>
      <c r="T70" s="780"/>
      <c r="U70" s="780"/>
      <c r="V70" s="780"/>
      <c r="W70" s="784"/>
      <c r="X70" s="784"/>
      <c r="Y70" s="784"/>
      <c r="Z70" s="784"/>
      <c r="AA70" s="784"/>
      <c r="AB70" s="784"/>
      <c r="AC70" s="785"/>
      <c r="AD70" s="785"/>
      <c r="AE70" s="785"/>
      <c r="AF70" s="785"/>
      <c r="AG70" s="779"/>
      <c r="AH70" s="442">
        <v>159.10327000000001</v>
      </c>
      <c r="AI70" s="785"/>
      <c r="AJ70" s="787"/>
      <c r="AK70" s="809"/>
      <c r="AL70" s="568" t="s">
        <v>1327</v>
      </c>
      <c r="AM70" s="568" t="s">
        <v>1328</v>
      </c>
    </row>
    <row r="71" spans="1:39">
      <c r="A71" s="775" t="s">
        <v>233</v>
      </c>
      <c r="B71" s="1880" t="s">
        <v>1568</v>
      </c>
      <c r="C71" s="1881"/>
      <c r="D71" s="1881"/>
      <c r="E71" s="1881"/>
      <c r="F71" s="1882"/>
      <c r="G71" s="776"/>
      <c r="H71" s="776"/>
      <c r="I71" s="776"/>
      <c r="J71" s="785">
        <f t="shared" si="2"/>
        <v>159.01652000000001</v>
      </c>
      <c r="K71" s="783"/>
      <c r="L71" s="780"/>
      <c r="M71" s="780"/>
      <c r="N71" s="780"/>
      <c r="O71" s="780"/>
      <c r="P71" s="780"/>
      <c r="Q71" s="780"/>
      <c r="R71" s="780"/>
      <c r="S71" s="780"/>
      <c r="T71" s="780"/>
      <c r="U71" s="780"/>
      <c r="V71" s="780"/>
      <c r="W71" s="784"/>
      <c r="X71" s="784"/>
      <c r="Y71" s="784"/>
      <c r="Z71" s="784"/>
      <c r="AA71" s="784"/>
      <c r="AB71" s="784"/>
      <c r="AC71" s="785"/>
      <c r="AD71" s="813"/>
      <c r="AE71" s="785"/>
      <c r="AF71" s="785"/>
      <c r="AG71" s="779"/>
      <c r="AH71" s="442">
        <v>159.01652000000001</v>
      </c>
      <c r="AI71" s="785"/>
      <c r="AJ71" s="787"/>
      <c r="AK71" s="809"/>
      <c r="AL71" s="568" t="s">
        <v>1327</v>
      </c>
      <c r="AM71" s="568" t="s">
        <v>1328</v>
      </c>
    </row>
    <row r="72" spans="1:39">
      <c r="A72" s="775" t="s">
        <v>233</v>
      </c>
      <c r="B72" s="1880" t="s">
        <v>1569</v>
      </c>
      <c r="C72" s="1881"/>
      <c r="D72" s="1881"/>
      <c r="E72" s="1881"/>
      <c r="F72" s="1882"/>
      <c r="G72" s="776"/>
      <c r="H72" s="776"/>
      <c r="I72" s="776"/>
      <c r="J72" s="785">
        <f t="shared" si="2"/>
        <v>103.24785</v>
      </c>
      <c r="K72" s="783"/>
      <c r="L72" s="780"/>
      <c r="M72" s="780"/>
      <c r="N72" s="780"/>
      <c r="O72" s="780"/>
      <c r="P72" s="780"/>
      <c r="Q72" s="780"/>
      <c r="R72" s="780"/>
      <c r="S72" s="780"/>
      <c r="T72" s="780"/>
      <c r="U72" s="780"/>
      <c r="V72" s="780"/>
      <c r="W72" s="784"/>
      <c r="X72" s="784"/>
      <c r="Y72" s="784"/>
      <c r="Z72" s="784"/>
      <c r="AA72" s="784"/>
      <c r="AB72" s="784"/>
      <c r="AC72" s="785"/>
      <c r="AD72" s="808"/>
      <c r="AE72" s="785"/>
      <c r="AF72" s="785"/>
      <c r="AG72" s="779"/>
      <c r="AH72" s="442">
        <v>103.24785</v>
      </c>
      <c r="AI72" s="785"/>
      <c r="AJ72" s="787"/>
      <c r="AK72" s="809"/>
      <c r="AL72" s="568" t="s">
        <v>1327</v>
      </c>
      <c r="AM72" s="568" t="s">
        <v>1328</v>
      </c>
    </row>
    <row r="73" spans="1:39">
      <c r="A73" s="775" t="s">
        <v>234</v>
      </c>
      <c r="B73" s="1880" t="s">
        <v>1570</v>
      </c>
      <c r="C73" s="1881"/>
      <c r="D73" s="1881"/>
      <c r="E73" s="1881"/>
      <c r="F73" s="1882"/>
      <c r="G73" s="776"/>
      <c r="H73" s="776"/>
      <c r="I73" s="776"/>
      <c r="J73" s="785">
        <f t="shared" si="2"/>
        <v>119.18113</v>
      </c>
      <c r="K73" s="783"/>
      <c r="L73" s="780"/>
      <c r="M73" s="780"/>
      <c r="N73" s="780"/>
      <c r="O73" s="780"/>
      <c r="P73" s="780"/>
      <c r="Q73" s="780"/>
      <c r="R73" s="780"/>
      <c r="S73" s="780"/>
      <c r="T73" s="780"/>
      <c r="U73" s="780"/>
      <c r="V73" s="780"/>
      <c r="W73" s="784"/>
      <c r="X73" s="784"/>
      <c r="Y73" s="784"/>
      <c r="Z73" s="784"/>
      <c r="AA73" s="784"/>
      <c r="AB73" s="784"/>
      <c r="AC73" s="785"/>
      <c r="AD73" s="785"/>
      <c r="AE73" s="785"/>
      <c r="AF73" s="785"/>
      <c r="AG73" s="779"/>
      <c r="AH73" s="442">
        <v>119.18113</v>
      </c>
      <c r="AI73" s="785"/>
      <c r="AJ73" s="771"/>
      <c r="AK73" s="786"/>
      <c r="AL73" s="568" t="s">
        <v>1327</v>
      </c>
      <c r="AM73" s="568" t="s">
        <v>1328</v>
      </c>
    </row>
    <row r="74" spans="1:39">
      <c r="A74" s="775" t="s">
        <v>235</v>
      </c>
      <c r="B74" s="1880" t="s">
        <v>1571</v>
      </c>
      <c r="C74" s="1881"/>
      <c r="D74" s="1881"/>
      <c r="E74" s="1881"/>
      <c r="F74" s="1882"/>
      <c r="G74" s="776"/>
      <c r="H74" s="776"/>
      <c r="I74" s="776"/>
      <c r="J74" s="785">
        <f t="shared" si="2"/>
        <v>102.42774</v>
      </c>
      <c r="K74" s="783"/>
      <c r="L74" s="780"/>
      <c r="M74" s="780"/>
      <c r="N74" s="780"/>
      <c r="O74" s="780"/>
      <c r="P74" s="780"/>
      <c r="Q74" s="780"/>
      <c r="R74" s="780"/>
      <c r="S74" s="780"/>
      <c r="T74" s="780"/>
      <c r="U74" s="780"/>
      <c r="V74" s="780"/>
      <c r="W74" s="784"/>
      <c r="X74" s="784"/>
      <c r="Y74" s="784"/>
      <c r="Z74" s="784"/>
      <c r="AA74" s="784"/>
      <c r="AB74" s="784"/>
      <c r="AC74" s="785"/>
      <c r="AD74" s="785"/>
      <c r="AE74" s="785"/>
      <c r="AF74" s="785"/>
      <c r="AG74" s="779"/>
      <c r="AH74" s="442">
        <v>102.42774</v>
      </c>
      <c r="AI74" s="785"/>
      <c r="AJ74" s="776"/>
      <c r="AK74" s="776"/>
      <c r="AL74" s="568" t="s">
        <v>1327</v>
      </c>
      <c r="AM74" s="568" t="s">
        <v>1328</v>
      </c>
    </row>
    <row r="75" spans="1:39">
      <c r="A75" s="775" t="s">
        <v>236</v>
      </c>
      <c r="B75" s="1880" t="s">
        <v>1572</v>
      </c>
      <c r="C75" s="1881"/>
      <c r="D75" s="1881"/>
      <c r="E75" s="1881"/>
      <c r="F75" s="1882"/>
      <c r="G75" s="776"/>
      <c r="H75" s="776"/>
      <c r="I75" s="776"/>
      <c r="J75" s="785">
        <f t="shared" si="2"/>
        <v>674.26134999999999</v>
      </c>
      <c r="K75" s="783"/>
      <c r="L75" s="780"/>
      <c r="M75" s="780"/>
      <c r="N75" s="780"/>
      <c r="O75" s="780"/>
      <c r="P75" s="780"/>
      <c r="Q75" s="780"/>
      <c r="R75" s="780"/>
      <c r="S75" s="780"/>
      <c r="T75" s="780"/>
      <c r="U75" s="780"/>
      <c r="V75" s="780"/>
      <c r="W75" s="784"/>
      <c r="X75" s="784"/>
      <c r="Y75" s="784"/>
      <c r="Z75" s="784"/>
      <c r="AA75" s="784"/>
      <c r="AB75" s="784"/>
      <c r="AC75" s="785"/>
      <c r="AD75" s="785"/>
      <c r="AE75" s="785"/>
      <c r="AF75" s="442"/>
      <c r="AG75" s="779"/>
      <c r="AH75" s="442">
        <v>674.26134999999999</v>
      </c>
      <c r="AI75" s="785"/>
      <c r="AJ75" s="776"/>
      <c r="AK75" s="776"/>
      <c r="AL75" s="568" t="s">
        <v>1327</v>
      </c>
      <c r="AM75" s="568" t="s">
        <v>1328</v>
      </c>
    </row>
    <row r="76" spans="1:39">
      <c r="A76" s="775" t="s">
        <v>237</v>
      </c>
      <c r="B76" s="1880" t="s">
        <v>1573</v>
      </c>
      <c r="C76" s="1881"/>
      <c r="D76" s="1881"/>
      <c r="E76" s="1881"/>
      <c r="F76" s="1882"/>
      <c r="G76" s="776"/>
      <c r="H76" s="776"/>
      <c r="I76" s="776"/>
      <c r="J76" s="785">
        <f t="shared" si="2"/>
        <v>127.6669</v>
      </c>
      <c r="K76" s="783"/>
      <c r="L76" s="780"/>
      <c r="M76" s="780"/>
      <c r="N76" s="780"/>
      <c r="O76" s="780"/>
      <c r="P76" s="780"/>
      <c r="Q76" s="780"/>
      <c r="R76" s="780"/>
      <c r="S76" s="780"/>
      <c r="T76" s="780"/>
      <c r="U76" s="780"/>
      <c r="V76" s="780"/>
      <c r="W76" s="784"/>
      <c r="X76" s="784"/>
      <c r="Y76" s="784"/>
      <c r="Z76" s="784"/>
      <c r="AA76" s="784"/>
      <c r="AB76" s="784"/>
      <c r="AC76" s="785"/>
      <c r="AD76" s="785"/>
      <c r="AE76" s="785"/>
      <c r="AF76" s="442"/>
      <c r="AG76" s="779"/>
      <c r="AH76" s="442">
        <v>127.6669</v>
      </c>
      <c r="AI76" s="785"/>
      <c r="AJ76" s="776"/>
      <c r="AK76" s="776"/>
      <c r="AL76" s="568" t="s">
        <v>1327</v>
      </c>
      <c r="AM76" s="568" t="s">
        <v>1328</v>
      </c>
    </row>
    <row r="77" spans="1:39">
      <c r="A77" s="775" t="s">
        <v>238</v>
      </c>
      <c r="B77" s="1880" t="s">
        <v>1574</v>
      </c>
      <c r="C77" s="1881"/>
      <c r="D77" s="1881"/>
      <c r="E77" s="1881"/>
      <c r="F77" s="1882"/>
      <c r="G77" s="776"/>
      <c r="H77" s="776"/>
      <c r="I77" s="776"/>
      <c r="J77" s="785">
        <v>0</v>
      </c>
      <c r="K77" s="783"/>
      <c r="L77" s="780"/>
      <c r="M77" s="780"/>
      <c r="N77" s="780"/>
      <c r="O77" s="780"/>
      <c r="P77" s="780"/>
      <c r="Q77" s="780"/>
      <c r="R77" s="780"/>
      <c r="S77" s="780"/>
      <c r="T77" s="780"/>
      <c r="U77" s="780"/>
      <c r="V77" s="780"/>
      <c r="W77" s="784"/>
      <c r="X77" s="784"/>
      <c r="Y77" s="784"/>
      <c r="Z77" s="784"/>
      <c r="AA77" s="784"/>
      <c r="AB77" s="784"/>
      <c r="AC77" s="785"/>
      <c r="AD77" s="785"/>
      <c r="AE77" s="785"/>
      <c r="AF77" s="442"/>
      <c r="AG77" s="779"/>
      <c r="AH77" s="442">
        <f>99.66254+99.66254</f>
        <v>199.32508000000001</v>
      </c>
      <c r="AI77" s="785"/>
      <c r="AJ77" s="776"/>
      <c r="AK77" s="776"/>
      <c r="AL77" s="568" t="s">
        <v>1327</v>
      </c>
      <c r="AM77" s="568" t="s">
        <v>1328</v>
      </c>
    </row>
    <row r="78" spans="1:39">
      <c r="A78" s="775" t="s">
        <v>239</v>
      </c>
      <c r="B78" s="1880" t="s">
        <v>1575</v>
      </c>
      <c r="C78" s="1881"/>
      <c r="D78" s="1881"/>
      <c r="E78" s="1881"/>
      <c r="F78" s="1882"/>
      <c r="G78" s="776"/>
      <c r="H78" s="776"/>
      <c r="I78" s="776"/>
      <c r="J78" s="785">
        <f t="shared" si="2"/>
        <v>99.263009999999994</v>
      </c>
      <c r="K78" s="783"/>
      <c r="L78" s="780"/>
      <c r="M78" s="780"/>
      <c r="N78" s="780"/>
      <c r="O78" s="780"/>
      <c r="P78" s="780"/>
      <c r="Q78" s="780"/>
      <c r="R78" s="780"/>
      <c r="S78" s="780"/>
      <c r="T78" s="780"/>
      <c r="U78" s="780"/>
      <c r="V78" s="780"/>
      <c r="W78" s="784"/>
      <c r="X78" s="784"/>
      <c r="Y78" s="784"/>
      <c r="Z78" s="784"/>
      <c r="AA78" s="784"/>
      <c r="AB78" s="784"/>
      <c r="AC78" s="785"/>
      <c r="AD78" s="785"/>
      <c r="AE78" s="785"/>
      <c r="AF78" s="442"/>
      <c r="AG78" s="779"/>
      <c r="AH78" s="442">
        <v>99.263009999999994</v>
      </c>
      <c r="AI78" s="785"/>
      <c r="AJ78" s="776"/>
      <c r="AK78" s="776"/>
      <c r="AL78" s="568" t="s">
        <v>1327</v>
      </c>
      <c r="AM78" s="568" t="s">
        <v>1328</v>
      </c>
    </row>
    <row r="79" spans="1:39">
      <c r="A79" s="775" t="s">
        <v>1576</v>
      </c>
      <c r="B79" s="1880" t="s">
        <v>1577</v>
      </c>
      <c r="C79" s="1881"/>
      <c r="D79" s="1881"/>
      <c r="E79" s="1881"/>
      <c r="F79" s="1882"/>
      <c r="G79" s="776"/>
      <c r="H79" s="776"/>
      <c r="I79" s="776"/>
      <c r="J79" s="785">
        <f t="shared" si="2"/>
        <v>360.21397000000002</v>
      </c>
      <c r="K79" s="783"/>
      <c r="L79" s="780"/>
      <c r="M79" s="780"/>
      <c r="N79" s="780"/>
      <c r="O79" s="780"/>
      <c r="P79" s="780"/>
      <c r="Q79" s="780"/>
      <c r="R79" s="780"/>
      <c r="S79" s="780"/>
      <c r="T79" s="780"/>
      <c r="U79" s="780"/>
      <c r="V79" s="780"/>
      <c r="W79" s="784"/>
      <c r="X79" s="784"/>
      <c r="Y79" s="784"/>
      <c r="Z79" s="784"/>
      <c r="AA79" s="784"/>
      <c r="AB79" s="784"/>
      <c r="AC79" s="785"/>
      <c r="AD79" s="785"/>
      <c r="AE79" s="785"/>
      <c r="AF79" s="785"/>
      <c r="AG79" s="779"/>
      <c r="AH79" s="442">
        <v>360.21397000000002</v>
      </c>
      <c r="AI79" s="785"/>
      <c r="AJ79" s="776"/>
      <c r="AK79" s="776"/>
      <c r="AL79" s="568" t="s">
        <v>1327</v>
      </c>
      <c r="AM79" s="568" t="s">
        <v>1328</v>
      </c>
    </row>
    <row r="80" spans="1:39">
      <c r="A80" s="775" t="s">
        <v>1578</v>
      </c>
      <c r="B80" s="1880" t="s">
        <v>1579</v>
      </c>
      <c r="C80" s="1881"/>
      <c r="D80" s="1881"/>
      <c r="E80" s="1881"/>
      <c r="F80" s="1882"/>
      <c r="G80" s="776"/>
      <c r="H80" s="776"/>
      <c r="I80" s="776"/>
      <c r="J80" s="785">
        <f t="shared" si="2"/>
        <v>98.447289999999995</v>
      </c>
      <c r="K80" s="783"/>
      <c r="L80" s="780"/>
      <c r="M80" s="780"/>
      <c r="N80" s="780"/>
      <c r="O80" s="780"/>
      <c r="P80" s="780"/>
      <c r="Q80" s="780"/>
      <c r="R80" s="780"/>
      <c r="S80" s="780"/>
      <c r="T80" s="780"/>
      <c r="U80" s="780"/>
      <c r="V80" s="780"/>
      <c r="W80" s="784"/>
      <c r="X80" s="784"/>
      <c r="Y80" s="784"/>
      <c r="Z80" s="784"/>
      <c r="AA80" s="784"/>
      <c r="AB80" s="784"/>
      <c r="AC80" s="785"/>
      <c r="AD80" s="785"/>
      <c r="AE80" s="785"/>
      <c r="AF80" s="785"/>
      <c r="AG80" s="779"/>
      <c r="AH80" s="442">
        <v>98.447289999999995</v>
      </c>
      <c r="AI80" s="785"/>
      <c r="AJ80" s="776"/>
      <c r="AK80" s="776"/>
      <c r="AL80" s="568" t="s">
        <v>1327</v>
      </c>
      <c r="AM80" s="568" t="s">
        <v>1328</v>
      </c>
    </row>
    <row r="81" spans="1:39">
      <c r="A81" s="775" t="s">
        <v>1580</v>
      </c>
      <c r="B81" s="1880" t="s">
        <v>468</v>
      </c>
      <c r="C81" s="1881"/>
      <c r="D81" s="1881"/>
      <c r="E81" s="1881"/>
      <c r="F81" s="1882"/>
      <c r="G81" s="776">
        <v>732.14</v>
      </c>
      <c r="H81" s="776">
        <v>1.18</v>
      </c>
      <c r="I81" s="805">
        <f>G81/H81</f>
        <v>620.45762711864404</v>
      </c>
      <c r="J81" s="785">
        <f t="shared" si="2"/>
        <v>0</v>
      </c>
      <c r="K81" s="783"/>
      <c r="L81" s="780"/>
      <c r="M81" s="780"/>
      <c r="N81" s="780"/>
      <c r="O81" s="780"/>
      <c r="P81" s="780"/>
      <c r="Q81" s="780"/>
      <c r="R81" s="780"/>
      <c r="S81" s="780"/>
      <c r="T81" s="780"/>
      <c r="U81" s="780"/>
      <c r="V81" s="780"/>
      <c r="W81" s="784"/>
      <c r="X81" s="784"/>
      <c r="Y81" s="784"/>
      <c r="Z81" s="784"/>
      <c r="AA81" s="784"/>
      <c r="AB81" s="784"/>
      <c r="AC81" s="785"/>
      <c r="AD81" s="785"/>
      <c r="AE81" s="785"/>
      <c r="AF81" s="785"/>
      <c r="AG81" s="779"/>
      <c r="AH81" s="785"/>
      <c r="AI81" s="785"/>
      <c r="AJ81" s="776"/>
      <c r="AK81" s="776"/>
      <c r="AL81" s="568" t="s">
        <v>1327</v>
      </c>
      <c r="AM81" s="568" t="s">
        <v>1328</v>
      </c>
    </row>
    <row r="82" spans="1:39">
      <c r="A82" s="775" t="s">
        <v>1581</v>
      </c>
      <c r="B82" s="1880" t="s">
        <v>1582</v>
      </c>
      <c r="C82" s="1881"/>
      <c r="D82" s="1881"/>
      <c r="E82" s="1881"/>
      <c r="F82" s="1882"/>
      <c r="G82" s="776"/>
      <c r="H82" s="776"/>
      <c r="I82" s="776"/>
      <c r="J82" s="785">
        <f>SUM(K82:AM82)</f>
        <v>449.5693983050848</v>
      </c>
      <c r="K82" s="783"/>
      <c r="L82" s="780"/>
      <c r="M82" s="780"/>
      <c r="N82" s="462">
        <f>530.49189/1.18</f>
        <v>449.5693983050848</v>
      </c>
      <c r="O82" s="780"/>
      <c r="P82" s="780"/>
      <c r="Q82" s="780"/>
      <c r="R82" s="780"/>
      <c r="S82" s="780"/>
      <c r="T82" s="780"/>
      <c r="U82" s="780"/>
      <c r="V82" s="780"/>
      <c r="W82" s="784"/>
      <c r="X82" s="784"/>
      <c r="Y82" s="784"/>
      <c r="Z82" s="784"/>
      <c r="AA82" s="784"/>
      <c r="AB82" s="784"/>
      <c r="AC82" s="785"/>
      <c r="AD82" s="785"/>
      <c r="AE82" s="785"/>
      <c r="AF82" s="785"/>
      <c r="AG82" s="779"/>
      <c r="AH82" s="785"/>
      <c r="AI82" s="785"/>
      <c r="AJ82" s="776"/>
      <c r="AK82" s="776"/>
      <c r="AL82" s="568" t="s">
        <v>1327</v>
      </c>
      <c r="AM82" s="568" t="s">
        <v>1328</v>
      </c>
    </row>
    <row r="83" spans="1:39">
      <c r="A83" s="775" t="s">
        <v>1583</v>
      </c>
      <c r="B83" s="1880" t="s">
        <v>1584</v>
      </c>
      <c r="C83" s="1881"/>
      <c r="D83" s="1881"/>
      <c r="E83" s="1881"/>
      <c r="F83" s="1882"/>
      <c r="G83" s="776"/>
      <c r="H83" s="776"/>
      <c r="I83" s="776"/>
      <c r="J83" s="785">
        <f>34.512+47.248+49.109</f>
        <v>130.869</v>
      </c>
      <c r="K83" s="783"/>
      <c r="L83" s="780"/>
      <c r="M83" s="780"/>
      <c r="N83" s="462"/>
      <c r="O83" s="780"/>
      <c r="P83" s="780"/>
      <c r="Q83" s="780"/>
      <c r="R83" s="780"/>
      <c r="S83" s="780"/>
      <c r="T83" s="780"/>
      <c r="U83" s="780"/>
      <c r="V83" s="780"/>
      <c r="W83" s="784"/>
      <c r="X83" s="784"/>
      <c r="Y83" s="784"/>
      <c r="Z83" s="784"/>
      <c r="AA83" s="784"/>
      <c r="AB83" s="784"/>
      <c r="AC83" s="785"/>
      <c r="AD83" s="785"/>
      <c r="AE83" s="785"/>
      <c r="AF83" s="785"/>
      <c r="AG83" s="779"/>
      <c r="AH83" s="785"/>
      <c r="AI83" s="785"/>
      <c r="AJ83" s="776"/>
      <c r="AK83" s="776"/>
      <c r="AL83" s="568" t="s">
        <v>1327</v>
      </c>
      <c r="AM83" s="568" t="s">
        <v>1328</v>
      </c>
    </row>
    <row r="84" spans="1:39">
      <c r="A84" s="775" t="s">
        <v>1585</v>
      </c>
      <c r="B84" s="1880" t="s">
        <v>1586</v>
      </c>
      <c r="C84" s="1881"/>
      <c r="D84" s="1881"/>
      <c r="E84" s="1881"/>
      <c r="F84" s="1882"/>
      <c r="G84" s="776"/>
      <c r="H84" s="776"/>
      <c r="I84" s="776"/>
      <c r="J84" s="785">
        <v>61.393999999999998</v>
      </c>
      <c r="K84" s="783"/>
      <c r="L84" s="780"/>
      <c r="M84" s="780"/>
      <c r="N84" s="462"/>
      <c r="O84" s="780"/>
      <c r="P84" s="780"/>
      <c r="Q84" s="780"/>
      <c r="R84" s="780"/>
      <c r="S84" s="780"/>
      <c r="T84" s="780"/>
      <c r="U84" s="780"/>
      <c r="V84" s="780"/>
      <c r="W84" s="784"/>
      <c r="X84" s="784"/>
      <c r="Y84" s="784"/>
      <c r="Z84" s="784"/>
      <c r="AA84" s="784"/>
      <c r="AB84" s="784"/>
      <c r="AC84" s="785"/>
      <c r="AD84" s="785"/>
      <c r="AE84" s="785"/>
      <c r="AF84" s="785"/>
      <c r="AG84" s="779"/>
      <c r="AH84" s="785"/>
      <c r="AI84" s="785"/>
      <c r="AJ84" s="776"/>
      <c r="AK84" s="776"/>
      <c r="AL84" s="568" t="s">
        <v>1327</v>
      </c>
      <c r="AM84" s="568" t="s">
        <v>1328</v>
      </c>
    </row>
    <row r="85" spans="1:39">
      <c r="A85" s="775" t="s">
        <v>1587</v>
      </c>
      <c r="B85" s="1880" t="s">
        <v>1588</v>
      </c>
      <c r="C85" s="1881"/>
      <c r="D85" s="1881"/>
      <c r="E85" s="1881"/>
      <c r="F85" s="1882"/>
      <c r="G85" s="776"/>
      <c r="H85" s="776"/>
      <c r="I85" s="776"/>
      <c r="J85" s="785">
        <f>24.246+79.345</f>
        <v>103.59099999999999</v>
      </c>
      <c r="K85" s="783"/>
      <c r="L85" s="780"/>
      <c r="M85" s="780"/>
      <c r="N85" s="462"/>
      <c r="O85" s="780"/>
      <c r="P85" s="780"/>
      <c r="Q85" s="780"/>
      <c r="R85" s="780"/>
      <c r="S85" s="780"/>
      <c r="T85" s="780"/>
      <c r="U85" s="780"/>
      <c r="V85" s="780"/>
      <c r="W85" s="784"/>
      <c r="X85" s="784"/>
      <c r="Y85" s="784"/>
      <c r="Z85" s="784"/>
      <c r="AA85" s="784"/>
      <c r="AB85" s="784"/>
      <c r="AC85" s="785"/>
      <c r="AD85" s="785"/>
      <c r="AE85" s="785"/>
      <c r="AF85" s="785"/>
      <c r="AG85" s="779"/>
      <c r="AH85" s="785"/>
      <c r="AI85" s="785"/>
      <c r="AJ85" s="776"/>
      <c r="AK85" s="776"/>
      <c r="AL85" s="568" t="s">
        <v>1327</v>
      </c>
      <c r="AM85" s="568" t="s">
        <v>1328</v>
      </c>
    </row>
    <row r="86" spans="1:39">
      <c r="A86" s="775" t="s">
        <v>1589</v>
      </c>
      <c r="B86" s="1880" t="s">
        <v>1590</v>
      </c>
      <c r="C86" s="1881"/>
      <c r="D86" s="1881"/>
      <c r="E86" s="1881"/>
      <c r="F86" s="1882"/>
      <c r="G86" s="776"/>
      <c r="H86" s="776"/>
      <c r="I86" s="776"/>
      <c r="J86" s="785">
        <v>21.486999999999998</v>
      </c>
      <c r="K86" s="783"/>
      <c r="L86" s="780"/>
      <c r="M86" s="780"/>
      <c r="N86" s="462"/>
      <c r="O86" s="780"/>
      <c r="P86" s="780"/>
      <c r="Q86" s="780"/>
      <c r="R86" s="780"/>
      <c r="S86" s="780"/>
      <c r="T86" s="780"/>
      <c r="U86" s="780"/>
      <c r="V86" s="780"/>
      <c r="W86" s="784"/>
      <c r="X86" s="784"/>
      <c r="Y86" s="784"/>
      <c r="Z86" s="784"/>
      <c r="AA86" s="784"/>
      <c r="AB86" s="784"/>
      <c r="AC86" s="785"/>
      <c r="AD86" s="785"/>
      <c r="AE86" s="785"/>
      <c r="AF86" s="785"/>
      <c r="AG86" s="779"/>
      <c r="AH86" s="785"/>
      <c r="AI86" s="785"/>
      <c r="AJ86" s="776"/>
      <c r="AK86" s="776"/>
      <c r="AL86" s="568" t="s">
        <v>1327</v>
      </c>
      <c r="AM86" s="568" t="s">
        <v>1328</v>
      </c>
    </row>
    <row r="87" spans="1:39">
      <c r="A87" s="775" t="s">
        <v>1591</v>
      </c>
      <c r="B87" s="1880" t="s">
        <v>1592</v>
      </c>
      <c r="C87" s="1881"/>
      <c r="D87" s="1881"/>
      <c r="E87" s="1881"/>
      <c r="F87" s="1882"/>
      <c r="G87" s="776"/>
      <c r="H87" s="776"/>
      <c r="I87" s="776"/>
      <c r="J87" s="785">
        <v>12.551</v>
      </c>
      <c r="K87" s="783"/>
      <c r="L87" s="780"/>
      <c r="M87" s="780"/>
      <c r="N87" s="462"/>
      <c r="O87" s="780"/>
      <c r="P87" s="780"/>
      <c r="Q87" s="780"/>
      <c r="R87" s="780"/>
      <c r="S87" s="780"/>
      <c r="T87" s="780"/>
      <c r="U87" s="780"/>
      <c r="V87" s="780"/>
      <c r="W87" s="784"/>
      <c r="X87" s="784"/>
      <c r="Y87" s="784"/>
      <c r="Z87" s="784"/>
      <c r="AA87" s="784"/>
      <c r="AB87" s="784"/>
      <c r="AC87" s="785"/>
      <c r="AD87" s="785"/>
      <c r="AE87" s="785"/>
      <c r="AF87" s="785"/>
      <c r="AG87" s="779"/>
      <c r="AH87" s="785"/>
      <c r="AI87" s="785"/>
      <c r="AJ87" s="776"/>
      <c r="AK87" s="776"/>
      <c r="AL87" s="568" t="s">
        <v>1327</v>
      </c>
      <c r="AM87" s="568" t="s">
        <v>1328</v>
      </c>
    </row>
    <row r="88" spans="1:39">
      <c r="A88" s="775" t="s">
        <v>1593</v>
      </c>
      <c r="B88" s="1880" t="s">
        <v>1594</v>
      </c>
      <c r="C88" s="1881"/>
      <c r="D88" s="1881"/>
      <c r="E88" s="1881"/>
      <c r="F88" s="1882"/>
      <c r="G88" s="776"/>
      <c r="H88" s="776"/>
      <c r="I88" s="776"/>
      <c r="J88" s="785">
        <v>53.893000000000001</v>
      </c>
      <c r="K88" s="783"/>
      <c r="L88" s="780"/>
      <c r="M88" s="780"/>
      <c r="N88" s="462"/>
      <c r="O88" s="780"/>
      <c r="P88" s="780"/>
      <c r="Q88" s="780"/>
      <c r="R88" s="780"/>
      <c r="S88" s="780"/>
      <c r="T88" s="780"/>
      <c r="U88" s="780"/>
      <c r="V88" s="780"/>
      <c r="W88" s="784"/>
      <c r="X88" s="784"/>
      <c r="Y88" s="784"/>
      <c r="Z88" s="784"/>
      <c r="AA88" s="784"/>
      <c r="AB88" s="784"/>
      <c r="AC88" s="785"/>
      <c r="AD88" s="785"/>
      <c r="AE88" s="785"/>
      <c r="AF88" s="785"/>
      <c r="AG88" s="779"/>
      <c r="AH88" s="785"/>
      <c r="AI88" s="785"/>
      <c r="AJ88" s="776"/>
      <c r="AK88" s="776"/>
      <c r="AL88" s="568" t="s">
        <v>1327</v>
      </c>
      <c r="AM88" s="568" t="s">
        <v>1328</v>
      </c>
    </row>
    <row r="89" spans="1:39">
      <c r="A89" s="775" t="s">
        <v>1595</v>
      </c>
      <c r="B89" s="1880" t="s">
        <v>1596</v>
      </c>
      <c r="C89" s="1881"/>
      <c r="D89" s="1881"/>
      <c r="E89" s="1881"/>
      <c r="F89" s="1882"/>
      <c r="G89" s="776"/>
      <c r="H89" s="776"/>
      <c r="I89" s="776"/>
      <c r="J89" s="785">
        <v>49.826000000000001</v>
      </c>
      <c r="K89" s="783"/>
      <c r="L89" s="780"/>
      <c r="M89" s="780"/>
      <c r="N89" s="462"/>
      <c r="O89" s="780"/>
      <c r="P89" s="780"/>
      <c r="Q89" s="780"/>
      <c r="R89" s="780"/>
      <c r="S89" s="780"/>
      <c r="T89" s="780"/>
      <c r="U89" s="780"/>
      <c r="V89" s="780"/>
      <c r="W89" s="784"/>
      <c r="X89" s="784"/>
      <c r="Y89" s="784"/>
      <c r="Z89" s="784"/>
      <c r="AA89" s="784"/>
      <c r="AB89" s="784"/>
      <c r="AC89" s="785"/>
      <c r="AD89" s="785"/>
      <c r="AE89" s="785"/>
      <c r="AF89" s="785"/>
      <c r="AG89" s="779"/>
      <c r="AH89" s="785"/>
      <c r="AI89" s="785"/>
      <c r="AJ89" s="776"/>
      <c r="AK89" s="776"/>
      <c r="AL89" s="568" t="s">
        <v>1327</v>
      </c>
      <c r="AM89" s="568" t="s">
        <v>1328</v>
      </c>
    </row>
    <row r="90" spans="1:39">
      <c r="A90" s="775" t="s">
        <v>1597</v>
      </c>
      <c r="B90" s="1880" t="s">
        <v>1598</v>
      </c>
      <c r="C90" s="1881"/>
      <c r="D90" s="1881"/>
      <c r="E90" s="1881"/>
      <c r="F90" s="1882"/>
      <c r="G90" s="776"/>
      <c r="H90" s="776"/>
      <c r="I90" s="776"/>
      <c r="J90" s="785">
        <v>96.605000000000004</v>
      </c>
      <c r="K90" s="783"/>
      <c r="L90" s="780"/>
      <c r="M90" s="780"/>
      <c r="N90" s="462"/>
      <c r="O90" s="780"/>
      <c r="P90" s="780"/>
      <c r="Q90" s="780"/>
      <c r="R90" s="780"/>
      <c r="S90" s="780"/>
      <c r="T90" s="780"/>
      <c r="U90" s="780"/>
      <c r="V90" s="780"/>
      <c r="W90" s="784"/>
      <c r="X90" s="784"/>
      <c r="Y90" s="784"/>
      <c r="Z90" s="784"/>
      <c r="AA90" s="784"/>
      <c r="AB90" s="784"/>
      <c r="AC90" s="785"/>
      <c r="AD90" s="785"/>
      <c r="AE90" s="785"/>
      <c r="AF90" s="785"/>
      <c r="AG90" s="779"/>
      <c r="AH90" s="785"/>
      <c r="AI90" s="785"/>
      <c r="AJ90" s="776"/>
      <c r="AK90" s="776"/>
      <c r="AL90" s="568" t="s">
        <v>1327</v>
      </c>
      <c r="AM90" s="568" t="s">
        <v>1328</v>
      </c>
    </row>
    <row r="91" spans="1:39">
      <c r="A91" s="775" t="s">
        <v>1599</v>
      </c>
      <c r="B91" s="1880" t="s">
        <v>1600</v>
      </c>
      <c r="C91" s="1881"/>
      <c r="D91" s="1881"/>
      <c r="E91" s="1881"/>
      <c r="F91" s="1882"/>
      <c r="G91" s="776"/>
      <c r="H91" s="776"/>
      <c r="I91" s="776"/>
      <c r="J91" s="785">
        <v>35.115000000000002</v>
      </c>
      <c r="K91" s="783"/>
      <c r="L91" s="780"/>
      <c r="M91" s="780"/>
      <c r="N91" s="462"/>
      <c r="O91" s="780"/>
      <c r="P91" s="780"/>
      <c r="Q91" s="780"/>
      <c r="R91" s="780"/>
      <c r="S91" s="780"/>
      <c r="T91" s="780"/>
      <c r="U91" s="780"/>
      <c r="V91" s="780"/>
      <c r="W91" s="784"/>
      <c r="X91" s="784"/>
      <c r="Y91" s="784"/>
      <c r="Z91" s="784"/>
      <c r="AA91" s="784"/>
      <c r="AB91" s="784"/>
      <c r="AC91" s="785"/>
      <c r="AD91" s="785"/>
      <c r="AE91" s="785"/>
      <c r="AF91" s="785"/>
      <c r="AG91" s="779"/>
      <c r="AH91" s="785"/>
      <c r="AI91" s="785"/>
      <c r="AJ91" s="776"/>
      <c r="AK91" s="776"/>
      <c r="AL91" s="568" t="s">
        <v>1327</v>
      </c>
      <c r="AM91" s="568" t="s">
        <v>1328</v>
      </c>
    </row>
    <row r="92" spans="1:39">
      <c r="A92" s="775" t="s">
        <v>1601</v>
      </c>
      <c r="B92" s="1880" t="s">
        <v>1602</v>
      </c>
      <c r="C92" s="1881"/>
      <c r="D92" s="1881"/>
      <c r="E92" s="1881"/>
      <c r="F92" s="1882"/>
      <c r="G92" s="776"/>
      <c r="H92" s="776"/>
      <c r="I92" s="776"/>
      <c r="J92" s="785">
        <f>34.903+81.112+24.512</f>
        <v>140.52699999999999</v>
      </c>
      <c r="K92" s="783"/>
      <c r="L92" s="780"/>
      <c r="M92" s="780"/>
      <c r="N92" s="462"/>
      <c r="O92" s="780"/>
      <c r="P92" s="780"/>
      <c r="Q92" s="780"/>
      <c r="R92" s="780"/>
      <c r="S92" s="780"/>
      <c r="T92" s="780"/>
      <c r="U92" s="780"/>
      <c r="V92" s="780"/>
      <c r="W92" s="784"/>
      <c r="X92" s="784"/>
      <c r="Y92" s="784"/>
      <c r="Z92" s="784"/>
      <c r="AA92" s="784"/>
      <c r="AB92" s="784"/>
      <c r="AC92" s="785"/>
      <c r="AD92" s="785"/>
      <c r="AE92" s="785"/>
      <c r="AF92" s="785"/>
      <c r="AG92" s="779"/>
      <c r="AH92" s="785"/>
      <c r="AI92" s="785"/>
      <c r="AJ92" s="776"/>
      <c r="AK92" s="776"/>
      <c r="AL92" s="568" t="s">
        <v>1327</v>
      </c>
      <c r="AM92" s="568" t="s">
        <v>1328</v>
      </c>
    </row>
    <row r="93" spans="1:39">
      <c r="A93" s="775" t="s">
        <v>1603</v>
      </c>
      <c r="B93" s="1880" t="s">
        <v>1604</v>
      </c>
      <c r="C93" s="1881"/>
      <c r="D93" s="1881"/>
      <c r="E93" s="1881"/>
      <c r="F93" s="1882"/>
      <c r="G93" s="776"/>
      <c r="H93" s="776"/>
      <c r="I93" s="776"/>
      <c r="J93" s="785">
        <f>79.482+54.909+60.443</f>
        <v>194.834</v>
      </c>
      <c r="K93" s="783"/>
      <c r="L93" s="780"/>
      <c r="M93" s="780"/>
      <c r="N93" s="462"/>
      <c r="O93" s="780"/>
      <c r="P93" s="780"/>
      <c r="Q93" s="780"/>
      <c r="R93" s="780"/>
      <c r="S93" s="780"/>
      <c r="T93" s="780"/>
      <c r="U93" s="780"/>
      <c r="V93" s="780"/>
      <c r="W93" s="784"/>
      <c r="X93" s="784"/>
      <c r="Y93" s="784"/>
      <c r="Z93" s="784"/>
      <c r="AA93" s="784"/>
      <c r="AB93" s="784"/>
      <c r="AC93" s="785"/>
      <c r="AD93" s="785"/>
      <c r="AE93" s="785"/>
      <c r="AF93" s="785"/>
      <c r="AG93" s="779"/>
      <c r="AH93" s="785"/>
      <c r="AI93" s="785"/>
      <c r="AJ93" s="776"/>
      <c r="AK93" s="776"/>
      <c r="AL93" s="568" t="s">
        <v>1327</v>
      </c>
      <c r="AM93" s="568" t="s">
        <v>1328</v>
      </c>
    </row>
    <row r="94" spans="1:39">
      <c r="A94" s="775" t="s">
        <v>1605</v>
      </c>
      <c r="B94" s="1880" t="s">
        <v>1606</v>
      </c>
      <c r="C94" s="1881"/>
      <c r="D94" s="1881"/>
      <c r="E94" s="1881"/>
      <c r="F94" s="1882"/>
      <c r="G94" s="776"/>
      <c r="H94" s="776"/>
      <c r="I94" s="776"/>
      <c r="J94" s="785">
        <v>98.206999999999994</v>
      </c>
      <c r="K94" s="783"/>
      <c r="L94" s="780"/>
      <c r="M94" s="780"/>
      <c r="N94" s="462"/>
      <c r="O94" s="780"/>
      <c r="P94" s="780"/>
      <c r="Q94" s="780"/>
      <c r="R94" s="780"/>
      <c r="S94" s="780"/>
      <c r="T94" s="780"/>
      <c r="U94" s="780"/>
      <c r="V94" s="780"/>
      <c r="W94" s="784"/>
      <c r="X94" s="784"/>
      <c r="Y94" s="784"/>
      <c r="Z94" s="784"/>
      <c r="AA94" s="784"/>
      <c r="AB94" s="784"/>
      <c r="AC94" s="785"/>
      <c r="AD94" s="785"/>
      <c r="AE94" s="785"/>
      <c r="AF94" s="785"/>
      <c r="AG94" s="779"/>
      <c r="AH94" s="785"/>
      <c r="AI94" s="785"/>
      <c r="AJ94" s="776"/>
      <c r="AK94" s="776"/>
      <c r="AL94" s="568" t="s">
        <v>1327</v>
      </c>
      <c r="AM94" s="568" t="s">
        <v>1328</v>
      </c>
    </row>
    <row r="95" spans="1:39">
      <c r="A95" s="775" t="s">
        <v>1607</v>
      </c>
      <c r="B95" s="1880" t="s">
        <v>1608</v>
      </c>
      <c r="C95" s="1881"/>
      <c r="D95" s="1881"/>
      <c r="E95" s="1881"/>
      <c r="F95" s="1882"/>
      <c r="G95" s="776"/>
      <c r="H95" s="776"/>
      <c r="I95" s="776"/>
      <c r="J95" s="785">
        <v>83.462999999999994</v>
      </c>
      <c r="K95" s="783"/>
      <c r="L95" s="780"/>
      <c r="M95" s="780"/>
      <c r="N95" s="462"/>
      <c r="O95" s="780"/>
      <c r="P95" s="780"/>
      <c r="Q95" s="780"/>
      <c r="R95" s="780"/>
      <c r="S95" s="780"/>
      <c r="T95" s="780"/>
      <c r="U95" s="780"/>
      <c r="V95" s="780"/>
      <c r="W95" s="784"/>
      <c r="X95" s="784"/>
      <c r="Y95" s="784"/>
      <c r="Z95" s="784"/>
      <c r="AA95" s="784"/>
      <c r="AB95" s="784"/>
      <c r="AC95" s="785"/>
      <c r="AD95" s="785"/>
      <c r="AE95" s="785"/>
      <c r="AF95" s="785"/>
      <c r="AG95" s="779"/>
      <c r="AH95" s="785"/>
      <c r="AI95" s="785"/>
      <c r="AJ95" s="776"/>
      <c r="AK95" s="776"/>
      <c r="AL95" s="568" t="s">
        <v>1327</v>
      </c>
      <c r="AM95" s="568" t="s">
        <v>1328</v>
      </c>
    </row>
    <row r="96" spans="1:39">
      <c r="A96" s="775" t="s">
        <v>1609</v>
      </c>
      <c r="B96" s="1880" t="s">
        <v>1610</v>
      </c>
      <c r="C96" s="1881"/>
      <c r="D96" s="1881"/>
      <c r="E96" s="1881"/>
      <c r="F96" s="1882"/>
      <c r="G96" s="776"/>
      <c r="H96" s="776"/>
      <c r="I96" s="776"/>
      <c r="J96" s="785">
        <v>163.22200000000001</v>
      </c>
      <c r="K96" s="783"/>
      <c r="L96" s="780"/>
      <c r="M96" s="780"/>
      <c r="N96" s="462"/>
      <c r="O96" s="780"/>
      <c r="P96" s="780"/>
      <c r="Q96" s="780"/>
      <c r="R96" s="780"/>
      <c r="S96" s="780"/>
      <c r="T96" s="780"/>
      <c r="U96" s="780"/>
      <c r="V96" s="780"/>
      <c r="W96" s="784"/>
      <c r="X96" s="784"/>
      <c r="Y96" s="784"/>
      <c r="Z96" s="784"/>
      <c r="AA96" s="784"/>
      <c r="AB96" s="784"/>
      <c r="AC96" s="785"/>
      <c r="AD96" s="785"/>
      <c r="AE96" s="785"/>
      <c r="AF96" s="785"/>
      <c r="AG96" s="779"/>
      <c r="AH96" s="785"/>
      <c r="AI96" s="785"/>
      <c r="AJ96" s="776"/>
      <c r="AK96" s="776"/>
      <c r="AL96" s="568" t="s">
        <v>1327</v>
      </c>
      <c r="AM96" s="568" t="s">
        <v>1328</v>
      </c>
    </row>
    <row r="97" spans="1:39">
      <c r="A97" s="775" t="s">
        <v>1611</v>
      </c>
      <c r="B97" s="1880" t="s">
        <v>1612</v>
      </c>
      <c r="C97" s="1881"/>
      <c r="D97" s="1881"/>
      <c r="E97" s="1881"/>
      <c r="F97" s="1882"/>
      <c r="G97" s="776"/>
      <c r="H97" s="776"/>
      <c r="I97" s="776"/>
      <c r="J97" s="785">
        <v>68.504999999999995</v>
      </c>
      <c r="K97" s="783"/>
      <c r="L97" s="780"/>
      <c r="M97" s="780"/>
      <c r="N97" s="462"/>
      <c r="O97" s="780"/>
      <c r="P97" s="780"/>
      <c r="Q97" s="780"/>
      <c r="R97" s="780"/>
      <c r="S97" s="780"/>
      <c r="T97" s="780"/>
      <c r="U97" s="780"/>
      <c r="V97" s="780"/>
      <c r="W97" s="784"/>
      <c r="X97" s="784"/>
      <c r="Y97" s="784"/>
      <c r="Z97" s="784"/>
      <c r="AA97" s="784"/>
      <c r="AB97" s="784"/>
      <c r="AC97" s="785"/>
      <c r="AD97" s="785"/>
      <c r="AE97" s="785"/>
      <c r="AF97" s="785"/>
      <c r="AG97" s="779"/>
      <c r="AH97" s="785"/>
      <c r="AI97" s="785"/>
      <c r="AJ97" s="776"/>
      <c r="AK97" s="776"/>
      <c r="AL97" s="568" t="s">
        <v>1327</v>
      </c>
      <c r="AM97" s="568" t="s">
        <v>1328</v>
      </c>
    </row>
    <row r="98" spans="1:39">
      <c r="A98" s="775" t="s">
        <v>1613</v>
      </c>
      <c r="B98" s="1880" t="s">
        <v>1614</v>
      </c>
      <c r="C98" s="1881"/>
      <c r="D98" s="1881"/>
      <c r="E98" s="1881"/>
      <c r="F98" s="1882"/>
      <c r="G98" s="776"/>
      <c r="H98" s="776"/>
      <c r="I98" s="776"/>
      <c r="J98" s="785">
        <v>110.37</v>
      </c>
      <c r="K98" s="783"/>
      <c r="L98" s="780"/>
      <c r="M98" s="780"/>
      <c r="N98" s="462"/>
      <c r="O98" s="780"/>
      <c r="P98" s="780"/>
      <c r="Q98" s="780"/>
      <c r="R98" s="780"/>
      <c r="S98" s="780"/>
      <c r="T98" s="780"/>
      <c r="U98" s="780"/>
      <c r="V98" s="780"/>
      <c r="W98" s="784"/>
      <c r="X98" s="784"/>
      <c r="Y98" s="784"/>
      <c r="Z98" s="784"/>
      <c r="AA98" s="784"/>
      <c r="AB98" s="784"/>
      <c r="AC98" s="785"/>
      <c r="AD98" s="785"/>
      <c r="AE98" s="785"/>
      <c r="AF98" s="785"/>
      <c r="AG98" s="779"/>
      <c r="AH98" s="785"/>
      <c r="AI98" s="785"/>
      <c r="AJ98" s="776"/>
      <c r="AK98" s="776"/>
      <c r="AL98" s="568" t="s">
        <v>1327</v>
      </c>
      <c r="AM98" s="568" t="s">
        <v>1328</v>
      </c>
    </row>
    <row r="99" spans="1:39">
      <c r="A99" s="775" t="s">
        <v>1615</v>
      </c>
      <c r="B99" s="1880" t="s">
        <v>1616</v>
      </c>
      <c r="C99" s="1881"/>
      <c r="D99" s="1881"/>
      <c r="E99" s="1881"/>
      <c r="F99" s="1882"/>
      <c r="G99" s="776"/>
      <c r="H99" s="776"/>
      <c r="I99" s="776"/>
      <c r="J99" s="785">
        <f>61.753+52.399+32.126+56.795+86.988</f>
        <v>290.06099999999998</v>
      </c>
      <c r="K99" s="783"/>
      <c r="L99" s="780"/>
      <c r="M99" s="780"/>
      <c r="N99" s="462"/>
      <c r="O99" s="780"/>
      <c r="P99" s="780"/>
      <c r="Q99" s="780"/>
      <c r="R99" s="780"/>
      <c r="S99" s="780"/>
      <c r="T99" s="780"/>
      <c r="U99" s="780"/>
      <c r="V99" s="780"/>
      <c r="W99" s="784"/>
      <c r="X99" s="784"/>
      <c r="Y99" s="784"/>
      <c r="Z99" s="784"/>
      <c r="AA99" s="784"/>
      <c r="AB99" s="784"/>
      <c r="AC99" s="785"/>
      <c r="AD99" s="785"/>
      <c r="AE99" s="785"/>
      <c r="AF99" s="785"/>
      <c r="AG99" s="779"/>
      <c r="AH99" s="785"/>
      <c r="AI99" s="785"/>
      <c r="AJ99" s="776"/>
      <c r="AK99" s="776"/>
      <c r="AL99" s="568" t="s">
        <v>1327</v>
      </c>
      <c r="AM99" s="568" t="s">
        <v>1328</v>
      </c>
    </row>
    <row r="100" spans="1:39">
      <c r="A100" s="775" t="s">
        <v>1617</v>
      </c>
      <c r="B100" s="1880" t="s">
        <v>1618</v>
      </c>
      <c r="C100" s="1881"/>
      <c r="D100" s="1881"/>
      <c r="E100" s="1881"/>
      <c r="F100" s="1882"/>
      <c r="G100" s="776"/>
      <c r="H100" s="776"/>
      <c r="I100" s="776"/>
      <c r="J100" s="785">
        <f>34.512+66.939</f>
        <v>101.45099999999999</v>
      </c>
      <c r="K100" s="783"/>
      <c r="L100" s="780"/>
      <c r="M100" s="780"/>
      <c r="N100" s="462"/>
      <c r="O100" s="780"/>
      <c r="P100" s="780"/>
      <c r="Q100" s="780"/>
      <c r="R100" s="780"/>
      <c r="S100" s="780"/>
      <c r="T100" s="780"/>
      <c r="U100" s="780"/>
      <c r="V100" s="780"/>
      <c r="W100" s="784"/>
      <c r="X100" s="784"/>
      <c r="Y100" s="784"/>
      <c r="Z100" s="784"/>
      <c r="AA100" s="784"/>
      <c r="AB100" s="784"/>
      <c r="AC100" s="785"/>
      <c r="AD100" s="785"/>
      <c r="AE100" s="785"/>
      <c r="AF100" s="785"/>
      <c r="AG100" s="779"/>
      <c r="AH100" s="785"/>
      <c r="AI100" s="785"/>
      <c r="AJ100" s="776"/>
      <c r="AK100" s="776"/>
      <c r="AL100" s="568" t="s">
        <v>1327</v>
      </c>
      <c r="AM100" s="568" t="s">
        <v>1328</v>
      </c>
    </row>
    <row r="101" spans="1:39">
      <c r="A101" s="775" t="s">
        <v>1619</v>
      </c>
      <c r="B101" s="1880" t="s">
        <v>1620</v>
      </c>
      <c r="C101" s="1881"/>
      <c r="D101" s="1881"/>
      <c r="E101" s="1881"/>
      <c r="F101" s="1882"/>
      <c r="G101" s="776"/>
      <c r="H101" s="776"/>
      <c r="I101" s="776"/>
      <c r="J101" s="785">
        <f>36.279+47.143+31.682</f>
        <v>115.104</v>
      </c>
      <c r="K101" s="783"/>
      <c r="L101" s="780"/>
      <c r="M101" s="780"/>
      <c r="N101" s="462"/>
      <c r="O101" s="780"/>
      <c r="P101" s="780"/>
      <c r="Q101" s="780"/>
      <c r="R101" s="780"/>
      <c r="S101" s="780"/>
      <c r="T101" s="780"/>
      <c r="U101" s="780"/>
      <c r="V101" s="780"/>
      <c r="W101" s="784"/>
      <c r="X101" s="784"/>
      <c r="Y101" s="784"/>
      <c r="Z101" s="784"/>
      <c r="AA101" s="784"/>
      <c r="AB101" s="784"/>
      <c r="AC101" s="785"/>
      <c r="AD101" s="785"/>
      <c r="AE101" s="785"/>
      <c r="AF101" s="785"/>
      <c r="AG101" s="779"/>
      <c r="AH101" s="785"/>
      <c r="AI101" s="785"/>
      <c r="AJ101" s="776"/>
      <c r="AK101" s="776"/>
      <c r="AL101" s="568" t="s">
        <v>1327</v>
      </c>
      <c r="AM101" s="568" t="s">
        <v>1328</v>
      </c>
    </row>
    <row r="102" spans="1:39">
      <c r="A102" s="775" t="s">
        <v>1621</v>
      </c>
      <c r="B102" s="1880" t="s">
        <v>1622</v>
      </c>
      <c r="C102" s="1881"/>
      <c r="D102" s="1881"/>
      <c r="E102" s="1881"/>
      <c r="F102" s="1882"/>
      <c r="G102" s="776"/>
      <c r="H102" s="776"/>
      <c r="I102" s="776"/>
      <c r="J102" s="785">
        <f>80.243+56.88</f>
        <v>137.12299999999999</v>
      </c>
      <c r="K102" s="783"/>
      <c r="L102" s="780"/>
      <c r="M102" s="780"/>
      <c r="N102" s="462"/>
      <c r="O102" s="780"/>
      <c r="P102" s="780"/>
      <c r="Q102" s="780"/>
      <c r="R102" s="780"/>
      <c r="S102" s="780"/>
      <c r="T102" s="780"/>
      <c r="U102" s="780"/>
      <c r="V102" s="780"/>
      <c r="W102" s="784"/>
      <c r="X102" s="784"/>
      <c r="Y102" s="784"/>
      <c r="Z102" s="784"/>
      <c r="AA102" s="784"/>
      <c r="AB102" s="784"/>
      <c r="AC102" s="785"/>
      <c r="AD102" s="785"/>
      <c r="AE102" s="785"/>
      <c r="AF102" s="785"/>
      <c r="AG102" s="779"/>
      <c r="AH102" s="785"/>
      <c r="AI102" s="785"/>
      <c r="AJ102" s="776"/>
      <c r="AK102" s="776"/>
      <c r="AL102" s="568" t="s">
        <v>1327</v>
      </c>
      <c r="AM102" s="568" t="s">
        <v>1328</v>
      </c>
    </row>
    <row r="103" spans="1:39">
      <c r="A103" s="775" t="s">
        <v>1623</v>
      </c>
      <c r="B103" s="1880" t="s">
        <v>1624</v>
      </c>
      <c r="C103" s="1881"/>
      <c r="D103" s="1881"/>
      <c r="E103" s="1881"/>
      <c r="F103" s="1882"/>
      <c r="G103" s="776"/>
      <c r="H103" s="776"/>
      <c r="I103" s="776"/>
      <c r="J103" s="785">
        <f>24.713+35.222+27.235+47.248+47.248</f>
        <v>181.666</v>
      </c>
      <c r="K103" s="783"/>
      <c r="L103" s="780"/>
      <c r="M103" s="780"/>
      <c r="N103" s="462"/>
      <c r="O103" s="780"/>
      <c r="P103" s="780"/>
      <c r="Q103" s="780"/>
      <c r="R103" s="780"/>
      <c r="S103" s="780"/>
      <c r="T103" s="780"/>
      <c r="U103" s="780"/>
      <c r="V103" s="780"/>
      <c r="W103" s="784"/>
      <c r="X103" s="784"/>
      <c r="Y103" s="784"/>
      <c r="Z103" s="784"/>
      <c r="AA103" s="784"/>
      <c r="AB103" s="784"/>
      <c r="AC103" s="785"/>
      <c r="AD103" s="785"/>
      <c r="AE103" s="785"/>
      <c r="AF103" s="785"/>
      <c r="AG103" s="779"/>
      <c r="AH103" s="785"/>
      <c r="AI103" s="785"/>
      <c r="AJ103" s="776"/>
      <c r="AK103" s="776"/>
      <c r="AL103" s="568" t="s">
        <v>1327</v>
      </c>
      <c r="AM103" s="568" t="s">
        <v>1328</v>
      </c>
    </row>
    <row r="104" spans="1:39">
      <c r="A104" s="775" t="s">
        <v>1625</v>
      </c>
      <c r="B104" s="1880" t="s">
        <v>1626</v>
      </c>
      <c r="C104" s="1881"/>
      <c r="D104" s="1881"/>
      <c r="E104" s="1881"/>
      <c r="F104" s="1882"/>
      <c r="G104" s="776"/>
      <c r="H104" s="776"/>
      <c r="I104" s="776"/>
      <c r="J104" s="785">
        <v>764.42</v>
      </c>
      <c r="K104" s="783"/>
      <c r="L104" s="780"/>
      <c r="M104" s="780"/>
      <c r="N104" s="462"/>
      <c r="O104" s="780"/>
      <c r="P104" s="780"/>
      <c r="Q104" s="780"/>
      <c r="R104" s="780"/>
      <c r="S104" s="780"/>
      <c r="T104" s="780"/>
      <c r="U104" s="780"/>
      <c r="V104" s="780"/>
      <c r="W104" s="784"/>
      <c r="X104" s="784"/>
      <c r="Y104" s="784"/>
      <c r="Z104" s="784"/>
      <c r="AA104" s="784"/>
      <c r="AB104" s="784"/>
      <c r="AC104" s="785"/>
      <c r="AD104" s="785"/>
      <c r="AE104" s="785"/>
      <c r="AF104" s="785"/>
      <c r="AG104" s="779"/>
      <c r="AH104" s="785"/>
      <c r="AI104" s="785"/>
      <c r="AJ104" s="776"/>
      <c r="AK104" s="776"/>
      <c r="AL104" s="568" t="s">
        <v>1327</v>
      </c>
      <c r="AM104" s="568" t="s">
        <v>1328</v>
      </c>
    </row>
    <row r="105" spans="1:39">
      <c r="A105" s="775" t="s">
        <v>1627</v>
      </c>
      <c r="B105" s="1880" t="s">
        <v>1628</v>
      </c>
      <c r="C105" s="1881"/>
      <c r="D105" s="1881"/>
      <c r="E105" s="1881"/>
      <c r="F105" s="1882"/>
      <c r="G105" s="776"/>
      <c r="H105" s="776"/>
      <c r="I105" s="776"/>
      <c r="J105" s="785">
        <v>20.818999999999999</v>
      </c>
      <c r="K105" s="783"/>
      <c r="L105" s="780"/>
      <c r="M105" s="780"/>
      <c r="N105" s="462"/>
      <c r="O105" s="780"/>
      <c r="P105" s="780"/>
      <c r="Q105" s="780"/>
      <c r="R105" s="780"/>
      <c r="S105" s="780"/>
      <c r="T105" s="780"/>
      <c r="U105" s="780"/>
      <c r="V105" s="780"/>
      <c r="W105" s="784"/>
      <c r="X105" s="784"/>
      <c r="Y105" s="784"/>
      <c r="Z105" s="784"/>
      <c r="AA105" s="784"/>
      <c r="AB105" s="784"/>
      <c r="AC105" s="785"/>
      <c r="AD105" s="785"/>
      <c r="AE105" s="785"/>
      <c r="AF105" s="785"/>
      <c r="AG105" s="779"/>
      <c r="AH105" s="785"/>
      <c r="AI105" s="785"/>
      <c r="AJ105" s="776"/>
      <c r="AK105" s="776"/>
      <c r="AL105" s="568" t="s">
        <v>1327</v>
      </c>
      <c r="AM105" s="568" t="s">
        <v>1328</v>
      </c>
    </row>
    <row r="106" spans="1:39">
      <c r="A106" s="775" t="s">
        <v>1629</v>
      </c>
      <c r="B106" s="1880" t="s">
        <v>1630</v>
      </c>
      <c r="C106" s="1881"/>
      <c r="D106" s="1881"/>
      <c r="E106" s="1881"/>
      <c r="F106" s="1882"/>
      <c r="G106" s="776"/>
      <c r="H106" s="776"/>
      <c r="I106" s="776"/>
      <c r="J106" s="785">
        <v>30.3</v>
      </c>
      <c r="K106" s="783"/>
      <c r="L106" s="780"/>
      <c r="M106" s="780"/>
      <c r="N106" s="462"/>
      <c r="O106" s="780"/>
      <c r="P106" s="780"/>
      <c r="Q106" s="780"/>
      <c r="R106" s="780"/>
      <c r="S106" s="780"/>
      <c r="T106" s="780"/>
      <c r="U106" s="780"/>
      <c r="V106" s="780"/>
      <c r="W106" s="784"/>
      <c r="X106" s="784"/>
      <c r="Y106" s="784"/>
      <c r="Z106" s="784"/>
      <c r="AA106" s="784"/>
      <c r="AB106" s="784"/>
      <c r="AC106" s="785"/>
      <c r="AD106" s="785"/>
      <c r="AE106" s="785"/>
      <c r="AF106" s="785"/>
      <c r="AG106" s="779"/>
      <c r="AH106" s="785"/>
      <c r="AI106" s="785"/>
      <c r="AJ106" s="776"/>
      <c r="AK106" s="776"/>
      <c r="AL106" s="568" t="s">
        <v>1327</v>
      </c>
      <c r="AM106" s="568" t="s">
        <v>1328</v>
      </c>
    </row>
    <row r="107" spans="1:39">
      <c r="A107" s="775" t="s">
        <v>1631</v>
      </c>
      <c r="B107" s="1880" t="s">
        <v>1632</v>
      </c>
      <c r="C107" s="1881"/>
      <c r="D107" s="1881"/>
      <c r="E107" s="1881"/>
      <c r="F107" s="1882"/>
      <c r="G107" s="776"/>
      <c r="H107" s="776"/>
      <c r="I107" s="776"/>
      <c r="J107" s="785">
        <f>32.674+32.126</f>
        <v>64.8</v>
      </c>
      <c r="K107" s="783"/>
      <c r="L107" s="780"/>
      <c r="M107" s="780"/>
      <c r="N107" s="462"/>
      <c r="O107" s="780"/>
      <c r="P107" s="780"/>
      <c r="Q107" s="780"/>
      <c r="R107" s="780"/>
      <c r="S107" s="780"/>
      <c r="T107" s="780"/>
      <c r="U107" s="780"/>
      <c r="V107" s="780"/>
      <c r="W107" s="784"/>
      <c r="X107" s="784"/>
      <c r="Y107" s="784"/>
      <c r="Z107" s="784"/>
      <c r="AA107" s="784"/>
      <c r="AB107" s="784"/>
      <c r="AC107" s="785"/>
      <c r="AD107" s="785"/>
      <c r="AE107" s="785"/>
      <c r="AF107" s="785"/>
      <c r="AG107" s="779"/>
      <c r="AH107" s="785"/>
      <c r="AI107" s="785"/>
      <c r="AJ107" s="776"/>
      <c r="AK107" s="776"/>
      <c r="AL107" s="568" t="s">
        <v>1327</v>
      </c>
      <c r="AM107" s="568" t="s">
        <v>1328</v>
      </c>
    </row>
    <row r="108" spans="1:39">
      <c r="A108" s="775" t="s">
        <v>1633</v>
      </c>
      <c r="B108" s="1880" t="s">
        <v>1634</v>
      </c>
      <c r="C108" s="1881"/>
      <c r="D108" s="1881"/>
      <c r="E108" s="1881"/>
      <c r="F108" s="1882"/>
      <c r="G108" s="776"/>
      <c r="H108" s="776"/>
      <c r="I108" s="776"/>
      <c r="J108" s="785">
        <f>43.327+82.252</f>
        <v>125.57899999999999</v>
      </c>
      <c r="K108" s="783"/>
      <c r="L108" s="780"/>
      <c r="M108" s="780"/>
      <c r="N108" s="462"/>
      <c r="O108" s="780"/>
      <c r="P108" s="780"/>
      <c r="Q108" s="780"/>
      <c r="R108" s="780"/>
      <c r="S108" s="780"/>
      <c r="T108" s="780"/>
      <c r="U108" s="780"/>
      <c r="V108" s="780"/>
      <c r="W108" s="784"/>
      <c r="X108" s="784"/>
      <c r="Y108" s="784"/>
      <c r="Z108" s="784"/>
      <c r="AA108" s="784"/>
      <c r="AB108" s="784"/>
      <c r="AC108" s="785"/>
      <c r="AD108" s="785"/>
      <c r="AE108" s="785"/>
      <c r="AF108" s="785"/>
      <c r="AG108" s="779"/>
      <c r="AH108" s="785"/>
      <c r="AI108" s="785"/>
      <c r="AJ108" s="776"/>
      <c r="AK108" s="776"/>
      <c r="AL108" s="568" t="s">
        <v>1327</v>
      </c>
      <c r="AM108" s="568" t="s">
        <v>1328</v>
      </c>
    </row>
    <row r="109" spans="1:39">
      <c r="A109" s="775" t="s">
        <v>1635</v>
      </c>
      <c r="B109" s="1880" t="s">
        <v>1636</v>
      </c>
      <c r="C109" s="1881"/>
      <c r="D109" s="1881"/>
      <c r="E109" s="1881"/>
      <c r="F109" s="1882"/>
      <c r="G109" s="776"/>
      <c r="H109" s="776"/>
      <c r="I109" s="776"/>
      <c r="J109" s="785">
        <v>21.18</v>
      </c>
      <c r="K109" s="783"/>
      <c r="L109" s="780"/>
      <c r="M109" s="780"/>
      <c r="N109" s="462"/>
      <c r="O109" s="780"/>
      <c r="P109" s="780"/>
      <c r="Q109" s="780"/>
      <c r="R109" s="780"/>
      <c r="S109" s="780"/>
      <c r="T109" s="780"/>
      <c r="U109" s="780"/>
      <c r="V109" s="780"/>
      <c r="W109" s="784"/>
      <c r="X109" s="784"/>
      <c r="Y109" s="784"/>
      <c r="Z109" s="784"/>
      <c r="AA109" s="784"/>
      <c r="AB109" s="784"/>
      <c r="AC109" s="785"/>
      <c r="AD109" s="785"/>
      <c r="AE109" s="785"/>
      <c r="AF109" s="785"/>
      <c r="AG109" s="779"/>
      <c r="AH109" s="785"/>
      <c r="AI109" s="785"/>
      <c r="AJ109" s="776"/>
      <c r="AK109" s="776"/>
      <c r="AL109" s="568" t="s">
        <v>1327</v>
      </c>
      <c r="AM109" s="568" t="s">
        <v>1328</v>
      </c>
    </row>
    <row r="110" spans="1:39">
      <c r="A110" s="775" t="s">
        <v>1637</v>
      </c>
      <c r="B110" s="1880" t="s">
        <v>1638</v>
      </c>
      <c r="C110" s="1881"/>
      <c r="D110" s="1881"/>
      <c r="E110" s="1881"/>
      <c r="F110" s="1882"/>
      <c r="G110" s="776"/>
      <c r="H110" s="776"/>
      <c r="I110" s="776"/>
      <c r="J110" s="785">
        <v>61.238</v>
      </c>
      <c r="K110" s="783"/>
      <c r="L110" s="780"/>
      <c r="M110" s="780"/>
      <c r="N110" s="462"/>
      <c r="O110" s="780"/>
      <c r="P110" s="780"/>
      <c r="Q110" s="780"/>
      <c r="R110" s="780"/>
      <c r="S110" s="780"/>
      <c r="T110" s="780"/>
      <c r="U110" s="780"/>
      <c r="V110" s="780"/>
      <c r="W110" s="784"/>
      <c r="X110" s="784"/>
      <c r="Y110" s="784"/>
      <c r="Z110" s="784"/>
      <c r="AA110" s="784"/>
      <c r="AB110" s="784"/>
      <c r="AC110" s="785"/>
      <c r="AD110" s="785"/>
      <c r="AE110" s="785"/>
      <c r="AF110" s="785"/>
      <c r="AG110" s="779"/>
      <c r="AH110" s="785"/>
      <c r="AI110" s="785"/>
      <c r="AJ110" s="776"/>
      <c r="AK110" s="776"/>
      <c r="AL110" s="568" t="s">
        <v>1327</v>
      </c>
      <c r="AM110" s="568" t="s">
        <v>1328</v>
      </c>
    </row>
    <row r="111" spans="1:39">
      <c r="A111" s="775" t="s">
        <v>1639</v>
      </c>
      <c r="B111" s="1880" t="s">
        <v>1640</v>
      </c>
      <c r="C111" s="1881"/>
      <c r="D111" s="1881"/>
      <c r="E111" s="1881"/>
      <c r="F111" s="1882"/>
      <c r="G111" s="776"/>
      <c r="H111" s="776"/>
      <c r="I111" s="776"/>
      <c r="J111" s="785">
        <v>46.122999999999998</v>
      </c>
      <c r="K111" s="783"/>
      <c r="L111" s="780"/>
      <c r="M111" s="780"/>
      <c r="N111" s="462"/>
      <c r="O111" s="780"/>
      <c r="P111" s="780"/>
      <c r="Q111" s="780"/>
      <c r="R111" s="780"/>
      <c r="S111" s="780"/>
      <c r="T111" s="780"/>
      <c r="U111" s="780"/>
      <c r="V111" s="780"/>
      <c r="W111" s="784"/>
      <c r="X111" s="784"/>
      <c r="Y111" s="784"/>
      <c r="Z111" s="784"/>
      <c r="AA111" s="784"/>
      <c r="AB111" s="784"/>
      <c r="AC111" s="785"/>
      <c r="AD111" s="785"/>
      <c r="AE111" s="785"/>
      <c r="AF111" s="785"/>
      <c r="AG111" s="779"/>
      <c r="AH111" s="785"/>
      <c r="AI111" s="785"/>
      <c r="AJ111" s="776"/>
      <c r="AK111" s="776"/>
      <c r="AL111" s="568" t="s">
        <v>1327</v>
      </c>
      <c r="AM111" s="568" t="s">
        <v>1328</v>
      </c>
    </row>
    <row r="112" spans="1:39">
      <c r="A112" s="775" t="s">
        <v>1641</v>
      </c>
      <c r="B112" s="1880" t="s">
        <v>1642</v>
      </c>
      <c r="C112" s="1881"/>
      <c r="D112" s="1881"/>
      <c r="E112" s="1881"/>
      <c r="F112" s="1882"/>
      <c r="G112" s="776"/>
      <c r="H112" s="776"/>
      <c r="I112" s="776"/>
      <c r="J112" s="785">
        <v>31.103999999999999</v>
      </c>
      <c r="K112" s="783"/>
      <c r="L112" s="780"/>
      <c r="M112" s="780"/>
      <c r="N112" s="462"/>
      <c r="O112" s="780"/>
      <c r="P112" s="780"/>
      <c r="Q112" s="780"/>
      <c r="R112" s="780"/>
      <c r="S112" s="780"/>
      <c r="T112" s="780"/>
      <c r="U112" s="780"/>
      <c r="V112" s="780"/>
      <c r="W112" s="784"/>
      <c r="X112" s="784"/>
      <c r="Y112" s="784"/>
      <c r="Z112" s="784"/>
      <c r="AA112" s="784"/>
      <c r="AB112" s="784"/>
      <c r="AC112" s="785"/>
      <c r="AD112" s="785"/>
      <c r="AE112" s="785"/>
      <c r="AF112" s="785"/>
      <c r="AG112" s="779"/>
      <c r="AH112" s="785"/>
      <c r="AI112" s="785"/>
      <c r="AJ112" s="776"/>
      <c r="AK112" s="776"/>
      <c r="AL112" s="568" t="s">
        <v>1327</v>
      </c>
      <c r="AM112" s="568" t="s">
        <v>1328</v>
      </c>
    </row>
    <row r="113" spans="1:39">
      <c r="A113" s="1889" t="s">
        <v>353</v>
      </c>
      <c r="B113" s="1890"/>
      <c r="C113" s="1890"/>
      <c r="D113" s="1890"/>
      <c r="E113" s="1890"/>
      <c r="F113" s="1890"/>
      <c r="G113" s="461">
        <f>G114+G131+G127</f>
        <v>13573.2</v>
      </c>
      <c r="H113" s="461"/>
      <c r="I113" s="461">
        <f>I114+I131+I127</f>
        <v>11502.71186440678</v>
      </c>
      <c r="J113" s="461">
        <f>J114+J131+J127</f>
        <v>15480.262688135594</v>
      </c>
      <c r="K113" s="783"/>
      <c r="L113" s="780"/>
      <c r="M113" s="780"/>
      <c r="N113" s="780"/>
      <c r="O113" s="780"/>
      <c r="P113" s="780"/>
      <c r="Q113" s="780"/>
      <c r="R113" s="780"/>
      <c r="S113" s="780"/>
      <c r="T113" s="780"/>
      <c r="U113" s="780"/>
      <c r="V113" s="780"/>
      <c r="W113" s="784"/>
      <c r="X113" s="784"/>
      <c r="Y113" s="784"/>
      <c r="Z113" s="784"/>
      <c r="AA113" s="784"/>
      <c r="AB113" s="784"/>
      <c r="AC113" s="785"/>
      <c r="AD113" s="785"/>
      <c r="AE113" s="785"/>
      <c r="AF113" s="785"/>
      <c r="AG113" s="779"/>
      <c r="AH113" s="785"/>
      <c r="AI113" s="785"/>
      <c r="AJ113" s="776"/>
      <c r="AK113" s="776"/>
      <c r="AL113" s="568"/>
      <c r="AM113" s="568"/>
    </row>
    <row r="114" spans="1:39">
      <c r="A114" s="1889" t="s">
        <v>354</v>
      </c>
      <c r="B114" s="1890"/>
      <c r="C114" s="1890"/>
      <c r="D114" s="1890"/>
      <c r="E114" s="1890"/>
      <c r="F114" s="1890"/>
      <c r="G114" s="442">
        <f>SUM(G115:G126)</f>
        <v>8049.39</v>
      </c>
      <c r="H114" s="442"/>
      <c r="I114" s="442">
        <f>SUM(I115:I126)</f>
        <v>6821.5169491525421</v>
      </c>
      <c r="J114" s="442">
        <f>SUM(J115:J126)</f>
        <v>7666.7155844067802</v>
      </c>
      <c r="K114" s="783"/>
      <c r="L114" s="780"/>
      <c r="M114" s="780"/>
      <c r="N114" s="780"/>
      <c r="O114" s="780"/>
      <c r="P114" s="780"/>
      <c r="Q114" s="780"/>
      <c r="R114" s="780"/>
      <c r="S114" s="780"/>
      <c r="T114" s="780"/>
      <c r="U114" s="780"/>
      <c r="V114" s="780"/>
      <c r="W114" s="784"/>
      <c r="X114" s="784"/>
      <c r="Y114" s="784"/>
      <c r="Z114" s="784"/>
      <c r="AA114" s="784"/>
      <c r="AB114" s="784"/>
      <c r="AC114" s="785"/>
      <c r="AD114" s="785"/>
      <c r="AE114" s="785"/>
      <c r="AF114" s="785"/>
      <c r="AG114" s="779"/>
      <c r="AH114" s="785"/>
      <c r="AI114" s="785"/>
      <c r="AJ114" s="776"/>
      <c r="AK114" s="776"/>
      <c r="AL114" s="568"/>
      <c r="AM114" s="568"/>
    </row>
    <row r="115" spans="1:39">
      <c r="A115" s="771" t="s">
        <v>355</v>
      </c>
      <c r="B115" s="1880" t="s">
        <v>1643</v>
      </c>
      <c r="C115" s="1881"/>
      <c r="D115" s="1881"/>
      <c r="E115" s="1881"/>
      <c r="F115" s="1882"/>
      <c r="G115" s="776">
        <v>680</v>
      </c>
      <c r="H115" s="776">
        <v>1.18</v>
      </c>
      <c r="I115" s="805">
        <f t="shared" ref="I115:I125" si="3">G115/H115</f>
        <v>576.27118644067798</v>
      </c>
      <c r="J115" s="785">
        <f t="shared" ref="J115:J124" si="4">SUM(K115:AM115)</f>
        <v>1598.7565423728813</v>
      </c>
      <c r="K115" s="783"/>
      <c r="L115" s="780"/>
      <c r="M115" s="780"/>
      <c r="N115" s="780"/>
      <c r="O115" s="780"/>
      <c r="P115" s="780"/>
      <c r="Q115" s="780"/>
      <c r="R115" s="780"/>
      <c r="S115" s="780"/>
      <c r="T115" s="780"/>
      <c r="U115" s="780"/>
      <c r="V115" s="780"/>
      <c r="W115" s="784"/>
      <c r="X115" s="784"/>
      <c r="Y115" s="784"/>
      <c r="Z115" s="784"/>
      <c r="AA115" s="784"/>
      <c r="AB115" s="784"/>
      <c r="AC115" s="785"/>
      <c r="AD115" s="785"/>
      <c r="AE115" s="785"/>
      <c r="AF115" s="785"/>
      <c r="AG115" s="779"/>
      <c r="AH115" s="442">
        <f>1886.53272/1.18</f>
        <v>1598.7565423728813</v>
      </c>
      <c r="AI115" s="785"/>
      <c r="AJ115" s="776"/>
      <c r="AK115" s="776"/>
      <c r="AL115" s="568" t="s">
        <v>1327</v>
      </c>
      <c r="AM115" s="568" t="s">
        <v>1328</v>
      </c>
    </row>
    <row r="116" spans="1:39">
      <c r="A116" s="771" t="s">
        <v>356</v>
      </c>
      <c r="B116" s="1880" t="s">
        <v>357</v>
      </c>
      <c r="C116" s="1881"/>
      <c r="D116" s="1881"/>
      <c r="E116" s="1881"/>
      <c r="F116" s="1882"/>
      <c r="G116" s="785">
        <v>3803.03</v>
      </c>
      <c r="H116" s="776">
        <v>1.18</v>
      </c>
      <c r="I116" s="805">
        <f t="shared" si="3"/>
        <v>3222.9067796610175</v>
      </c>
      <c r="J116" s="785">
        <f t="shared" si="4"/>
        <v>4730.5829999999996</v>
      </c>
      <c r="K116" s="783"/>
      <c r="L116" s="780"/>
      <c r="M116" s="780"/>
      <c r="N116" s="780"/>
      <c r="O116" s="780"/>
      <c r="P116" s="780"/>
      <c r="Q116" s="780"/>
      <c r="R116" s="780"/>
      <c r="S116" s="780"/>
      <c r="T116" s="780"/>
      <c r="U116" s="780"/>
      <c r="V116" s="780"/>
      <c r="W116" s="784"/>
      <c r="X116" s="784"/>
      <c r="Y116" s="784"/>
      <c r="Z116" s="784"/>
      <c r="AA116" s="784"/>
      <c r="AB116" s="784"/>
      <c r="AC116" s="785"/>
      <c r="AD116" s="785"/>
      <c r="AE116" s="785"/>
      <c r="AF116" s="785"/>
      <c r="AG116" s="779"/>
      <c r="AH116" s="442">
        <f>(1436.38096+1750.6185+112.78322+2282.30526)/1.18</f>
        <v>4730.5829999999996</v>
      </c>
      <c r="AI116" s="785"/>
      <c r="AJ116" s="776"/>
      <c r="AK116" s="776"/>
      <c r="AL116" s="568" t="s">
        <v>1327</v>
      </c>
      <c r="AM116" s="568" t="s">
        <v>1328</v>
      </c>
    </row>
    <row r="117" spans="1:39">
      <c r="A117" s="771" t="s">
        <v>358</v>
      </c>
      <c r="B117" s="1880" t="s">
        <v>359</v>
      </c>
      <c r="C117" s="1881"/>
      <c r="D117" s="1881"/>
      <c r="E117" s="1881"/>
      <c r="F117" s="1882"/>
      <c r="G117" s="776">
        <v>116.17</v>
      </c>
      <c r="H117" s="776">
        <v>1.18</v>
      </c>
      <c r="I117" s="805">
        <f t="shared" si="3"/>
        <v>98.449152542372886</v>
      </c>
      <c r="J117" s="785">
        <f t="shared" si="4"/>
        <v>109.84409288135592</v>
      </c>
      <c r="K117" s="783"/>
      <c r="L117" s="780"/>
      <c r="M117" s="780"/>
      <c r="N117" s="462">
        <v>98.451719999999995</v>
      </c>
      <c r="O117" s="780"/>
      <c r="P117" s="780"/>
      <c r="Q117" s="780"/>
      <c r="R117" s="780"/>
      <c r="S117" s="780"/>
      <c r="T117" s="780"/>
      <c r="U117" s="780"/>
      <c r="V117" s="780"/>
      <c r="W117" s="784"/>
      <c r="X117" s="784"/>
      <c r="Y117" s="784"/>
      <c r="Z117" s="784"/>
      <c r="AA117" s="784"/>
      <c r="AB117" s="784"/>
      <c r="AC117" s="785"/>
      <c r="AD117" s="785"/>
      <c r="AE117" s="785"/>
      <c r="AF117" s="785"/>
      <c r="AG117" s="779"/>
      <c r="AH117" s="442">
        <f>13.443/1.18</f>
        <v>11.392372881355932</v>
      </c>
      <c r="AI117" s="785"/>
      <c r="AJ117" s="776"/>
      <c r="AK117" s="776"/>
      <c r="AL117" s="568" t="s">
        <v>1327</v>
      </c>
      <c r="AM117" s="568" t="s">
        <v>1328</v>
      </c>
    </row>
    <row r="118" spans="1:39">
      <c r="A118" s="771" t="s">
        <v>360</v>
      </c>
      <c r="B118" s="1880" t="s">
        <v>363</v>
      </c>
      <c r="C118" s="1881"/>
      <c r="D118" s="1881"/>
      <c r="E118" s="1881"/>
      <c r="F118" s="1882"/>
      <c r="G118" s="776">
        <v>465.85</v>
      </c>
      <c r="H118" s="776">
        <v>1.18</v>
      </c>
      <c r="I118" s="805">
        <f t="shared" si="3"/>
        <v>394.78813559322037</v>
      </c>
      <c r="J118" s="785">
        <f>SUM(K118:AM118)</f>
        <v>0</v>
      </c>
      <c r="K118" s="783"/>
      <c r="L118" s="780"/>
      <c r="M118" s="780"/>
      <c r="N118" s="780"/>
      <c r="O118" s="780"/>
      <c r="P118" s="780"/>
      <c r="Q118" s="780"/>
      <c r="R118" s="780"/>
      <c r="S118" s="780"/>
      <c r="T118" s="780"/>
      <c r="U118" s="780"/>
      <c r="V118" s="780"/>
      <c r="W118" s="784"/>
      <c r="X118" s="784"/>
      <c r="Y118" s="784"/>
      <c r="Z118" s="784"/>
      <c r="AA118" s="784"/>
      <c r="AB118" s="784"/>
      <c r="AC118" s="785"/>
      <c r="AD118" s="785"/>
      <c r="AE118" s="785"/>
      <c r="AF118" s="785"/>
      <c r="AG118" s="779"/>
      <c r="AH118" s="785"/>
      <c r="AI118" s="785"/>
      <c r="AJ118" s="776"/>
      <c r="AK118" s="776"/>
      <c r="AL118" s="568" t="s">
        <v>1327</v>
      </c>
      <c r="AM118" s="568" t="s">
        <v>1328</v>
      </c>
    </row>
    <row r="119" spans="1:39">
      <c r="A119" s="771" t="s">
        <v>361</v>
      </c>
      <c r="B119" s="1880" t="s">
        <v>365</v>
      </c>
      <c r="C119" s="1881"/>
      <c r="D119" s="1881"/>
      <c r="E119" s="1881"/>
      <c r="F119" s="1882"/>
      <c r="G119" s="776">
        <v>179.11</v>
      </c>
      <c r="H119" s="776">
        <v>1.18</v>
      </c>
      <c r="I119" s="805">
        <f t="shared" si="3"/>
        <v>151.78813559322035</v>
      </c>
      <c r="J119" s="785">
        <f>SUM(K119:AM119)</f>
        <v>9.607127118644069</v>
      </c>
      <c r="K119" s="783"/>
      <c r="L119" s="780"/>
      <c r="M119" s="780"/>
      <c r="N119" s="780"/>
      <c r="O119" s="780"/>
      <c r="P119" s="780"/>
      <c r="Q119" s="780"/>
      <c r="R119" s="780"/>
      <c r="S119" s="780"/>
      <c r="T119" s="780"/>
      <c r="U119" s="780"/>
      <c r="V119" s="780"/>
      <c r="W119" s="784"/>
      <c r="X119" s="784"/>
      <c r="Y119" s="784"/>
      <c r="Z119" s="784"/>
      <c r="AA119" s="784"/>
      <c r="AB119" s="442">
        <f>11.33641/1.18</f>
        <v>9.607127118644069</v>
      </c>
      <c r="AC119" s="785"/>
      <c r="AD119" s="785"/>
      <c r="AE119" s="785"/>
      <c r="AF119" s="785"/>
      <c r="AG119" s="779"/>
      <c r="AH119" s="785"/>
      <c r="AI119" s="785"/>
      <c r="AJ119" s="776"/>
      <c r="AK119" s="776"/>
      <c r="AL119" s="568" t="s">
        <v>1327</v>
      </c>
      <c r="AM119" s="568" t="s">
        <v>1328</v>
      </c>
    </row>
    <row r="120" spans="1:39">
      <c r="A120" s="771" t="s">
        <v>362</v>
      </c>
      <c r="B120" s="1880" t="s">
        <v>1644</v>
      </c>
      <c r="C120" s="1881"/>
      <c r="D120" s="1881"/>
      <c r="E120" s="1881"/>
      <c r="F120" s="1882"/>
      <c r="G120" s="776">
        <v>999.9</v>
      </c>
      <c r="H120" s="776">
        <v>1.18</v>
      </c>
      <c r="I120" s="805">
        <f t="shared" si="3"/>
        <v>847.37288135593224</v>
      </c>
      <c r="J120" s="785">
        <f>SUM(K120:AM120)</f>
        <v>0</v>
      </c>
      <c r="K120" s="783"/>
      <c r="L120" s="780"/>
      <c r="M120" s="780"/>
      <c r="N120" s="780"/>
      <c r="O120" s="780"/>
      <c r="P120" s="780"/>
      <c r="Q120" s="780"/>
      <c r="R120" s="780"/>
      <c r="S120" s="780"/>
      <c r="T120" s="780"/>
      <c r="U120" s="780"/>
      <c r="V120" s="780"/>
      <c r="W120" s="784"/>
      <c r="X120" s="784"/>
      <c r="Y120" s="784"/>
      <c r="Z120" s="784"/>
      <c r="AA120" s="784"/>
      <c r="AB120" s="784"/>
      <c r="AC120" s="785"/>
      <c r="AD120" s="785"/>
      <c r="AE120" s="785"/>
      <c r="AF120" s="785"/>
      <c r="AG120" s="779"/>
      <c r="AH120" s="785"/>
      <c r="AI120" s="785"/>
      <c r="AJ120" s="776"/>
      <c r="AK120" s="776"/>
      <c r="AL120" s="568" t="s">
        <v>1327</v>
      </c>
      <c r="AM120" s="568" t="s">
        <v>1328</v>
      </c>
    </row>
    <row r="121" spans="1:39">
      <c r="A121" s="771" t="s">
        <v>364</v>
      </c>
      <c r="B121" s="1892" t="s">
        <v>368</v>
      </c>
      <c r="C121" s="1892"/>
      <c r="D121" s="1892"/>
      <c r="E121" s="1892"/>
      <c r="F121" s="1892"/>
      <c r="G121" s="776">
        <v>209.81</v>
      </c>
      <c r="H121" s="776">
        <v>1.18</v>
      </c>
      <c r="I121" s="805">
        <f t="shared" si="3"/>
        <v>177.80508474576271</v>
      </c>
      <c r="J121" s="785">
        <f t="shared" si="4"/>
        <v>176.10293220338983</v>
      </c>
      <c r="K121" s="783"/>
      <c r="L121" s="780"/>
      <c r="M121" s="780"/>
      <c r="N121" s="780"/>
      <c r="O121" s="780"/>
      <c r="P121" s="780"/>
      <c r="Q121" s="780"/>
      <c r="R121" s="780"/>
      <c r="S121" s="780"/>
      <c r="T121" s="780"/>
      <c r="U121" s="780"/>
      <c r="V121" s="780"/>
      <c r="W121" s="784"/>
      <c r="X121" s="784"/>
      <c r="Y121" s="784"/>
      <c r="Z121" s="784"/>
      <c r="AA121" s="784"/>
      <c r="AB121" s="784"/>
      <c r="AC121" s="785"/>
      <c r="AD121" s="785"/>
      <c r="AE121" s="785"/>
      <c r="AF121" s="785"/>
      <c r="AG121" s="807"/>
      <c r="AH121" s="442">
        <f>207.80146/1.18</f>
        <v>176.10293220338983</v>
      </c>
      <c r="AI121" s="785"/>
      <c r="AJ121" s="776"/>
      <c r="AK121" s="776"/>
      <c r="AL121" s="568" t="s">
        <v>1327</v>
      </c>
      <c r="AM121" s="568" t="s">
        <v>1328</v>
      </c>
    </row>
    <row r="122" spans="1:39">
      <c r="A122" s="771" t="s">
        <v>366</v>
      </c>
      <c r="B122" s="1892" t="s">
        <v>370</v>
      </c>
      <c r="C122" s="1892"/>
      <c r="D122" s="1892"/>
      <c r="E122" s="1892"/>
      <c r="F122" s="1892"/>
      <c r="G122" s="776">
        <v>454.21</v>
      </c>
      <c r="H122" s="776">
        <v>1.18</v>
      </c>
      <c r="I122" s="805">
        <f t="shared" si="3"/>
        <v>384.92372881355931</v>
      </c>
      <c r="J122" s="785">
        <f t="shared" si="4"/>
        <v>45.41499152542373</v>
      </c>
      <c r="K122" s="783"/>
      <c r="L122" s="780"/>
      <c r="M122" s="780"/>
      <c r="N122" s="780"/>
      <c r="O122" s="780"/>
      <c r="P122" s="780"/>
      <c r="Q122" s="780"/>
      <c r="R122" s="780"/>
      <c r="S122" s="780"/>
      <c r="T122" s="780"/>
      <c r="U122" s="780"/>
      <c r="V122" s="780"/>
      <c r="W122" s="784"/>
      <c r="X122" s="784"/>
      <c r="Y122" s="784"/>
      <c r="Z122" s="784"/>
      <c r="AA122" s="784"/>
      <c r="AB122" s="784"/>
      <c r="AC122" s="785"/>
      <c r="AD122" s="785"/>
      <c r="AE122" s="785"/>
      <c r="AF122" s="785"/>
      <c r="AG122" s="807"/>
      <c r="AH122" s="442">
        <f>53.58969/1.18</f>
        <v>45.41499152542373</v>
      </c>
      <c r="AI122" s="785"/>
      <c r="AJ122" s="776"/>
      <c r="AK122" s="776"/>
      <c r="AL122" s="568" t="s">
        <v>1327</v>
      </c>
      <c r="AM122" s="568" t="s">
        <v>1328</v>
      </c>
    </row>
    <row r="123" spans="1:39">
      <c r="A123" s="771" t="s">
        <v>367</v>
      </c>
      <c r="B123" s="1880" t="s">
        <v>372</v>
      </c>
      <c r="C123" s="1881"/>
      <c r="D123" s="1881"/>
      <c r="E123" s="1881"/>
      <c r="F123" s="1882"/>
      <c r="G123" s="776">
        <v>481.66</v>
      </c>
      <c r="H123" s="776">
        <v>1.18</v>
      </c>
      <c r="I123" s="805">
        <f t="shared" si="3"/>
        <v>408.18644067796612</v>
      </c>
      <c r="J123" s="785">
        <f t="shared" si="4"/>
        <v>0</v>
      </c>
      <c r="K123" s="783"/>
      <c r="L123" s="780"/>
      <c r="M123" s="780"/>
      <c r="N123" s="780"/>
      <c r="O123" s="780"/>
      <c r="P123" s="780"/>
      <c r="Q123" s="780"/>
      <c r="R123" s="780"/>
      <c r="S123" s="780"/>
      <c r="T123" s="780"/>
      <c r="U123" s="780"/>
      <c r="V123" s="780"/>
      <c r="W123" s="784"/>
      <c r="X123" s="784"/>
      <c r="Y123" s="784"/>
      <c r="Z123" s="784"/>
      <c r="AA123" s="784"/>
      <c r="AB123" s="784"/>
      <c r="AC123" s="785"/>
      <c r="AD123" s="785"/>
      <c r="AE123" s="785"/>
      <c r="AF123" s="785"/>
      <c r="AG123" s="779"/>
      <c r="AH123" s="785"/>
      <c r="AI123" s="785"/>
      <c r="AJ123" s="776"/>
      <c r="AK123" s="776"/>
      <c r="AL123" s="568" t="s">
        <v>1327</v>
      </c>
      <c r="AM123" s="568" t="s">
        <v>1328</v>
      </c>
    </row>
    <row r="124" spans="1:39" ht="20.25" customHeight="1">
      <c r="A124" s="771" t="s">
        <v>369</v>
      </c>
      <c r="B124" s="1880" t="s">
        <v>373</v>
      </c>
      <c r="C124" s="1881"/>
      <c r="D124" s="1881"/>
      <c r="E124" s="1881"/>
      <c r="F124" s="1882"/>
      <c r="G124" s="776">
        <v>442.66</v>
      </c>
      <c r="H124" s="776">
        <v>1.18</v>
      </c>
      <c r="I124" s="805">
        <f t="shared" si="3"/>
        <v>375.13559322033905</v>
      </c>
      <c r="J124" s="785">
        <f t="shared" si="4"/>
        <v>0</v>
      </c>
      <c r="K124" s="783"/>
      <c r="L124" s="780"/>
      <c r="M124" s="780"/>
      <c r="N124" s="780"/>
      <c r="O124" s="780"/>
      <c r="P124" s="780"/>
      <c r="Q124" s="780"/>
      <c r="R124" s="780"/>
      <c r="S124" s="780"/>
      <c r="T124" s="780"/>
      <c r="U124" s="780"/>
      <c r="V124" s="780"/>
      <c r="W124" s="784"/>
      <c r="X124" s="784"/>
      <c r="Y124" s="784"/>
      <c r="Z124" s="784"/>
      <c r="AA124" s="784"/>
      <c r="AB124" s="784"/>
      <c r="AC124" s="785"/>
      <c r="AD124" s="785"/>
      <c r="AE124" s="785"/>
      <c r="AF124" s="785"/>
      <c r="AG124" s="779"/>
      <c r="AH124" s="785"/>
      <c r="AI124" s="785"/>
      <c r="AJ124" s="776"/>
      <c r="AK124" s="776"/>
      <c r="AL124" s="568" t="s">
        <v>1327</v>
      </c>
      <c r="AM124" s="568" t="s">
        <v>1328</v>
      </c>
    </row>
    <row r="125" spans="1:39" ht="20.25" customHeight="1">
      <c r="A125" s="771" t="s">
        <v>371</v>
      </c>
      <c r="B125" s="1880" t="s">
        <v>1645</v>
      </c>
      <c r="C125" s="1881"/>
      <c r="D125" s="1881"/>
      <c r="E125" s="1881"/>
      <c r="F125" s="1882"/>
      <c r="G125" s="776">
        <v>216.99</v>
      </c>
      <c r="H125" s="776">
        <v>1.18</v>
      </c>
      <c r="I125" s="805">
        <f t="shared" si="3"/>
        <v>183.8898305084746</v>
      </c>
      <c r="J125" s="785">
        <f>SUM(K125:AM125)</f>
        <v>351.08475423728817</v>
      </c>
      <c r="K125" s="785"/>
      <c r="L125" s="785"/>
      <c r="M125" s="785"/>
      <c r="N125" s="785"/>
      <c r="O125" s="785"/>
      <c r="P125" s="442">
        <f>217/1.18</f>
        <v>183.89830508474577</v>
      </c>
      <c r="Q125" s="785"/>
      <c r="R125" s="785"/>
      <c r="S125" s="785"/>
      <c r="T125" s="785"/>
      <c r="U125" s="785"/>
      <c r="V125" s="785"/>
      <c r="W125" s="785"/>
      <c r="X125" s="785"/>
      <c r="Y125" s="785"/>
      <c r="Z125" s="785"/>
      <c r="AA125" s="785"/>
      <c r="AB125" s="442">
        <f>197.28001/1.18</f>
        <v>167.18644915254239</v>
      </c>
      <c r="AC125" s="785"/>
      <c r="AD125" s="785"/>
      <c r="AE125" s="785"/>
      <c r="AF125" s="785"/>
      <c r="AG125" s="779"/>
      <c r="AH125" s="442"/>
      <c r="AI125" s="785"/>
      <c r="AJ125" s="776"/>
      <c r="AK125" s="776"/>
      <c r="AL125" s="568" t="s">
        <v>1327</v>
      </c>
      <c r="AM125" s="568" t="s">
        <v>1328</v>
      </c>
    </row>
    <row r="126" spans="1:39" ht="20.25" customHeight="1">
      <c r="A126" s="771" t="s">
        <v>1646</v>
      </c>
      <c r="B126" s="1880" t="s">
        <v>1647</v>
      </c>
      <c r="C126" s="1881"/>
      <c r="D126" s="1881"/>
      <c r="E126" s="1881"/>
      <c r="F126" s="1882"/>
      <c r="G126" s="776"/>
      <c r="H126" s="776"/>
      <c r="I126" s="776"/>
      <c r="J126" s="785">
        <f>SUM(K126:AM126)</f>
        <v>645.32214406779667</v>
      </c>
      <c r="K126" s="783"/>
      <c r="L126" s="780"/>
      <c r="M126" s="780"/>
      <c r="N126" s="780"/>
      <c r="O126" s="780"/>
      <c r="P126" s="780"/>
      <c r="Q126" s="780"/>
      <c r="R126" s="780"/>
      <c r="S126" s="780"/>
      <c r="T126" s="780"/>
      <c r="U126" s="780"/>
      <c r="V126" s="780"/>
      <c r="W126" s="784"/>
      <c r="X126" s="784"/>
      <c r="Y126" s="784"/>
      <c r="Z126" s="784"/>
      <c r="AA126" s="784"/>
      <c r="AB126" s="784"/>
      <c r="AC126" s="785"/>
      <c r="AD126" s="785"/>
      <c r="AE126" s="785"/>
      <c r="AF126" s="785"/>
      <c r="AG126" s="779"/>
      <c r="AH126" s="442">
        <f>761.48013/1.18</f>
        <v>645.32214406779667</v>
      </c>
      <c r="AI126" s="785"/>
      <c r="AJ126" s="776"/>
      <c r="AK126" s="776"/>
      <c r="AL126" s="568" t="s">
        <v>1327</v>
      </c>
      <c r="AM126" s="568" t="s">
        <v>1328</v>
      </c>
    </row>
    <row r="127" spans="1:39">
      <c r="A127" s="1889" t="s">
        <v>374</v>
      </c>
      <c r="B127" s="1890"/>
      <c r="C127" s="1890"/>
      <c r="D127" s="1890"/>
      <c r="E127" s="1890"/>
      <c r="F127" s="1890"/>
      <c r="G127" s="442">
        <f>SUM(G128:G130)</f>
        <v>4210.1900000000005</v>
      </c>
      <c r="H127" s="442"/>
      <c r="I127" s="442">
        <f>SUM(I128:I130)</f>
        <v>3567.9576271186443</v>
      </c>
      <c r="J127" s="442">
        <f>SUM(J128:J130)</f>
        <v>1530.5594237288137</v>
      </c>
      <c r="K127" s="783"/>
      <c r="L127" s="780"/>
      <c r="M127" s="780"/>
      <c r="N127" s="780"/>
      <c r="O127" s="780"/>
      <c r="P127" s="780"/>
      <c r="Q127" s="780"/>
      <c r="R127" s="780"/>
      <c r="S127" s="780"/>
      <c r="T127" s="780"/>
      <c r="U127" s="780"/>
      <c r="V127" s="780"/>
      <c r="W127" s="784"/>
      <c r="X127" s="784"/>
      <c r="Y127" s="784"/>
      <c r="Z127" s="784"/>
      <c r="AA127" s="784"/>
      <c r="AB127" s="784"/>
      <c r="AC127" s="785"/>
      <c r="AD127" s="785"/>
      <c r="AE127" s="785"/>
      <c r="AF127" s="785"/>
      <c r="AG127" s="779"/>
      <c r="AH127" s="785"/>
      <c r="AI127" s="785"/>
      <c r="AJ127" s="776"/>
      <c r="AK127" s="776"/>
      <c r="AL127" s="568"/>
      <c r="AM127" s="568"/>
    </row>
    <row r="128" spans="1:39">
      <c r="A128" s="771" t="s">
        <v>375</v>
      </c>
      <c r="B128" s="1880" t="s">
        <v>376</v>
      </c>
      <c r="C128" s="1881"/>
      <c r="D128" s="1881"/>
      <c r="E128" s="1881"/>
      <c r="F128" s="1882"/>
      <c r="G128" s="776">
        <v>571</v>
      </c>
      <c r="H128" s="776">
        <v>1.18</v>
      </c>
      <c r="I128" s="805">
        <f>G128/H128</f>
        <v>483.8983050847458</v>
      </c>
      <c r="J128" s="785">
        <f>SUM(K128:AM128)</f>
        <v>0</v>
      </c>
      <c r="K128" s="783"/>
      <c r="L128" s="780"/>
      <c r="M128" s="780"/>
      <c r="N128" s="780"/>
      <c r="O128" s="780"/>
      <c r="P128" s="780"/>
      <c r="Q128" s="780"/>
      <c r="R128" s="780"/>
      <c r="S128" s="780"/>
      <c r="T128" s="780"/>
      <c r="U128" s="780"/>
      <c r="V128" s="780"/>
      <c r="W128" s="784"/>
      <c r="X128" s="784"/>
      <c r="Y128" s="784"/>
      <c r="Z128" s="784"/>
      <c r="AA128" s="784"/>
      <c r="AB128" s="784"/>
      <c r="AC128" s="785"/>
      <c r="AD128" s="785"/>
      <c r="AE128" s="785"/>
      <c r="AF128" s="785"/>
      <c r="AG128" s="779"/>
      <c r="AH128" s="785"/>
      <c r="AI128" s="785"/>
      <c r="AJ128" s="776"/>
      <c r="AK128" s="776"/>
      <c r="AL128" s="568" t="s">
        <v>1327</v>
      </c>
      <c r="AM128" s="568" t="s">
        <v>1328</v>
      </c>
    </row>
    <row r="129" spans="1:39">
      <c r="A129" s="771" t="s">
        <v>377</v>
      </c>
      <c r="B129" s="1880" t="s">
        <v>378</v>
      </c>
      <c r="C129" s="1881"/>
      <c r="D129" s="1881"/>
      <c r="E129" s="1881"/>
      <c r="F129" s="1882"/>
      <c r="G129" s="776">
        <v>1190</v>
      </c>
      <c r="H129" s="776">
        <v>1.18</v>
      </c>
      <c r="I129" s="805">
        <f>G129/H129</f>
        <v>1008.4745762711865</v>
      </c>
      <c r="J129" s="785">
        <f>SUM(K129:AM129)</f>
        <v>0</v>
      </c>
      <c r="K129" s="783"/>
      <c r="L129" s="780"/>
      <c r="M129" s="780"/>
      <c r="N129" s="780"/>
      <c r="O129" s="780"/>
      <c r="P129" s="780"/>
      <c r="Q129" s="780"/>
      <c r="R129" s="780"/>
      <c r="S129" s="780"/>
      <c r="T129" s="780"/>
      <c r="U129" s="780"/>
      <c r="V129" s="780"/>
      <c r="W129" s="784"/>
      <c r="X129" s="784"/>
      <c r="Y129" s="784"/>
      <c r="Z129" s="784"/>
      <c r="AA129" s="784"/>
      <c r="AB129" s="784"/>
      <c r="AC129" s="785"/>
      <c r="AD129" s="785"/>
      <c r="AE129" s="785"/>
      <c r="AF129" s="785"/>
      <c r="AG129" s="779"/>
      <c r="AH129" s="785"/>
      <c r="AI129" s="785"/>
      <c r="AJ129" s="776"/>
      <c r="AK129" s="776"/>
      <c r="AL129" s="568" t="s">
        <v>1327</v>
      </c>
      <c r="AM129" s="568" t="s">
        <v>1328</v>
      </c>
    </row>
    <row r="130" spans="1:39">
      <c r="A130" s="814" t="s">
        <v>1375</v>
      </c>
      <c r="B130" s="1880" t="s">
        <v>1648</v>
      </c>
      <c r="C130" s="1881"/>
      <c r="D130" s="1881"/>
      <c r="E130" s="1881"/>
      <c r="F130" s="1882"/>
      <c r="G130" s="776">
        <v>2449.19</v>
      </c>
      <c r="H130" s="776">
        <v>1.18</v>
      </c>
      <c r="I130" s="805">
        <f>G130/H130</f>
        <v>2075.5847457627119</v>
      </c>
      <c r="J130" s="785">
        <f>SUM(K130:AM130)</f>
        <v>1530.5594237288137</v>
      </c>
      <c r="K130" s="783"/>
      <c r="L130" s="780"/>
      <c r="M130" s="780"/>
      <c r="N130" s="780"/>
      <c r="O130" s="780"/>
      <c r="P130" s="780"/>
      <c r="Q130" s="780"/>
      <c r="R130" s="780"/>
      <c r="S130" s="780"/>
      <c r="T130" s="780"/>
      <c r="U130" s="780"/>
      <c r="V130" s="780"/>
      <c r="W130" s="784"/>
      <c r="X130" s="784"/>
      <c r="Y130" s="784"/>
      <c r="Z130" s="784"/>
      <c r="AA130" s="784"/>
      <c r="AB130" s="784"/>
      <c r="AC130" s="785"/>
      <c r="AD130" s="785"/>
      <c r="AE130" s="785"/>
      <c r="AF130" s="785"/>
      <c r="AG130" s="779"/>
      <c r="AH130" s="442">
        <f>1806.06012/1.18</f>
        <v>1530.5594237288137</v>
      </c>
      <c r="AI130" s="785"/>
      <c r="AJ130" s="776"/>
      <c r="AK130" s="776"/>
      <c r="AL130" s="568" t="s">
        <v>1327</v>
      </c>
      <c r="AM130" s="568" t="s">
        <v>1328</v>
      </c>
    </row>
    <row r="131" spans="1:39">
      <c r="A131" s="1889" t="s">
        <v>379</v>
      </c>
      <c r="B131" s="1890"/>
      <c r="C131" s="1890"/>
      <c r="D131" s="1890"/>
      <c r="E131" s="1890"/>
      <c r="F131" s="1890"/>
      <c r="G131" s="442">
        <f>SUM(G132:G141)</f>
        <v>1313.62</v>
      </c>
      <c r="H131" s="442"/>
      <c r="I131" s="442">
        <f>SUM(I132:I141)</f>
        <v>1113.2372881355932</v>
      </c>
      <c r="J131" s="442">
        <f>SUM(J132:J141)</f>
        <v>6282.9876800000002</v>
      </c>
      <c r="K131" s="783"/>
      <c r="L131" s="780"/>
      <c r="M131" s="780"/>
      <c r="N131" s="780"/>
      <c r="O131" s="780"/>
      <c r="P131" s="780"/>
      <c r="Q131" s="780"/>
      <c r="R131" s="780"/>
      <c r="S131" s="780"/>
      <c r="T131" s="780"/>
      <c r="U131" s="780"/>
      <c r="V131" s="780"/>
      <c r="W131" s="784"/>
      <c r="X131" s="784"/>
      <c r="Y131" s="784"/>
      <c r="Z131" s="784"/>
      <c r="AA131" s="784"/>
      <c r="AB131" s="784"/>
      <c r="AC131" s="785"/>
      <c r="AD131" s="785"/>
      <c r="AE131" s="785"/>
      <c r="AF131" s="785"/>
      <c r="AG131" s="779"/>
      <c r="AH131" s="785"/>
      <c r="AI131" s="785"/>
      <c r="AJ131" s="776"/>
      <c r="AK131" s="776"/>
      <c r="AL131" s="568"/>
      <c r="AM131" s="568"/>
    </row>
    <row r="132" spans="1:39">
      <c r="A132" s="771" t="s">
        <v>380</v>
      </c>
      <c r="B132" s="1880" t="s">
        <v>1649</v>
      </c>
      <c r="C132" s="1881"/>
      <c r="D132" s="1881"/>
      <c r="E132" s="1881"/>
      <c r="F132" s="1882"/>
      <c r="G132" s="776">
        <v>450</v>
      </c>
      <c r="H132" s="776">
        <v>1.18</v>
      </c>
      <c r="I132" s="805">
        <f>G132/H132</f>
        <v>381.35593220338984</v>
      </c>
      <c r="J132" s="785">
        <f>SUM(K132:AM132)</f>
        <v>344.80340999999999</v>
      </c>
      <c r="K132" s="783"/>
      <c r="L132" s="780"/>
      <c r="M132" s="780"/>
      <c r="N132" s="780"/>
      <c r="O132" s="780"/>
      <c r="P132" s="780"/>
      <c r="Q132" s="780"/>
      <c r="R132" s="780"/>
      <c r="S132" s="780"/>
      <c r="T132" s="780"/>
      <c r="U132" s="780"/>
      <c r="V132" s="780"/>
      <c r="W132" s="784"/>
      <c r="X132" s="784"/>
      <c r="Y132" s="784"/>
      <c r="Z132" s="784"/>
      <c r="AA132" s="784"/>
      <c r="AB132" s="784"/>
      <c r="AC132" s="785"/>
      <c r="AD132" s="785"/>
      <c r="AE132" s="785"/>
      <c r="AF132" s="785"/>
      <c r="AG132" s="779"/>
      <c r="AH132" s="442">
        <v>344.80340999999999</v>
      </c>
      <c r="AI132" s="785"/>
      <c r="AJ132" s="776"/>
      <c r="AK132" s="776"/>
      <c r="AL132" s="568" t="s">
        <v>1327</v>
      </c>
      <c r="AM132" s="568" t="s">
        <v>1328</v>
      </c>
    </row>
    <row r="133" spans="1:39">
      <c r="A133" s="771" t="s">
        <v>381</v>
      </c>
      <c r="B133" s="1880" t="s">
        <v>382</v>
      </c>
      <c r="C133" s="1881"/>
      <c r="D133" s="1881"/>
      <c r="E133" s="1881"/>
      <c r="F133" s="1882"/>
      <c r="G133" s="776">
        <v>863.62</v>
      </c>
      <c r="H133" s="776">
        <v>1.18</v>
      </c>
      <c r="I133" s="805">
        <f>G133/H133</f>
        <v>731.88135593220341</v>
      </c>
      <c r="J133" s="785">
        <f>SUM(K133:AM133)</f>
        <v>1672.45427</v>
      </c>
      <c r="K133" s="783"/>
      <c r="L133" s="780"/>
      <c r="M133" s="780"/>
      <c r="N133" s="780"/>
      <c r="O133" s="780"/>
      <c r="P133" s="780"/>
      <c r="Q133" s="780"/>
      <c r="R133" s="780"/>
      <c r="S133" s="780"/>
      <c r="T133" s="780"/>
      <c r="U133" s="780"/>
      <c r="V133" s="780"/>
      <c r="W133" s="784"/>
      <c r="X133" s="784"/>
      <c r="Y133" s="784"/>
      <c r="Z133" s="784"/>
      <c r="AA133" s="784"/>
      <c r="AB133" s="784"/>
      <c r="AC133" s="785"/>
      <c r="AD133" s="442">
        <v>808.83758999999998</v>
      </c>
      <c r="AE133" s="785"/>
      <c r="AF133" s="442">
        <v>863.61667999999997</v>
      </c>
      <c r="AG133" s="779"/>
      <c r="AH133" s="785"/>
      <c r="AI133" s="785"/>
      <c r="AJ133" s="776"/>
      <c r="AK133" s="776"/>
      <c r="AL133" s="568" t="s">
        <v>1327</v>
      </c>
      <c r="AM133" s="568" t="s">
        <v>1328</v>
      </c>
    </row>
    <row r="134" spans="1:39">
      <c r="A134" s="771" t="s">
        <v>1650</v>
      </c>
      <c r="B134" s="1880" t="s">
        <v>1651</v>
      </c>
      <c r="C134" s="1881"/>
      <c r="D134" s="1881"/>
      <c r="E134" s="1881"/>
      <c r="F134" s="1882"/>
      <c r="G134" s="776"/>
      <c r="H134" s="776"/>
      <c r="I134" s="805"/>
      <c r="J134" s="785">
        <v>75.960999999999999</v>
      </c>
      <c r="K134" s="783"/>
      <c r="L134" s="780"/>
      <c r="M134" s="780"/>
      <c r="N134" s="780"/>
      <c r="O134" s="780"/>
      <c r="P134" s="780"/>
      <c r="Q134" s="780"/>
      <c r="R134" s="780"/>
      <c r="S134" s="780"/>
      <c r="T134" s="780"/>
      <c r="U134" s="780"/>
      <c r="V134" s="780"/>
      <c r="W134" s="784"/>
      <c r="X134" s="784"/>
      <c r="Y134" s="784"/>
      <c r="Z134" s="784"/>
      <c r="AA134" s="784"/>
      <c r="AB134" s="784"/>
      <c r="AC134" s="785"/>
      <c r="AD134" s="785"/>
      <c r="AE134" s="785"/>
      <c r="AF134" s="785"/>
      <c r="AG134" s="779"/>
      <c r="AH134" s="785"/>
      <c r="AI134" s="785"/>
      <c r="AJ134" s="776"/>
      <c r="AK134" s="776"/>
      <c r="AL134" s="568" t="s">
        <v>1327</v>
      </c>
      <c r="AM134" s="568" t="s">
        <v>1328</v>
      </c>
    </row>
    <row r="135" spans="1:39" hidden="1">
      <c r="A135" s="771" t="s">
        <v>1652</v>
      </c>
      <c r="B135" s="1880" t="s">
        <v>1653</v>
      </c>
      <c r="C135" s="1881"/>
      <c r="D135" s="1881"/>
      <c r="E135" s="1881"/>
      <c r="F135" s="1882"/>
      <c r="G135" s="776"/>
      <c r="H135" s="776"/>
      <c r="I135" s="805"/>
      <c r="J135" s="785"/>
      <c r="K135" s="783"/>
      <c r="L135" s="780"/>
      <c r="M135" s="780"/>
      <c r="N135" s="780"/>
      <c r="O135" s="780"/>
      <c r="P135" s="780"/>
      <c r="Q135" s="780"/>
      <c r="R135" s="780"/>
      <c r="S135" s="780"/>
      <c r="T135" s="780"/>
      <c r="U135" s="780"/>
      <c r="V135" s="780"/>
      <c r="W135" s="784"/>
      <c r="X135" s="784"/>
      <c r="Y135" s="784"/>
      <c r="Z135" s="784"/>
      <c r="AA135" s="784"/>
      <c r="AB135" s="784"/>
      <c r="AC135" s="785"/>
      <c r="AD135" s="785"/>
      <c r="AE135" s="785"/>
      <c r="AF135" s="785"/>
      <c r="AG135" s="779"/>
      <c r="AH135" s="785"/>
      <c r="AI135" s="785"/>
      <c r="AJ135" s="776"/>
      <c r="AK135" s="776"/>
      <c r="AL135" s="568" t="s">
        <v>1327</v>
      </c>
      <c r="AM135" s="568" t="s">
        <v>1328</v>
      </c>
    </row>
    <row r="136" spans="1:39">
      <c r="A136" s="771" t="s">
        <v>1652</v>
      </c>
      <c r="B136" s="1880" t="s">
        <v>1654</v>
      </c>
      <c r="C136" s="1881"/>
      <c r="D136" s="1881"/>
      <c r="E136" s="1881"/>
      <c r="F136" s="1882"/>
      <c r="G136" s="776"/>
      <c r="H136" s="776"/>
      <c r="I136" s="805"/>
      <c r="J136" s="785">
        <v>815.00699999999995</v>
      </c>
      <c r="K136" s="783"/>
      <c r="L136" s="780"/>
      <c r="M136" s="780"/>
      <c r="N136" s="780"/>
      <c r="O136" s="780"/>
      <c r="P136" s="780"/>
      <c r="Q136" s="780"/>
      <c r="R136" s="780"/>
      <c r="S136" s="780"/>
      <c r="T136" s="780"/>
      <c r="U136" s="780"/>
      <c r="V136" s="780"/>
      <c r="W136" s="784"/>
      <c r="X136" s="784"/>
      <c r="Y136" s="784"/>
      <c r="Z136" s="784"/>
      <c r="AA136" s="784"/>
      <c r="AB136" s="784"/>
      <c r="AC136" s="785"/>
      <c r="AD136" s="785"/>
      <c r="AE136" s="785"/>
      <c r="AF136" s="785"/>
      <c r="AG136" s="779"/>
      <c r="AH136" s="785"/>
      <c r="AI136" s="785"/>
      <c r="AJ136" s="776"/>
      <c r="AK136" s="776"/>
      <c r="AL136" s="568" t="s">
        <v>1327</v>
      </c>
      <c r="AM136" s="568" t="s">
        <v>1328</v>
      </c>
    </row>
    <row r="137" spans="1:39">
      <c r="A137" s="771" t="s">
        <v>1655</v>
      </c>
      <c r="B137" s="1880" t="s">
        <v>1656</v>
      </c>
      <c r="C137" s="1881"/>
      <c r="D137" s="1881"/>
      <c r="E137" s="1881"/>
      <c r="F137" s="1882"/>
      <c r="G137" s="776"/>
      <c r="H137" s="776"/>
      <c r="I137" s="805"/>
      <c r="J137" s="785">
        <v>928.30399999999997</v>
      </c>
      <c r="K137" s="783"/>
      <c r="L137" s="780"/>
      <c r="M137" s="780"/>
      <c r="N137" s="780"/>
      <c r="O137" s="780"/>
      <c r="P137" s="780"/>
      <c r="Q137" s="780"/>
      <c r="R137" s="780"/>
      <c r="S137" s="780"/>
      <c r="T137" s="780"/>
      <c r="U137" s="780"/>
      <c r="V137" s="780"/>
      <c r="W137" s="784"/>
      <c r="X137" s="784"/>
      <c r="Y137" s="784"/>
      <c r="Z137" s="784"/>
      <c r="AA137" s="784"/>
      <c r="AB137" s="784"/>
      <c r="AC137" s="785"/>
      <c r="AD137" s="785"/>
      <c r="AE137" s="785"/>
      <c r="AF137" s="785"/>
      <c r="AG137" s="779"/>
      <c r="AH137" s="785"/>
      <c r="AI137" s="785"/>
      <c r="AJ137" s="776"/>
      <c r="AK137" s="776"/>
      <c r="AL137" s="568" t="s">
        <v>1327</v>
      </c>
      <c r="AM137" s="568" t="s">
        <v>1328</v>
      </c>
    </row>
    <row r="138" spans="1:39">
      <c r="A138" s="771" t="s">
        <v>1657</v>
      </c>
      <c r="B138" s="1880" t="s">
        <v>1658</v>
      </c>
      <c r="C138" s="1881"/>
      <c r="D138" s="1881"/>
      <c r="E138" s="1881"/>
      <c r="F138" s="1882"/>
      <c r="G138" s="776"/>
      <c r="H138" s="776"/>
      <c r="I138" s="805"/>
      <c r="J138" s="785">
        <v>1089.6590000000001</v>
      </c>
      <c r="K138" s="783"/>
      <c r="L138" s="780"/>
      <c r="M138" s="780"/>
      <c r="N138" s="780"/>
      <c r="O138" s="780"/>
      <c r="P138" s="780"/>
      <c r="Q138" s="780"/>
      <c r="R138" s="780"/>
      <c r="S138" s="780"/>
      <c r="T138" s="780"/>
      <c r="U138" s="780"/>
      <c r="V138" s="780"/>
      <c r="W138" s="784"/>
      <c r="X138" s="784"/>
      <c r="Y138" s="784"/>
      <c r="Z138" s="784"/>
      <c r="AA138" s="784"/>
      <c r="AB138" s="784"/>
      <c r="AC138" s="785"/>
      <c r="AD138" s="785"/>
      <c r="AE138" s="785"/>
      <c r="AF138" s="785"/>
      <c r="AG138" s="779"/>
      <c r="AH138" s="785"/>
      <c r="AI138" s="785"/>
      <c r="AJ138" s="776"/>
      <c r="AK138" s="776"/>
      <c r="AL138" s="568" t="s">
        <v>1327</v>
      </c>
      <c r="AM138" s="568" t="s">
        <v>1328</v>
      </c>
    </row>
    <row r="139" spans="1:39">
      <c r="A139" s="771" t="s">
        <v>1659</v>
      </c>
      <c r="B139" s="1880" t="s">
        <v>1660</v>
      </c>
      <c r="C139" s="1881"/>
      <c r="D139" s="1881"/>
      <c r="E139" s="1881"/>
      <c r="F139" s="1882"/>
      <c r="G139" s="776"/>
      <c r="H139" s="776"/>
      <c r="I139" s="805"/>
      <c r="J139" s="785">
        <v>1002.549</v>
      </c>
      <c r="K139" s="783"/>
      <c r="L139" s="780"/>
      <c r="M139" s="780"/>
      <c r="N139" s="780"/>
      <c r="O139" s="780"/>
      <c r="P139" s="780"/>
      <c r="Q139" s="780"/>
      <c r="R139" s="780"/>
      <c r="S139" s="780"/>
      <c r="T139" s="780"/>
      <c r="U139" s="780"/>
      <c r="V139" s="780"/>
      <c r="W139" s="784"/>
      <c r="X139" s="784"/>
      <c r="Y139" s="784"/>
      <c r="Z139" s="784"/>
      <c r="AA139" s="784"/>
      <c r="AB139" s="784"/>
      <c r="AC139" s="785"/>
      <c r="AD139" s="785"/>
      <c r="AE139" s="785"/>
      <c r="AF139" s="785"/>
      <c r="AG139" s="779"/>
      <c r="AH139" s="785"/>
      <c r="AI139" s="785"/>
      <c r="AJ139" s="776"/>
      <c r="AK139" s="776"/>
      <c r="AL139" s="568" t="s">
        <v>1327</v>
      </c>
      <c r="AM139" s="568" t="s">
        <v>1328</v>
      </c>
    </row>
    <row r="140" spans="1:39">
      <c r="A140" s="771" t="s">
        <v>1661</v>
      </c>
      <c r="B140" s="1880" t="s">
        <v>1662</v>
      </c>
      <c r="C140" s="1881"/>
      <c r="D140" s="1881"/>
      <c r="E140" s="1881"/>
      <c r="F140" s="1882"/>
      <c r="G140" s="776"/>
      <c r="H140" s="776"/>
      <c r="I140" s="805"/>
      <c r="J140" s="785">
        <v>354.25</v>
      </c>
      <c r="K140" s="783"/>
      <c r="L140" s="780"/>
      <c r="M140" s="780"/>
      <c r="N140" s="780"/>
      <c r="O140" s="780"/>
      <c r="P140" s="780"/>
      <c r="Q140" s="780"/>
      <c r="R140" s="780"/>
      <c r="S140" s="780"/>
      <c r="T140" s="780"/>
      <c r="U140" s="780"/>
      <c r="V140" s="780"/>
      <c r="W140" s="784"/>
      <c r="X140" s="784"/>
      <c r="Y140" s="784"/>
      <c r="Z140" s="784"/>
      <c r="AA140" s="784"/>
      <c r="AB140" s="784"/>
      <c r="AC140" s="785"/>
      <c r="AD140" s="785"/>
      <c r="AE140" s="785"/>
      <c r="AF140" s="785"/>
      <c r="AG140" s="779"/>
      <c r="AH140" s="785"/>
      <c r="AI140" s="785"/>
      <c r="AJ140" s="776"/>
      <c r="AK140" s="776"/>
      <c r="AL140" s="568" t="s">
        <v>1327</v>
      </c>
      <c r="AM140" s="568" t="s">
        <v>1328</v>
      </c>
    </row>
    <row r="141" spans="1:39" hidden="1">
      <c r="A141" s="771" t="s">
        <v>1663</v>
      </c>
      <c r="B141" s="1880" t="s">
        <v>1664</v>
      </c>
      <c r="C141" s="1881"/>
      <c r="D141" s="1881"/>
      <c r="E141" s="1881"/>
      <c r="F141" s="1882"/>
      <c r="G141" s="776"/>
      <c r="H141" s="776"/>
      <c r="I141" s="805"/>
      <c r="J141" s="785"/>
      <c r="K141" s="783"/>
      <c r="L141" s="780"/>
      <c r="M141" s="780"/>
      <c r="N141" s="780"/>
      <c r="O141" s="780"/>
      <c r="P141" s="780"/>
      <c r="Q141" s="780"/>
      <c r="R141" s="780"/>
      <c r="S141" s="780"/>
      <c r="T141" s="780"/>
      <c r="U141" s="780"/>
      <c r="V141" s="780"/>
      <c r="W141" s="784"/>
      <c r="X141" s="784"/>
      <c r="Y141" s="784"/>
      <c r="Z141" s="784"/>
      <c r="AA141" s="784"/>
      <c r="AB141" s="784"/>
      <c r="AC141" s="785"/>
      <c r="AD141" s="785"/>
      <c r="AE141" s="785"/>
      <c r="AF141" s="785"/>
      <c r="AG141" s="779"/>
      <c r="AH141" s="785"/>
      <c r="AI141" s="785"/>
      <c r="AJ141" s="776"/>
      <c r="AK141" s="776"/>
      <c r="AL141" s="568" t="s">
        <v>1327</v>
      </c>
      <c r="AM141" s="568" t="s">
        <v>1328</v>
      </c>
    </row>
    <row r="142" spans="1:39">
      <c r="A142" s="1889" t="s">
        <v>383</v>
      </c>
      <c r="B142" s="1890"/>
      <c r="C142" s="1890"/>
      <c r="D142" s="1890"/>
      <c r="E142" s="1890"/>
      <c r="F142" s="1890"/>
      <c r="G142" s="461">
        <f>G147+G143+G150+G152+G163+G165+G168</f>
        <v>10544.710000000001</v>
      </c>
      <c r="H142" s="461"/>
      <c r="I142" s="461">
        <f>I147+I143+I150+I152+I163+I165+I168</f>
        <v>8936.1949152542384</v>
      </c>
      <c r="J142" s="461">
        <f>J147+J143+J150+J152+J163+J165+J168</f>
        <v>6779.9392135593234</v>
      </c>
      <c r="K142" s="783"/>
      <c r="L142" s="780"/>
      <c r="M142" s="780"/>
      <c r="N142" s="780"/>
      <c r="O142" s="780"/>
      <c r="P142" s="780"/>
      <c r="Q142" s="780"/>
      <c r="R142" s="780"/>
      <c r="S142" s="780"/>
      <c r="T142" s="780"/>
      <c r="U142" s="780"/>
      <c r="V142" s="780"/>
      <c r="W142" s="784"/>
      <c r="X142" s="784"/>
      <c r="Y142" s="784"/>
      <c r="Z142" s="784"/>
      <c r="AA142" s="784"/>
      <c r="AB142" s="784"/>
      <c r="AC142" s="785"/>
      <c r="AD142" s="785"/>
      <c r="AE142" s="785"/>
      <c r="AF142" s="785"/>
      <c r="AG142" s="779"/>
      <c r="AH142" s="785"/>
      <c r="AI142" s="785"/>
      <c r="AJ142" s="776"/>
      <c r="AK142" s="776"/>
      <c r="AL142" s="568"/>
      <c r="AM142" s="568"/>
    </row>
    <row r="143" spans="1:39">
      <c r="A143" s="1889" t="s">
        <v>384</v>
      </c>
      <c r="B143" s="1890"/>
      <c r="C143" s="1890"/>
      <c r="D143" s="1890"/>
      <c r="E143" s="1890"/>
      <c r="F143" s="1890"/>
      <c r="G143" s="442">
        <f>SUM(G144:G146)</f>
        <v>3080.09</v>
      </c>
      <c r="H143" s="442"/>
      <c r="I143" s="442">
        <f>SUM(I144:I146)</f>
        <v>2610.2457627118647</v>
      </c>
      <c r="J143" s="442">
        <f>SUM(J144:J146)</f>
        <v>459.50417220338988</v>
      </c>
      <c r="K143" s="783"/>
      <c r="L143" s="780"/>
      <c r="M143" s="780"/>
      <c r="N143" s="780"/>
      <c r="O143" s="780"/>
      <c r="P143" s="780"/>
      <c r="Q143" s="780"/>
      <c r="R143" s="780"/>
      <c r="S143" s="780"/>
      <c r="T143" s="780"/>
      <c r="U143" s="780"/>
      <c r="V143" s="780"/>
      <c r="W143" s="784"/>
      <c r="X143" s="784"/>
      <c r="Y143" s="784"/>
      <c r="Z143" s="784"/>
      <c r="AA143" s="784"/>
      <c r="AB143" s="784"/>
      <c r="AC143" s="785"/>
      <c r="AD143" s="785"/>
      <c r="AE143" s="785"/>
      <c r="AF143" s="785"/>
      <c r="AG143" s="779"/>
      <c r="AH143" s="785"/>
      <c r="AI143" s="785"/>
      <c r="AJ143" s="786"/>
      <c r="AK143" s="786"/>
      <c r="AL143" s="775"/>
      <c r="AM143" s="568"/>
    </row>
    <row r="144" spans="1:39">
      <c r="A144" s="771" t="s">
        <v>385</v>
      </c>
      <c r="B144" s="1880" t="s">
        <v>386</v>
      </c>
      <c r="C144" s="1881"/>
      <c r="D144" s="1881"/>
      <c r="E144" s="1881"/>
      <c r="F144" s="1882"/>
      <c r="G144" s="785">
        <v>2985.55</v>
      </c>
      <c r="H144" s="776">
        <v>1.18</v>
      </c>
      <c r="I144" s="805">
        <f>G144/H144</f>
        <v>2530.1271186440681</v>
      </c>
      <c r="J144" s="785">
        <f>SUM(K144:AM144)</f>
        <v>0</v>
      </c>
      <c r="K144" s="783"/>
      <c r="L144" s="780"/>
      <c r="M144" s="780"/>
      <c r="N144" s="780"/>
      <c r="O144" s="780"/>
      <c r="P144" s="780"/>
      <c r="Q144" s="780"/>
      <c r="R144" s="780"/>
      <c r="S144" s="780"/>
      <c r="T144" s="780"/>
      <c r="U144" s="780"/>
      <c r="V144" s="780"/>
      <c r="W144" s="784"/>
      <c r="X144" s="784"/>
      <c r="Y144" s="784"/>
      <c r="Z144" s="784"/>
      <c r="AA144" s="784"/>
      <c r="AB144" s="784"/>
      <c r="AC144" s="785"/>
      <c r="AD144" s="785"/>
      <c r="AE144" s="785"/>
      <c r="AF144" s="785"/>
      <c r="AG144" s="779"/>
      <c r="AH144" s="785"/>
      <c r="AI144" s="785"/>
      <c r="AJ144" s="786"/>
      <c r="AK144" s="786"/>
      <c r="AL144" s="568" t="s">
        <v>1327</v>
      </c>
      <c r="AM144" s="568" t="s">
        <v>1328</v>
      </c>
    </row>
    <row r="145" spans="1:39">
      <c r="A145" s="771" t="s">
        <v>387</v>
      </c>
      <c r="B145" s="1880" t="s">
        <v>1665</v>
      </c>
      <c r="C145" s="1881"/>
      <c r="D145" s="1881"/>
      <c r="E145" s="1881"/>
      <c r="F145" s="1882"/>
      <c r="G145" s="776"/>
      <c r="H145" s="776">
        <v>1.18</v>
      </c>
      <c r="I145" s="805">
        <f>G145/H145</f>
        <v>0</v>
      </c>
      <c r="J145" s="785">
        <f>SUM(K145:AM145)</f>
        <v>20.477119999999999</v>
      </c>
      <c r="K145" s="783"/>
      <c r="L145" s="780"/>
      <c r="M145" s="780"/>
      <c r="N145" s="780"/>
      <c r="O145" s="780"/>
      <c r="P145" s="780"/>
      <c r="Q145" s="780"/>
      <c r="R145" s="780"/>
      <c r="S145" s="780"/>
      <c r="T145" s="780"/>
      <c r="U145" s="780"/>
      <c r="V145" s="805"/>
      <c r="W145" s="815"/>
      <c r="X145" s="815"/>
      <c r="Y145" s="815"/>
      <c r="Z145" s="815"/>
      <c r="AA145" s="815"/>
      <c r="AB145" s="815"/>
      <c r="AC145" s="785"/>
      <c r="AD145" s="785"/>
      <c r="AE145" s="785"/>
      <c r="AF145" s="785"/>
      <c r="AG145" s="779"/>
      <c r="AH145" s="442">
        <f>20.47712</f>
        <v>20.477119999999999</v>
      </c>
      <c r="AI145" s="785"/>
      <c r="AJ145" s="786"/>
      <c r="AK145" s="786"/>
      <c r="AL145" s="568" t="s">
        <v>1327</v>
      </c>
      <c r="AM145" s="568" t="s">
        <v>1328</v>
      </c>
    </row>
    <row r="146" spans="1:39">
      <c r="A146" s="771" t="s">
        <v>1666</v>
      </c>
      <c r="B146" s="1880" t="s">
        <v>388</v>
      </c>
      <c r="C146" s="1881"/>
      <c r="D146" s="1881"/>
      <c r="E146" s="1881"/>
      <c r="F146" s="1882"/>
      <c r="G146" s="776">
        <v>94.54</v>
      </c>
      <c r="H146" s="776">
        <v>1.18</v>
      </c>
      <c r="I146" s="805">
        <f>G146/H146</f>
        <v>80.118644067796623</v>
      </c>
      <c r="J146" s="785">
        <f>SUM(K146:AM146)</f>
        <v>439.02705220338987</v>
      </c>
      <c r="K146" s="783"/>
      <c r="L146" s="780"/>
      <c r="M146" s="780"/>
      <c r="N146" s="780"/>
      <c r="O146" s="780"/>
      <c r="P146" s="780"/>
      <c r="Q146" s="780"/>
      <c r="R146" s="780"/>
      <c r="S146" s="780"/>
      <c r="T146" s="780"/>
      <c r="U146" s="780"/>
      <c r="V146" s="805"/>
      <c r="W146" s="815"/>
      <c r="X146" s="815"/>
      <c r="Y146" s="815"/>
      <c r="Z146" s="815"/>
      <c r="AA146" s="815"/>
      <c r="AB146" s="815"/>
      <c r="AC146" s="785"/>
      <c r="AD146" s="785"/>
      <c r="AE146" s="785"/>
      <c r="AF146" s="785"/>
      <c r="AG146" s="779"/>
      <c r="AH146" s="442">
        <f>234.36102+9.9601+229.753/1.18</f>
        <v>439.02705220338987</v>
      </c>
      <c r="AI146" s="785"/>
      <c r="AJ146" s="786"/>
      <c r="AK146" s="786"/>
      <c r="AL146" s="568" t="s">
        <v>1327</v>
      </c>
      <c r="AM146" s="568" t="s">
        <v>1328</v>
      </c>
    </row>
    <row r="147" spans="1:39">
      <c r="A147" s="1889" t="s">
        <v>389</v>
      </c>
      <c r="B147" s="1890"/>
      <c r="C147" s="1890"/>
      <c r="D147" s="1890"/>
      <c r="E147" s="1890"/>
      <c r="F147" s="1890"/>
      <c r="G147" s="462">
        <f>G148+G149</f>
        <v>1630</v>
      </c>
      <c r="H147" s="463"/>
      <c r="I147" s="442">
        <f>SUM(I148:I149)</f>
        <v>1381.3559322033898</v>
      </c>
      <c r="J147" s="442">
        <f>SUM(J148:J149)</f>
        <v>53.779813559322037</v>
      </c>
      <c r="K147" s="783"/>
      <c r="L147" s="780"/>
      <c r="M147" s="780"/>
      <c r="N147" s="780"/>
      <c r="O147" s="780"/>
      <c r="P147" s="780"/>
      <c r="Q147" s="780"/>
      <c r="R147" s="780"/>
      <c r="S147" s="780"/>
      <c r="T147" s="780"/>
      <c r="U147" s="780"/>
      <c r="V147" s="805"/>
      <c r="W147" s="815"/>
      <c r="X147" s="815"/>
      <c r="Y147" s="815"/>
      <c r="Z147" s="815"/>
      <c r="AA147" s="815"/>
      <c r="AB147" s="815"/>
      <c r="AC147" s="785"/>
      <c r="AD147" s="785"/>
      <c r="AE147" s="785"/>
      <c r="AF147" s="785"/>
      <c r="AG147" s="779"/>
      <c r="AH147" s="785"/>
      <c r="AI147" s="785"/>
      <c r="AJ147" s="786"/>
      <c r="AK147" s="786"/>
      <c r="AL147" s="775"/>
      <c r="AM147" s="568"/>
    </row>
    <row r="148" spans="1:39">
      <c r="A148" s="771" t="s">
        <v>390</v>
      </c>
      <c r="B148" s="1880" t="s">
        <v>391</v>
      </c>
      <c r="C148" s="1881"/>
      <c r="D148" s="1881"/>
      <c r="E148" s="1881"/>
      <c r="F148" s="1882"/>
      <c r="G148" s="776">
        <v>880</v>
      </c>
      <c r="H148" s="776">
        <v>1.18</v>
      </c>
      <c r="I148" s="805">
        <f>G148/H148</f>
        <v>745.76271186440681</v>
      </c>
      <c r="J148" s="785">
        <f>SUM(K148:AM148)</f>
        <v>53.779813559322037</v>
      </c>
      <c r="K148" s="783"/>
      <c r="L148" s="780"/>
      <c r="M148" s="780"/>
      <c r="N148" s="780"/>
      <c r="O148" s="780"/>
      <c r="P148" s="780"/>
      <c r="Q148" s="780"/>
      <c r="R148" s="780"/>
      <c r="S148" s="780"/>
      <c r="T148" s="780"/>
      <c r="U148" s="780"/>
      <c r="V148" s="805"/>
      <c r="W148" s="815"/>
      <c r="X148" s="815"/>
      <c r="Y148" s="815"/>
      <c r="Z148" s="815"/>
      <c r="AA148" s="815"/>
      <c r="AB148" s="815"/>
      <c r="AC148" s="785"/>
      <c r="AD148" s="785"/>
      <c r="AE148" s="785"/>
      <c r="AF148" s="785"/>
      <c r="AG148" s="779"/>
      <c r="AH148" s="442">
        <f>63.46018/1.18</f>
        <v>53.779813559322037</v>
      </c>
      <c r="AI148" s="785"/>
      <c r="AJ148" s="786"/>
      <c r="AK148" s="786"/>
      <c r="AL148" s="568" t="s">
        <v>1327</v>
      </c>
      <c r="AM148" s="568" t="s">
        <v>1328</v>
      </c>
    </row>
    <row r="149" spans="1:39">
      <c r="A149" s="771" t="s">
        <v>392</v>
      </c>
      <c r="B149" s="1880" t="s">
        <v>393</v>
      </c>
      <c r="C149" s="1881"/>
      <c r="D149" s="1881"/>
      <c r="E149" s="1881"/>
      <c r="F149" s="1882"/>
      <c r="G149" s="776">
        <v>750</v>
      </c>
      <c r="H149" s="776">
        <v>1.18</v>
      </c>
      <c r="I149" s="805">
        <f>G149/H149</f>
        <v>635.59322033898309</v>
      </c>
      <c r="J149" s="785">
        <f>SUM(K149:AM149)</f>
        <v>0</v>
      </c>
      <c r="K149" s="783"/>
      <c r="L149" s="780"/>
      <c r="M149" s="780"/>
      <c r="N149" s="780"/>
      <c r="O149" s="780"/>
      <c r="P149" s="780"/>
      <c r="Q149" s="780"/>
      <c r="R149" s="780"/>
      <c r="S149" s="780"/>
      <c r="T149" s="780"/>
      <c r="U149" s="780"/>
      <c r="V149" s="805"/>
      <c r="W149" s="815"/>
      <c r="X149" s="815"/>
      <c r="Y149" s="815"/>
      <c r="Z149" s="815"/>
      <c r="AA149" s="815"/>
      <c r="AB149" s="815"/>
      <c r="AC149" s="785"/>
      <c r="AD149" s="785"/>
      <c r="AE149" s="785"/>
      <c r="AF149" s="785"/>
      <c r="AG149" s="779"/>
      <c r="AH149" s="785"/>
      <c r="AI149" s="785"/>
      <c r="AJ149" s="786"/>
      <c r="AK149" s="786"/>
      <c r="AL149" s="568" t="s">
        <v>1327</v>
      </c>
      <c r="AM149" s="568" t="s">
        <v>1328</v>
      </c>
    </row>
    <row r="150" spans="1:39">
      <c r="A150" s="1889" t="s">
        <v>394</v>
      </c>
      <c r="B150" s="1890"/>
      <c r="C150" s="1890"/>
      <c r="D150" s="1890"/>
      <c r="E150" s="1890"/>
      <c r="F150" s="1890"/>
      <c r="G150" s="442">
        <f>G151</f>
        <v>1029.6300000000001</v>
      </c>
      <c r="H150" s="442"/>
      <c r="I150" s="442">
        <f>SUM(I151)</f>
        <v>872.56779661016958</v>
      </c>
      <c r="J150" s="442">
        <f>SUM(J151)</f>
        <v>858.58814000000007</v>
      </c>
      <c r="K150" s="783"/>
      <c r="L150" s="780"/>
      <c r="M150" s="780"/>
      <c r="N150" s="780"/>
      <c r="O150" s="780"/>
      <c r="P150" s="780"/>
      <c r="Q150" s="780"/>
      <c r="R150" s="780"/>
      <c r="S150" s="780"/>
      <c r="T150" s="780"/>
      <c r="U150" s="780"/>
      <c r="V150" s="805"/>
      <c r="W150" s="815"/>
      <c r="X150" s="815"/>
      <c r="Y150" s="815"/>
      <c r="Z150" s="815"/>
      <c r="AA150" s="815"/>
      <c r="AB150" s="815"/>
      <c r="AC150" s="785"/>
      <c r="AD150" s="785"/>
      <c r="AE150" s="785"/>
      <c r="AF150" s="785"/>
      <c r="AG150" s="779"/>
      <c r="AH150" s="785"/>
      <c r="AI150" s="785"/>
      <c r="AJ150" s="786"/>
      <c r="AK150" s="786"/>
      <c r="AL150" s="775"/>
      <c r="AM150" s="568"/>
    </row>
    <row r="151" spans="1:39">
      <c r="A151" s="771" t="s">
        <v>395</v>
      </c>
      <c r="B151" s="1880" t="s">
        <v>396</v>
      </c>
      <c r="C151" s="1881"/>
      <c r="D151" s="1881"/>
      <c r="E151" s="1881"/>
      <c r="F151" s="1882"/>
      <c r="G151" s="785">
        <v>1029.6300000000001</v>
      </c>
      <c r="H151" s="776">
        <v>1.18</v>
      </c>
      <c r="I151" s="805">
        <f>G151/H151</f>
        <v>872.56779661016958</v>
      </c>
      <c r="J151" s="785">
        <f>SUM(K151:AM151)</f>
        <v>858.58814000000007</v>
      </c>
      <c r="K151" s="783"/>
      <c r="L151" s="780"/>
      <c r="M151" s="780"/>
      <c r="N151" s="780"/>
      <c r="O151" s="780"/>
      <c r="P151" s="780"/>
      <c r="Q151" s="780"/>
      <c r="R151" s="780"/>
      <c r="S151" s="780"/>
      <c r="T151" s="780"/>
      <c r="U151" s="780"/>
      <c r="V151" s="805"/>
      <c r="W151" s="815"/>
      <c r="X151" s="815"/>
      <c r="Y151" s="815"/>
      <c r="Z151" s="815"/>
      <c r="AA151" s="815"/>
      <c r="AB151" s="815"/>
      <c r="AC151" s="785"/>
      <c r="AD151" s="785"/>
      <c r="AE151" s="785"/>
      <c r="AF151" s="785"/>
      <c r="AG151" s="779"/>
      <c r="AH151" s="442">
        <f>125.3178+733.27034</f>
        <v>858.58814000000007</v>
      </c>
      <c r="AI151" s="785"/>
      <c r="AJ151" s="786"/>
      <c r="AK151" s="786"/>
      <c r="AL151" s="568" t="s">
        <v>1327</v>
      </c>
      <c r="AM151" s="568" t="s">
        <v>1328</v>
      </c>
    </row>
    <row r="152" spans="1:39">
      <c r="A152" s="1889" t="s">
        <v>397</v>
      </c>
      <c r="B152" s="1890"/>
      <c r="C152" s="1890"/>
      <c r="D152" s="1890"/>
      <c r="E152" s="1890"/>
      <c r="F152" s="1890"/>
      <c r="G152" s="442">
        <f>SUM(G153:G162)</f>
        <v>460.6</v>
      </c>
      <c r="H152" s="463"/>
      <c r="I152" s="442">
        <f>SUM(I153:I162)</f>
        <v>390.3389830508475</v>
      </c>
      <c r="J152" s="442">
        <f>SUM(J153:J162)</f>
        <v>2837.7038600000001</v>
      </c>
      <c r="K152" s="783"/>
      <c r="L152" s="780"/>
      <c r="M152" s="780"/>
      <c r="N152" s="780"/>
      <c r="O152" s="780"/>
      <c r="P152" s="780"/>
      <c r="Q152" s="780"/>
      <c r="R152" s="780"/>
      <c r="S152" s="780"/>
      <c r="T152" s="780"/>
      <c r="U152" s="780"/>
      <c r="V152" s="805"/>
      <c r="W152" s="815"/>
      <c r="X152" s="815"/>
      <c r="Y152" s="815"/>
      <c r="Z152" s="815"/>
      <c r="AA152" s="815"/>
      <c r="AB152" s="815"/>
      <c r="AC152" s="785"/>
      <c r="AD152" s="785"/>
      <c r="AE152" s="785"/>
      <c r="AF152" s="785"/>
      <c r="AG152" s="779"/>
      <c r="AH152" s="785"/>
      <c r="AI152" s="785"/>
      <c r="AJ152" s="786"/>
      <c r="AK152" s="786"/>
      <c r="AL152" s="775"/>
      <c r="AM152" s="568"/>
    </row>
    <row r="153" spans="1:39">
      <c r="A153" s="771" t="s">
        <v>398</v>
      </c>
      <c r="B153" s="1883" t="s">
        <v>1667</v>
      </c>
      <c r="C153" s="1884"/>
      <c r="D153" s="1884"/>
      <c r="E153" s="1884"/>
      <c r="F153" s="1885"/>
      <c r="G153" s="776"/>
      <c r="H153" s="776"/>
      <c r="I153" s="776"/>
      <c r="J153" s="785">
        <v>0</v>
      </c>
      <c r="K153" s="783"/>
      <c r="L153" s="780"/>
      <c r="M153" s="780"/>
      <c r="N153" s="780"/>
      <c r="O153" s="780"/>
      <c r="P153" s="780"/>
      <c r="Q153" s="780"/>
      <c r="R153" s="780"/>
      <c r="S153" s="780"/>
      <c r="T153" s="780"/>
      <c r="U153" s="780"/>
      <c r="V153" s="805"/>
      <c r="W153" s="815"/>
      <c r="X153" s="815"/>
      <c r="Y153" s="815"/>
      <c r="Z153" s="815"/>
      <c r="AA153" s="815"/>
      <c r="AB153" s="815"/>
      <c r="AC153" s="785"/>
      <c r="AD153" s="785"/>
      <c r="AE153" s="785"/>
      <c r="AF153" s="785"/>
      <c r="AG153" s="779"/>
      <c r="AH153" s="442">
        <v>136.13427999999999</v>
      </c>
      <c r="AI153" s="785"/>
      <c r="AJ153" s="786"/>
      <c r="AK153" s="786"/>
      <c r="AL153" s="568" t="s">
        <v>1327</v>
      </c>
      <c r="AM153" s="568" t="s">
        <v>1328</v>
      </c>
    </row>
    <row r="154" spans="1:39">
      <c r="A154" s="771" t="s">
        <v>1668</v>
      </c>
      <c r="B154" s="1883" t="s">
        <v>1669</v>
      </c>
      <c r="C154" s="1884"/>
      <c r="D154" s="1884"/>
      <c r="E154" s="1884"/>
      <c r="F154" s="1885"/>
      <c r="G154" s="776"/>
      <c r="H154" s="776"/>
      <c r="I154" s="776"/>
      <c r="J154" s="785">
        <v>0</v>
      </c>
      <c r="K154" s="783"/>
      <c r="L154" s="780"/>
      <c r="M154" s="780"/>
      <c r="N154" s="780"/>
      <c r="O154" s="780"/>
      <c r="P154" s="780"/>
      <c r="Q154" s="780"/>
      <c r="R154" s="805"/>
      <c r="S154" s="780"/>
      <c r="T154" s="780"/>
      <c r="U154" s="780"/>
      <c r="V154" s="805"/>
      <c r="W154" s="815"/>
      <c r="X154" s="815"/>
      <c r="Y154" s="815"/>
      <c r="Z154" s="815"/>
      <c r="AA154" s="815"/>
      <c r="AB154" s="815"/>
      <c r="AC154" s="785"/>
      <c r="AD154" s="785"/>
      <c r="AE154" s="785"/>
      <c r="AF154" s="785"/>
      <c r="AG154" s="779"/>
      <c r="AH154" s="442">
        <v>137.27506</v>
      </c>
      <c r="AI154" s="785"/>
      <c r="AJ154" s="786"/>
      <c r="AK154" s="786"/>
      <c r="AL154" s="568" t="s">
        <v>1327</v>
      </c>
      <c r="AM154" s="568" t="s">
        <v>1328</v>
      </c>
    </row>
    <row r="155" spans="1:39">
      <c r="A155" s="771" t="s">
        <v>1670</v>
      </c>
      <c r="B155" s="1883" t="s">
        <v>399</v>
      </c>
      <c r="C155" s="1884"/>
      <c r="D155" s="1884"/>
      <c r="E155" s="1884"/>
      <c r="F155" s="1885"/>
      <c r="G155" s="776">
        <v>460.6</v>
      </c>
      <c r="H155" s="776">
        <v>1.18</v>
      </c>
      <c r="I155" s="805">
        <f>G155/H155</f>
        <v>390.3389830508475</v>
      </c>
      <c r="J155" s="785">
        <f>SUM(K155:AM155)</f>
        <v>119.01186</v>
      </c>
      <c r="K155" s="783"/>
      <c r="L155" s="780"/>
      <c r="M155" s="780"/>
      <c r="N155" s="780"/>
      <c r="O155" s="780"/>
      <c r="P155" s="780"/>
      <c r="Q155" s="780"/>
      <c r="R155" s="812"/>
      <c r="S155" s="780"/>
      <c r="T155" s="805"/>
      <c r="U155" s="780"/>
      <c r="V155" s="780"/>
      <c r="W155" s="784"/>
      <c r="X155" s="784"/>
      <c r="Y155" s="784"/>
      <c r="Z155" s="784"/>
      <c r="AA155" s="784"/>
      <c r="AB155" s="784"/>
      <c r="AC155" s="785"/>
      <c r="AD155" s="785"/>
      <c r="AE155" s="785"/>
      <c r="AF155" s="785"/>
      <c r="AG155" s="779"/>
      <c r="AH155" s="442">
        <f>119.01186</f>
        <v>119.01186</v>
      </c>
      <c r="AI155" s="785"/>
      <c r="AJ155" s="786"/>
      <c r="AK155" s="786"/>
      <c r="AL155" s="568" t="s">
        <v>1327</v>
      </c>
      <c r="AM155" s="568" t="s">
        <v>1328</v>
      </c>
    </row>
    <row r="156" spans="1:39">
      <c r="A156" s="771" t="s">
        <v>1671</v>
      </c>
      <c r="B156" s="1883" t="s">
        <v>1672</v>
      </c>
      <c r="C156" s="1884"/>
      <c r="D156" s="1884"/>
      <c r="E156" s="1884"/>
      <c r="F156" s="1885"/>
      <c r="G156" s="776"/>
      <c r="H156" s="776"/>
      <c r="I156" s="805"/>
      <c r="J156" s="785">
        <f>795.769+757.454</f>
        <v>1553.223</v>
      </c>
      <c r="K156" s="783"/>
      <c r="L156" s="780"/>
      <c r="M156" s="780"/>
      <c r="N156" s="780"/>
      <c r="O156" s="780"/>
      <c r="P156" s="780"/>
      <c r="Q156" s="780"/>
      <c r="R156" s="812"/>
      <c r="S156" s="780"/>
      <c r="T156" s="805"/>
      <c r="U156" s="780"/>
      <c r="V156" s="780"/>
      <c r="W156" s="784"/>
      <c r="X156" s="784"/>
      <c r="Y156" s="784"/>
      <c r="Z156" s="784"/>
      <c r="AA156" s="784"/>
      <c r="AB156" s="784"/>
      <c r="AC156" s="785"/>
      <c r="AD156" s="785"/>
      <c r="AE156" s="785"/>
      <c r="AF156" s="785"/>
      <c r="AG156" s="779"/>
      <c r="AH156" s="442"/>
      <c r="AI156" s="785"/>
      <c r="AJ156" s="786"/>
      <c r="AK156" s="786"/>
      <c r="AL156" s="568" t="s">
        <v>1327</v>
      </c>
      <c r="AM156" s="568" t="s">
        <v>1328</v>
      </c>
    </row>
    <row r="157" spans="1:39">
      <c r="A157" s="771" t="s">
        <v>1673</v>
      </c>
      <c r="B157" s="1883" t="s">
        <v>1674</v>
      </c>
      <c r="C157" s="1884"/>
      <c r="D157" s="1884"/>
      <c r="E157" s="1884"/>
      <c r="F157" s="1885"/>
      <c r="G157" s="776"/>
      <c r="H157" s="776"/>
      <c r="I157" s="805"/>
      <c r="J157" s="785">
        <v>763.63900000000001</v>
      </c>
      <c r="K157" s="783"/>
      <c r="L157" s="780"/>
      <c r="M157" s="780"/>
      <c r="N157" s="780"/>
      <c r="O157" s="780"/>
      <c r="P157" s="780"/>
      <c r="Q157" s="780"/>
      <c r="R157" s="812"/>
      <c r="S157" s="780"/>
      <c r="T157" s="805"/>
      <c r="U157" s="780"/>
      <c r="V157" s="780"/>
      <c r="W157" s="784"/>
      <c r="X157" s="784"/>
      <c r="Y157" s="784"/>
      <c r="Z157" s="784"/>
      <c r="AA157" s="784"/>
      <c r="AB157" s="784"/>
      <c r="AC157" s="785"/>
      <c r="AD157" s="785"/>
      <c r="AE157" s="785"/>
      <c r="AF157" s="785"/>
      <c r="AG157" s="779"/>
      <c r="AH157" s="442"/>
      <c r="AI157" s="785"/>
      <c r="AJ157" s="786"/>
      <c r="AK157" s="786"/>
      <c r="AL157" s="568" t="s">
        <v>1327</v>
      </c>
      <c r="AM157" s="568" t="s">
        <v>1328</v>
      </c>
    </row>
    <row r="158" spans="1:39">
      <c r="A158" s="771" t="s">
        <v>1675</v>
      </c>
      <c r="B158" s="1883" t="s">
        <v>1676</v>
      </c>
      <c r="C158" s="1884"/>
      <c r="D158" s="1884"/>
      <c r="E158" s="1884"/>
      <c r="F158" s="1885"/>
      <c r="G158" s="776"/>
      <c r="H158" s="776"/>
      <c r="I158" s="805"/>
      <c r="J158" s="785">
        <v>231.19</v>
      </c>
      <c r="K158" s="783"/>
      <c r="L158" s="780"/>
      <c r="M158" s="780"/>
      <c r="N158" s="780"/>
      <c r="O158" s="780"/>
      <c r="P158" s="780"/>
      <c r="Q158" s="780"/>
      <c r="R158" s="812"/>
      <c r="S158" s="780"/>
      <c r="T158" s="805"/>
      <c r="U158" s="780"/>
      <c r="V158" s="780"/>
      <c r="W158" s="784"/>
      <c r="X158" s="784"/>
      <c r="Y158" s="784"/>
      <c r="Z158" s="784"/>
      <c r="AA158" s="784"/>
      <c r="AB158" s="784"/>
      <c r="AC158" s="785"/>
      <c r="AD158" s="785"/>
      <c r="AE158" s="785"/>
      <c r="AF158" s="785"/>
      <c r="AG158" s="779"/>
      <c r="AH158" s="442"/>
      <c r="AI158" s="785"/>
      <c r="AJ158" s="786"/>
      <c r="AK158" s="786"/>
      <c r="AL158" s="568" t="s">
        <v>1327</v>
      </c>
      <c r="AM158" s="568" t="s">
        <v>1328</v>
      </c>
    </row>
    <row r="159" spans="1:39">
      <c r="A159" s="771" t="s">
        <v>1677</v>
      </c>
      <c r="B159" s="1883" t="s">
        <v>1678</v>
      </c>
      <c r="C159" s="1884"/>
      <c r="D159" s="1884"/>
      <c r="E159" s="1884"/>
      <c r="F159" s="1885"/>
      <c r="G159" s="776"/>
      <c r="H159" s="776"/>
      <c r="I159" s="805"/>
      <c r="J159" s="785">
        <v>47.902999999999999</v>
      </c>
      <c r="K159" s="783"/>
      <c r="L159" s="780"/>
      <c r="M159" s="780"/>
      <c r="N159" s="780"/>
      <c r="O159" s="780"/>
      <c r="P159" s="780"/>
      <c r="Q159" s="780"/>
      <c r="R159" s="812"/>
      <c r="S159" s="780"/>
      <c r="T159" s="805"/>
      <c r="U159" s="780"/>
      <c r="V159" s="780"/>
      <c r="W159" s="784"/>
      <c r="X159" s="784"/>
      <c r="Y159" s="784"/>
      <c r="Z159" s="784"/>
      <c r="AA159" s="784"/>
      <c r="AB159" s="784"/>
      <c r="AC159" s="785"/>
      <c r="AD159" s="785"/>
      <c r="AE159" s="785"/>
      <c r="AF159" s="785"/>
      <c r="AG159" s="779"/>
      <c r="AH159" s="442"/>
      <c r="AI159" s="785"/>
      <c r="AJ159" s="786"/>
      <c r="AK159" s="786"/>
      <c r="AL159" s="568" t="s">
        <v>1327</v>
      </c>
      <c r="AM159" s="568" t="s">
        <v>1328</v>
      </c>
    </row>
    <row r="160" spans="1:39">
      <c r="A160" s="771" t="s">
        <v>1679</v>
      </c>
      <c r="B160" s="1883" t="s">
        <v>1680</v>
      </c>
      <c r="C160" s="1884"/>
      <c r="D160" s="1884"/>
      <c r="E160" s="1884"/>
      <c r="F160" s="1885"/>
      <c r="G160" s="776"/>
      <c r="H160" s="776"/>
      <c r="I160" s="805"/>
      <c r="J160" s="785">
        <v>35.630000000000003</v>
      </c>
      <c r="K160" s="783"/>
      <c r="L160" s="780"/>
      <c r="M160" s="780"/>
      <c r="N160" s="780"/>
      <c r="O160" s="780"/>
      <c r="P160" s="780"/>
      <c r="Q160" s="780"/>
      <c r="R160" s="812"/>
      <c r="S160" s="780"/>
      <c r="T160" s="805"/>
      <c r="U160" s="780"/>
      <c r="V160" s="780"/>
      <c r="W160" s="784"/>
      <c r="X160" s="784"/>
      <c r="Y160" s="784"/>
      <c r="Z160" s="784"/>
      <c r="AA160" s="784"/>
      <c r="AB160" s="784"/>
      <c r="AC160" s="785"/>
      <c r="AD160" s="785"/>
      <c r="AE160" s="785"/>
      <c r="AF160" s="785"/>
      <c r="AG160" s="779"/>
      <c r="AH160" s="442"/>
      <c r="AI160" s="785"/>
      <c r="AJ160" s="786"/>
      <c r="AK160" s="786"/>
      <c r="AL160" s="568" t="s">
        <v>1327</v>
      </c>
      <c r="AM160" s="568" t="s">
        <v>1328</v>
      </c>
    </row>
    <row r="161" spans="1:39">
      <c r="A161" s="771" t="s">
        <v>1681</v>
      </c>
      <c r="B161" s="1883" t="s">
        <v>1682</v>
      </c>
      <c r="C161" s="1884"/>
      <c r="D161" s="1884"/>
      <c r="E161" s="1884"/>
      <c r="F161" s="1885"/>
      <c r="G161" s="776"/>
      <c r="H161" s="776"/>
      <c r="I161" s="805"/>
      <c r="J161" s="785">
        <v>40.624000000000002</v>
      </c>
      <c r="K161" s="783"/>
      <c r="L161" s="780"/>
      <c r="M161" s="780"/>
      <c r="N161" s="780"/>
      <c r="O161" s="780"/>
      <c r="P161" s="780"/>
      <c r="Q161" s="780"/>
      <c r="R161" s="812"/>
      <c r="S161" s="780"/>
      <c r="T161" s="805"/>
      <c r="U161" s="780"/>
      <c r="V161" s="780"/>
      <c r="W161" s="784"/>
      <c r="X161" s="784"/>
      <c r="Y161" s="784"/>
      <c r="Z161" s="784"/>
      <c r="AA161" s="784"/>
      <c r="AB161" s="784"/>
      <c r="AC161" s="785"/>
      <c r="AD161" s="785"/>
      <c r="AE161" s="785"/>
      <c r="AF161" s="785"/>
      <c r="AG161" s="779"/>
      <c r="AH161" s="442"/>
      <c r="AI161" s="785"/>
      <c r="AJ161" s="786"/>
      <c r="AK161" s="786"/>
      <c r="AL161" s="568" t="s">
        <v>1327</v>
      </c>
      <c r="AM161" s="568" t="s">
        <v>1328</v>
      </c>
    </row>
    <row r="162" spans="1:39" ht="22.5" customHeight="1">
      <c r="A162" s="771" t="s">
        <v>1683</v>
      </c>
      <c r="B162" s="1883" t="s">
        <v>1684</v>
      </c>
      <c r="C162" s="1884"/>
      <c r="D162" s="1884"/>
      <c r="E162" s="1884"/>
      <c r="F162" s="1885"/>
      <c r="G162" s="776"/>
      <c r="H162" s="776"/>
      <c r="I162" s="805"/>
      <c r="J162" s="785">
        <v>46.482999999999997</v>
      </c>
      <c r="K162" s="783"/>
      <c r="L162" s="780"/>
      <c r="M162" s="780"/>
      <c r="N162" s="780"/>
      <c r="O162" s="780"/>
      <c r="P162" s="780"/>
      <c r="Q162" s="780"/>
      <c r="R162" s="812"/>
      <c r="S162" s="780"/>
      <c r="T162" s="805"/>
      <c r="U162" s="780"/>
      <c r="V162" s="780"/>
      <c r="W162" s="784"/>
      <c r="X162" s="784"/>
      <c r="Y162" s="784"/>
      <c r="Z162" s="784"/>
      <c r="AA162" s="784"/>
      <c r="AB162" s="784"/>
      <c r="AC162" s="785"/>
      <c r="AD162" s="785"/>
      <c r="AE162" s="785"/>
      <c r="AF162" s="785"/>
      <c r="AG162" s="779"/>
      <c r="AH162" s="442"/>
      <c r="AI162" s="785"/>
      <c r="AJ162" s="786"/>
      <c r="AK162" s="786"/>
      <c r="AL162" s="568" t="s">
        <v>1327</v>
      </c>
      <c r="AM162" s="568" t="s">
        <v>1328</v>
      </c>
    </row>
    <row r="163" spans="1:39">
      <c r="A163" s="1889" t="s">
        <v>400</v>
      </c>
      <c r="B163" s="1890"/>
      <c r="C163" s="1890"/>
      <c r="D163" s="1890"/>
      <c r="E163" s="1890"/>
      <c r="F163" s="1890"/>
      <c r="G163" s="442">
        <f>G164</f>
        <v>2056.94</v>
      </c>
      <c r="H163" s="442"/>
      <c r="I163" s="442">
        <f>SUM(I164)</f>
        <v>1743.1694915254238</v>
      </c>
      <c r="J163" s="442">
        <f>SUM(J164)</f>
        <v>1008.2485677966102</v>
      </c>
      <c r="K163" s="783"/>
      <c r="L163" s="780"/>
      <c r="M163" s="780"/>
      <c r="N163" s="780"/>
      <c r="O163" s="780"/>
      <c r="P163" s="780"/>
      <c r="Q163" s="780"/>
      <c r="R163" s="780"/>
      <c r="S163" s="780"/>
      <c r="T163" s="780"/>
      <c r="U163" s="780"/>
      <c r="V163" s="780"/>
      <c r="W163" s="784"/>
      <c r="X163" s="784"/>
      <c r="Y163" s="784"/>
      <c r="Z163" s="784"/>
      <c r="AA163" s="784"/>
      <c r="AB163" s="784"/>
      <c r="AC163" s="785"/>
      <c r="AD163" s="785"/>
      <c r="AE163" s="785"/>
      <c r="AF163" s="785"/>
      <c r="AG163" s="779"/>
      <c r="AH163" s="785"/>
      <c r="AI163" s="785"/>
      <c r="AJ163" s="786"/>
      <c r="AK163" s="786"/>
      <c r="AL163" s="775"/>
      <c r="AM163" s="568"/>
    </row>
    <row r="164" spans="1:39">
      <c r="A164" s="771" t="s">
        <v>401</v>
      </c>
      <c r="B164" s="1893" t="s">
        <v>402</v>
      </c>
      <c r="C164" s="1894"/>
      <c r="D164" s="1894"/>
      <c r="E164" s="1894"/>
      <c r="F164" s="1895"/>
      <c r="G164" s="785">
        <v>2056.94</v>
      </c>
      <c r="H164" s="776">
        <v>1.18</v>
      </c>
      <c r="I164" s="805">
        <f>G164/H164</f>
        <v>1743.1694915254238</v>
      </c>
      <c r="J164" s="785">
        <f>SUM(K164:AM164)</f>
        <v>1008.2485677966102</v>
      </c>
      <c r="K164" s="783"/>
      <c r="L164" s="780"/>
      <c r="M164" s="780"/>
      <c r="N164" s="780"/>
      <c r="O164" s="780"/>
      <c r="P164" s="780"/>
      <c r="Q164" s="780"/>
      <c r="R164" s="780"/>
      <c r="S164" s="780"/>
      <c r="T164" s="780"/>
      <c r="U164" s="780"/>
      <c r="V164" s="780"/>
      <c r="W164" s="784"/>
      <c r="X164" s="785"/>
      <c r="Y164" s="784"/>
      <c r="Z164" s="784"/>
      <c r="AA164" s="784"/>
      <c r="AB164" s="784"/>
      <c r="AC164" s="785"/>
      <c r="AD164" s="785"/>
      <c r="AE164" s="785"/>
      <c r="AF164" s="785"/>
      <c r="AG164" s="779"/>
      <c r="AH164" s="442">
        <f>1189.73331/1.18</f>
        <v>1008.2485677966102</v>
      </c>
      <c r="AI164" s="785"/>
      <c r="AJ164" s="786"/>
      <c r="AK164" s="786"/>
      <c r="AL164" s="568" t="s">
        <v>1327</v>
      </c>
      <c r="AM164" s="568" t="s">
        <v>1328</v>
      </c>
    </row>
    <row r="165" spans="1:39">
      <c r="A165" s="1889" t="s">
        <v>403</v>
      </c>
      <c r="B165" s="1890"/>
      <c r="C165" s="1890"/>
      <c r="D165" s="1890"/>
      <c r="E165" s="1890"/>
      <c r="F165" s="1890"/>
      <c r="G165" s="463">
        <f>G166+G167</f>
        <v>725.33999999999992</v>
      </c>
      <c r="H165" s="463"/>
      <c r="I165" s="442">
        <f>SUM(I166:I167)</f>
        <v>614.69491525423723</v>
      </c>
      <c r="J165" s="442">
        <f>SUM(J166:J167)</f>
        <v>0</v>
      </c>
      <c r="K165" s="783"/>
      <c r="L165" s="780"/>
      <c r="M165" s="780"/>
      <c r="N165" s="780"/>
      <c r="O165" s="780"/>
      <c r="P165" s="780"/>
      <c r="Q165" s="780"/>
      <c r="R165" s="780"/>
      <c r="S165" s="780"/>
      <c r="T165" s="780"/>
      <c r="U165" s="780"/>
      <c r="V165" s="780"/>
      <c r="W165" s="784"/>
      <c r="X165" s="785"/>
      <c r="Y165" s="784"/>
      <c r="Z165" s="784"/>
      <c r="AA165" s="784"/>
      <c r="AB165" s="784"/>
      <c r="AC165" s="785"/>
      <c r="AD165" s="785"/>
      <c r="AE165" s="785"/>
      <c r="AF165" s="785"/>
      <c r="AG165" s="779"/>
      <c r="AH165" s="785"/>
      <c r="AI165" s="785"/>
      <c r="AJ165" s="786"/>
      <c r="AK165" s="786"/>
      <c r="AL165" s="775"/>
      <c r="AM165" s="568"/>
    </row>
    <row r="166" spans="1:39">
      <c r="A166" s="771" t="s">
        <v>404</v>
      </c>
      <c r="B166" s="1880" t="s">
        <v>405</v>
      </c>
      <c r="C166" s="1881"/>
      <c r="D166" s="1881"/>
      <c r="E166" s="1881"/>
      <c r="F166" s="1882"/>
      <c r="G166" s="776">
        <v>508.03</v>
      </c>
      <c r="H166" s="776">
        <v>1.18</v>
      </c>
      <c r="I166" s="805">
        <f>G166/H166</f>
        <v>430.53389830508473</v>
      </c>
      <c r="J166" s="785">
        <f>SUM(K166:AM166)</f>
        <v>0</v>
      </c>
      <c r="K166" s="783"/>
      <c r="L166" s="780"/>
      <c r="M166" s="780"/>
      <c r="N166" s="780"/>
      <c r="O166" s="780"/>
      <c r="P166" s="780"/>
      <c r="Q166" s="780"/>
      <c r="R166" s="780"/>
      <c r="S166" s="780"/>
      <c r="T166" s="780"/>
      <c r="U166" s="780"/>
      <c r="V166" s="780"/>
      <c r="W166" s="784"/>
      <c r="X166" s="784"/>
      <c r="Y166" s="784"/>
      <c r="Z166" s="797"/>
      <c r="AA166" s="784"/>
      <c r="AB166" s="784"/>
      <c r="AC166" s="785"/>
      <c r="AD166" s="785"/>
      <c r="AE166" s="785"/>
      <c r="AF166" s="797"/>
      <c r="AG166" s="779"/>
      <c r="AH166" s="785"/>
      <c r="AI166" s="785"/>
      <c r="AJ166" s="786"/>
      <c r="AK166" s="786"/>
      <c r="AL166" s="568" t="s">
        <v>1327</v>
      </c>
      <c r="AM166" s="568" t="s">
        <v>1328</v>
      </c>
    </row>
    <row r="167" spans="1:39">
      <c r="A167" s="771" t="s">
        <v>406</v>
      </c>
      <c r="B167" s="1880" t="s">
        <v>407</v>
      </c>
      <c r="C167" s="1881"/>
      <c r="D167" s="1881"/>
      <c r="E167" s="1881"/>
      <c r="F167" s="1882"/>
      <c r="G167" s="776">
        <v>217.31</v>
      </c>
      <c r="H167" s="776">
        <v>1.18</v>
      </c>
      <c r="I167" s="805">
        <f>G167/H167</f>
        <v>184.16101694915255</v>
      </c>
      <c r="J167" s="785">
        <f>SUM(K167:AM167)</f>
        <v>0</v>
      </c>
      <c r="K167" s="779"/>
      <c r="L167" s="779"/>
      <c r="M167" s="779"/>
      <c r="N167" s="779"/>
      <c r="O167" s="779"/>
      <c r="P167" s="779"/>
      <c r="Q167" s="779"/>
      <c r="R167" s="779"/>
      <c r="S167" s="779"/>
      <c r="T167" s="779"/>
      <c r="U167" s="779"/>
      <c r="V167" s="779"/>
      <c r="W167" s="779"/>
      <c r="X167" s="779"/>
      <c r="Y167" s="779"/>
      <c r="Z167" s="779"/>
      <c r="AA167" s="779"/>
      <c r="AB167" s="779"/>
      <c r="AC167" s="779"/>
      <c r="AD167" s="779"/>
      <c r="AE167" s="779"/>
      <c r="AF167" s="779"/>
      <c r="AG167" s="779"/>
      <c r="AH167" s="779"/>
      <c r="AI167" s="785"/>
      <c r="AJ167" s="780"/>
      <c r="AK167" s="780"/>
      <c r="AL167" s="568" t="s">
        <v>1327</v>
      </c>
      <c r="AM167" s="568" t="s">
        <v>1328</v>
      </c>
    </row>
    <row r="168" spans="1:39">
      <c r="A168" s="1889" t="s">
        <v>408</v>
      </c>
      <c r="B168" s="1890"/>
      <c r="C168" s="1890"/>
      <c r="D168" s="1890"/>
      <c r="E168" s="1890"/>
      <c r="F168" s="1890"/>
      <c r="G168" s="442">
        <f>G169</f>
        <v>1562.11</v>
      </c>
      <c r="H168" s="442"/>
      <c r="I168" s="442">
        <f>SUM(I169)</f>
        <v>1323.8220338983051</v>
      </c>
      <c r="J168" s="442">
        <f>SUM(J169)</f>
        <v>1562.1146600000002</v>
      </c>
      <c r="K168" s="783"/>
      <c r="L168" s="780"/>
      <c r="M168" s="780"/>
      <c r="N168" s="780"/>
      <c r="O168" s="780"/>
      <c r="P168" s="780"/>
      <c r="Q168" s="780"/>
      <c r="R168" s="780"/>
      <c r="S168" s="780"/>
      <c r="T168" s="780"/>
      <c r="U168" s="780"/>
      <c r="V168" s="780"/>
      <c r="W168" s="784"/>
      <c r="X168" s="785"/>
      <c r="Y168" s="784"/>
      <c r="Z168" s="784"/>
      <c r="AA168" s="784"/>
      <c r="AB168" s="784"/>
      <c r="AC168" s="785"/>
      <c r="AD168" s="785"/>
      <c r="AE168" s="785"/>
      <c r="AF168" s="785"/>
      <c r="AG168" s="779"/>
      <c r="AH168" s="785"/>
      <c r="AI168" s="785"/>
      <c r="AJ168" s="786"/>
      <c r="AK168" s="786"/>
      <c r="AL168" s="775"/>
      <c r="AM168" s="568"/>
    </row>
    <row r="169" spans="1:39">
      <c r="A169" s="771" t="s">
        <v>409</v>
      </c>
      <c r="B169" s="1880" t="s">
        <v>1685</v>
      </c>
      <c r="C169" s="1881"/>
      <c r="D169" s="1881"/>
      <c r="E169" s="1881"/>
      <c r="F169" s="1882"/>
      <c r="G169" s="785">
        <v>1562.11</v>
      </c>
      <c r="H169" s="776">
        <v>1.18</v>
      </c>
      <c r="I169" s="805">
        <f>G169/H169</f>
        <v>1323.8220338983051</v>
      </c>
      <c r="J169" s="785">
        <f>SUM(K169:AM169)</f>
        <v>1562.1146600000002</v>
      </c>
      <c r="K169" s="783"/>
      <c r="L169" s="780"/>
      <c r="M169" s="780"/>
      <c r="N169" s="780"/>
      <c r="O169" s="780"/>
      <c r="P169" s="780"/>
      <c r="Q169" s="780"/>
      <c r="R169" s="805"/>
      <c r="S169" s="780"/>
      <c r="T169" s="780"/>
      <c r="U169" s="780"/>
      <c r="V169" s="780"/>
      <c r="W169" s="784"/>
      <c r="X169" s="784"/>
      <c r="Y169" s="784"/>
      <c r="Z169" s="784"/>
      <c r="AA169" s="784"/>
      <c r="AB169" s="442">
        <f>698.498</f>
        <v>698.49800000000005</v>
      </c>
      <c r="AC169" s="785"/>
      <c r="AD169" s="785"/>
      <c r="AE169" s="785"/>
      <c r="AF169" s="785"/>
      <c r="AG169" s="779"/>
      <c r="AH169" s="442">
        <v>863.61666000000002</v>
      </c>
      <c r="AI169" s="785"/>
      <c r="AJ169" s="786"/>
      <c r="AK169" s="786"/>
      <c r="AL169" s="568" t="s">
        <v>1327</v>
      </c>
      <c r="AM169" s="568" t="s">
        <v>1328</v>
      </c>
    </row>
    <row r="170" spans="1:39">
      <c r="A170" s="1595" t="s">
        <v>410</v>
      </c>
      <c r="B170" s="1596"/>
      <c r="C170" s="1596"/>
      <c r="D170" s="1596"/>
      <c r="E170" s="1596"/>
      <c r="F170" s="1596"/>
      <c r="G170" s="442">
        <f>G171+G173</f>
        <v>9589.2900000000009</v>
      </c>
      <c r="H170" s="442"/>
      <c r="I170" s="442">
        <f>I171+I173</f>
        <v>8126.516949152543</v>
      </c>
      <c r="J170" s="442">
        <f>SUM(J171,J173)</f>
        <v>11466.073033898305</v>
      </c>
      <c r="K170" s="783"/>
      <c r="L170" s="780"/>
      <c r="M170" s="780"/>
      <c r="N170" s="780"/>
      <c r="O170" s="780"/>
      <c r="P170" s="780"/>
      <c r="Q170" s="780"/>
      <c r="R170" s="780"/>
      <c r="S170" s="780"/>
      <c r="T170" s="805"/>
      <c r="U170" s="780"/>
      <c r="V170" s="780"/>
      <c r="W170" s="784"/>
      <c r="X170" s="784"/>
      <c r="Y170" s="784"/>
      <c r="Z170" s="784"/>
      <c r="AA170" s="784"/>
      <c r="AB170" s="784"/>
      <c r="AC170" s="785"/>
      <c r="AD170" s="785"/>
      <c r="AE170" s="785"/>
      <c r="AF170" s="785"/>
      <c r="AG170" s="779"/>
      <c r="AH170" s="779"/>
      <c r="AI170" s="785"/>
      <c r="AJ170" s="786"/>
      <c r="AK170" s="786"/>
      <c r="AL170" s="775"/>
      <c r="AM170" s="568"/>
    </row>
    <row r="171" spans="1:39">
      <c r="A171" s="1889" t="s">
        <v>411</v>
      </c>
      <c r="B171" s="1890"/>
      <c r="C171" s="1890"/>
      <c r="D171" s="1890"/>
      <c r="E171" s="1890"/>
      <c r="F171" s="1890"/>
      <c r="G171" s="462">
        <f>G172</f>
        <v>250</v>
      </c>
      <c r="H171" s="462"/>
      <c r="I171" s="442">
        <f>SUM(I172:I172)</f>
        <v>211.86440677966104</v>
      </c>
      <c r="J171" s="442">
        <f>SUM(J172:J172)</f>
        <v>0</v>
      </c>
      <c r="K171" s="783"/>
      <c r="L171" s="780"/>
      <c r="M171" s="780"/>
      <c r="N171" s="780"/>
      <c r="O171" s="780"/>
      <c r="P171" s="780"/>
      <c r="Q171" s="780"/>
      <c r="R171" s="780"/>
      <c r="S171" s="780"/>
      <c r="T171" s="805"/>
      <c r="U171" s="780"/>
      <c r="V171" s="780"/>
      <c r="W171" s="784"/>
      <c r="X171" s="784"/>
      <c r="Y171" s="784"/>
      <c r="Z171" s="784"/>
      <c r="AA171" s="784"/>
      <c r="AB171" s="784"/>
      <c r="AC171" s="785"/>
      <c r="AD171" s="785"/>
      <c r="AE171" s="785"/>
      <c r="AF171" s="785"/>
      <c r="AG171" s="785"/>
      <c r="AH171" s="785"/>
      <c r="AI171" s="785"/>
      <c r="AJ171" s="786"/>
      <c r="AK171" s="786"/>
      <c r="AL171" s="775"/>
      <c r="AM171" s="568"/>
    </row>
    <row r="172" spans="1:39">
      <c r="A172" s="775" t="s">
        <v>419</v>
      </c>
      <c r="B172" s="1880" t="s">
        <v>412</v>
      </c>
      <c r="C172" s="1881"/>
      <c r="D172" s="1881"/>
      <c r="E172" s="1881"/>
      <c r="F172" s="1882"/>
      <c r="G172" s="776">
        <v>250</v>
      </c>
      <c r="H172" s="776">
        <v>1.18</v>
      </c>
      <c r="I172" s="805">
        <f>G172/H172</f>
        <v>211.86440677966104</v>
      </c>
      <c r="J172" s="785">
        <f>SUM(K172:AM172)</f>
        <v>0</v>
      </c>
      <c r="K172" s="779"/>
      <c r="L172" s="779"/>
      <c r="M172" s="779"/>
      <c r="N172" s="779"/>
      <c r="O172" s="779"/>
      <c r="P172" s="779"/>
      <c r="Q172" s="779"/>
      <c r="R172" s="779"/>
      <c r="S172" s="779"/>
      <c r="T172" s="779"/>
      <c r="U172" s="779"/>
      <c r="V172" s="779"/>
      <c r="W172" s="779"/>
      <c r="X172" s="779"/>
      <c r="Y172" s="779"/>
      <c r="Z172" s="779"/>
      <c r="AA172" s="779"/>
      <c r="AB172" s="779"/>
      <c r="AC172" s="779"/>
      <c r="AD172" s="779"/>
      <c r="AE172" s="779"/>
      <c r="AF172" s="779"/>
      <c r="AG172" s="779"/>
      <c r="AH172" s="779"/>
      <c r="AI172" s="779"/>
      <c r="AJ172" s="780"/>
      <c r="AK172" s="780"/>
      <c r="AL172" s="568" t="s">
        <v>1327</v>
      </c>
      <c r="AM172" s="568" t="s">
        <v>1328</v>
      </c>
    </row>
    <row r="173" spans="1:39">
      <c r="A173" s="1889" t="s">
        <v>413</v>
      </c>
      <c r="B173" s="1890"/>
      <c r="C173" s="1890"/>
      <c r="D173" s="1890"/>
      <c r="E173" s="1890"/>
      <c r="F173" s="1890"/>
      <c r="G173" s="442">
        <f>SUM(G174:G201)</f>
        <v>9339.2900000000009</v>
      </c>
      <c r="H173" s="442"/>
      <c r="I173" s="442">
        <f>SUM(I174:I201)</f>
        <v>7914.6525423728817</v>
      </c>
      <c r="J173" s="442">
        <f>SUM(J174:J201)</f>
        <v>11466.073033898305</v>
      </c>
      <c r="K173" s="783"/>
      <c r="L173" s="780"/>
      <c r="M173" s="780"/>
      <c r="N173" s="780"/>
      <c r="O173" s="780"/>
      <c r="P173" s="780"/>
      <c r="Q173" s="780"/>
      <c r="R173" s="805"/>
      <c r="S173" s="780"/>
      <c r="T173" s="805"/>
      <c r="U173" s="780"/>
      <c r="V173" s="780"/>
      <c r="W173" s="784"/>
      <c r="X173" s="784"/>
      <c r="Y173" s="784"/>
      <c r="Z173" s="784"/>
      <c r="AA173" s="784"/>
      <c r="AB173" s="784"/>
      <c r="AC173" s="785"/>
      <c r="AD173" s="785"/>
      <c r="AE173" s="785"/>
      <c r="AF173" s="785"/>
      <c r="AG173" s="785"/>
      <c r="AH173" s="785"/>
      <c r="AI173" s="785"/>
      <c r="AJ173" s="786"/>
      <c r="AK173" s="786"/>
      <c r="AL173" s="775"/>
      <c r="AM173" s="568"/>
    </row>
    <row r="174" spans="1:39">
      <c r="A174" s="775" t="s">
        <v>421</v>
      </c>
      <c r="B174" s="1880" t="s">
        <v>1686</v>
      </c>
      <c r="C174" s="1881"/>
      <c r="D174" s="1881"/>
      <c r="E174" s="1881"/>
      <c r="F174" s="1882"/>
      <c r="G174" s="776">
        <v>817</v>
      </c>
      <c r="H174" s="776">
        <v>1.18</v>
      </c>
      <c r="I174" s="805">
        <f>G174/H174</f>
        <v>692.37288135593224</v>
      </c>
      <c r="J174" s="785">
        <v>131.38</v>
      </c>
      <c r="K174" s="779"/>
      <c r="L174" s="779"/>
      <c r="M174" s="779"/>
      <c r="N174" s="779"/>
      <c r="O174" s="779"/>
      <c r="P174" s="779"/>
      <c r="Q174" s="779"/>
      <c r="R174" s="779"/>
      <c r="S174" s="779"/>
      <c r="T174" s="779"/>
      <c r="U174" s="779"/>
      <c r="V174" s="779"/>
      <c r="W174" s="779"/>
      <c r="X174" s="779"/>
      <c r="Y174" s="779"/>
      <c r="Z174" s="779"/>
      <c r="AA174" s="779"/>
      <c r="AB174" s="779"/>
      <c r="AC174" s="779"/>
      <c r="AD174" s="779"/>
      <c r="AE174" s="779"/>
      <c r="AF174" s="779"/>
      <c r="AG174" s="779"/>
      <c r="AH174" s="779"/>
      <c r="AI174" s="785"/>
      <c r="AJ174" s="780"/>
      <c r="AK174" s="780"/>
      <c r="AL174" s="568" t="s">
        <v>1327</v>
      </c>
      <c r="AM174" s="568" t="s">
        <v>1328</v>
      </c>
    </row>
    <row r="175" spans="1:39">
      <c r="A175" s="775" t="s">
        <v>422</v>
      </c>
      <c r="B175" s="1880" t="s">
        <v>414</v>
      </c>
      <c r="C175" s="1881"/>
      <c r="D175" s="1881"/>
      <c r="E175" s="1881"/>
      <c r="F175" s="1882"/>
      <c r="G175" s="776">
        <v>507.69</v>
      </c>
      <c r="H175" s="776">
        <v>1.18</v>
      </c>
      <c r="I175" s="805">
        <f>G175/H175</f>
        <v>430.24576271186442</v>
      </c>
      <c r="J175" s="785">
        <v>231.78</v>
      </c>
      <c r="K175" s="783"/>
      <c r="L175" s="805"/>
      <c r="M175" s="812"/>
      <c r="N175" s="805"/>
      <c r="O175" s="780"/>
      <c r="P175" s="805"/>
      <c r="Q175" s="780"/>
      <c r="R175" s="805"/>
      <c r="S175" s="780"/>
      <c r="T175" s="805"/>
      <c r="U175" s="780"/>
      <c r="V175" s="805"/>
      <c r="W175" s="815"/>
      <c r="X175" s="785"/>
      <c r="Y175" s="815"/>
      <c r="Z175" s="785"/>
      <c r="AA175" s="815"/>
      <c r="AB175" s="785"/>
      <c r="AC175" s="785"/>
      <c r="AD175" s="785"/>
      <c r="AE175" s="785"/>
      <c r="AF175" s="785"/>
      <c r="AG175" s="785"/>
      <c r="AH175" s="785"/>
      <c r="AI175" s="785"/>
      <c r="AJ175" s="786"/>
      <c r="AK175" s="786"/>
      <c r="AL175" s="568" t="s">
        <v>1327</v>
      </c>
      <c r="AM175" s="568" t="s">
        <v>1328</v>
      </c>
    </row>
    <row r="176" spans="1:39">
      <c r="A176" s="775" t="s">
        <v>423</v>
      </c>
      <c r="B176" s="1880" t="s">
        <v>415</v>
      </c>
      <c r="C176" s="1881"/>
      <c r="D176" s="1881"/>
      <c r="E176" s="1881"/>
      <c r="F176" s="1882"/>
      <c r="G176" s="776">
        <v>6835.07</v>
      </c>
      <c r="H176" s="776">
        <v>1.18</v>
      </c>
      <c r="I176" s="805">
        <f>G176/H176</f>
        <v>5792.4322033898306</v>
      </c>
      <c r="J176" s="785">
        <f>SUM(K176:AM176)</f>
        <v>7378.931033898305</v>
      </c>
      <c r="K176" s="783"/>
      <c r="L176" s="805"/>
      <c r="M176" s="780"/>
      <c r="N176" s="805"/>
      <c r="O176" s="780"/>
      <c r="P176" s="805"/>
      <c r="Q176" s="780"/>
      <c r="R176" s="805"/>
      <c r="S176" s="780"/>
      <c r="T176" s="805"/>
      <c r="U176" s="780"/>
      <c r="V176" s="805"/>
      <c r="W176" s="815"/>
      <c r="X176" s="785"/>
      <c r="Y176" s="815"/>
      <c r="Z176" s="785"/>
      <c r="AA176" s="815"/>
      <c r="AB176" s="785"/>
      <c r="AC176" s="785"/>
      <c r="AD176" s="785"/>
      <c r="AE176" s="785"/>
      <c r="AF176" s="785"/>
      <c r="AG176" s="779"/>
      <c r="AH176" s="442">
        <f>(427.363+8279.77562)/1.18</f>
        <v>7378.931033898305</v>
      </c>
      <c r="AI176" s="785"/>
      <c r="AJ176" s="786"/>
      <c r="AK176" s="786"/>
      <c r="AL176" s="568" t="s">
        <v>1327</v>
      </c>
      <c r="AM176" s="568" t="s">
        <v>1328</v>
      </c>
    </row>
    <row r="177" spans="1:39">
      <c r="A177" s="775" t="s">
        <v>912</v>
      </c>
      <c r="B177" s="1880" t="s">
        <v>1687</v>
      </c>
      <c r="C177" s="1881"/>
      <c r="D177" s="1881"/>
      <c r="E177" s="1881"/>
      <c r="F177" s="1882"/>
      <c r="G177" s="776">
        <v>1179.53</v>
      </c>
      <c r="H177" s="776">
        <v>1.18</v>
      </c>
      <c r="I177" s="805">
        <f>G177/H177</f>
        <v>999.60169491525426</v>
      </c>
      <c r="J177" s="785">
        <v>1179.53</v>
      </c>
      <c r="K177" s="783"/>
      <c r="L177" s="805"/>
      <c r="M177" s="780"/>
      <c r="N177" s="805"/>
      <c r="O177" s="780"/>
      <c r="P177" s="805"/>
      <c r="Q177" s="780"/>
      <c r="R177" s="462">
        <v>1179.53</v>
      </c>
      <c r="S177" s="780"/>
      <c r="T177" s="805"/>
      <c r="U177" s="780"/>
      <c r="V177" s="805"/>
      <c r="W177" s="815"/>
      <c r="X177" s="785"/>
      <c r="Y177" s="815"/>
      <c r="Z177" s="785"/>
      <c r="AA177" s="815"/>
      <c r="AB177" s="785"/>
      <c r="AC177" s="442">
        <v>131.37799999999999</v>
      </c>
      <c r="AD177" s="785"/>
      <c r="AE177" s="785"/>
      <c r="AF177" s="785"/>
      <c r="AG177" s="785"/>
      <c r="AH177" s="785"/>
      <c r="AI177" s="785"/>
      <c r="AJ177" s="786"/>
      <c r="AK177" s="786"/>
      <c r="AL177" s="568" t="s">
        <v>1327</v>
      </c>
      <c r="AM177" s="568" t="s">
        <v>1328</v>
      </c>
    </row>
    <row r="178" spans="1:39">
      <c r="A178" s="806" t="s">
        <v>1688</v>
      </c>
      <c r="B178" s="1880" t="s">
        <v>1689</v>
      </c>
      <c r="C178" s="1881"/>
      <c r="D178" s="1881"/>
      <c r="E178" s="1881"/>
      <c r="F178" s="1882"/>
      <c r="G178" s="785"/>
      <c r="H178" s="785"/>
      <c r="I178" s="785"/>
      <c r="J178" s="785">
        <v>26.33</v>
      </c>
      <c r="K178" s="783"/>
      <c r="L178" s="780"/>
      <c r="M178" s="780"/>
      <c r="N178" s="780"/>
      <c r="O178" s="780"/>
      <c r="P178" s="780"/>
      <c r="Q178" s="780"/>
      <c r="R178" s="805"/>
      <c r="S178" s="780"/>
      <c r="T178" s="780"/>
      <c r="U178" s="780"/>
      <c r="V178" s="780"/>
      <c r="W178" s="784"/>
      <c r="X178" s="784"/>
      <c r="Y178" s="784"/>
      <c r="Z178" s="784"/>
      <c r="AA178" s="784"/>
      <c r="AB178" s="785"/>
      <c r="AC178" s="785"/>
      <c r="AD178" s="785"/>
      <c r="AE178" s="785"/>
      <c r="AF178" s="442"/>
      <c r="AG178" s="785"/>
      <c r="AH178" s="785"/>
      <c r="AI178" s="785"/>
      <c r="AJ178" s="786"/>
      <c r="AK178" s="786"/>
      <c r="AL178" s="568" t="s">
        <v>1327</v>
      </c>
      <c r="AM178" s="568" t="s">
        <v>1328</v>
      </c>
    </row>
    <row r="179" spans="1:39">
      <c r="A179" s="806" t="s">
        <v>1690</v>
      </c>
      <c r="B179" s="1880" t="s">
        <v>1691</v>
      </c>
      <c r="C179" s="1881"/>
      <c r="D179" s="1881"/>
      <c r="E179" s="1881"/>
      <c r="F179" s="1882"/>
      <c r="G179" s="785"/>
      <c r="H179" s="785"/>
      <c r="I179" s="785"/>
      <c r="J179" s="785">
        <v>36.543999999999997</v>
      </c>
      <c r="K179" s="783"/>
      <c r="L179" s="780"/>
      <c r="M179" s="780"/>
      <c r="N179" s="780"/>
      <c r="O179" s="780"/>
      <c r="P179" s="780"/>
      <c r="Q179" s="780"/>
      <c r="R179" s="805"/>
      <c r="S179" s="780"/>
      <c r="T179" s="780"/>
      <c r="U179" s="780"/>
      <c r="V179" s="780"/>
      <c r="W179" s="784"/>
      <c r="X179" s="784"/>
      <c r="Y179" s="784"/>
      <c r="Z179" s="784"/>
      <c r="AA179" s="784"/>
      <c r="AB179" s="785"/>
      <c r="AC179" s="785"/>
      <c r="AD179" s="785"/>
      <c r="AE179" s="785"/>
      <c r="AF179" s="442"/>
      <c r="AG179" s="785"/>
      <c r="AH179" s="785"/>
      <c r="AI179" s="785"/>
      <c r="AJ179" s="786"/>
      <c r="AK179" s="786"/>
      <c r="AL179" s="568" t="s">
        <v>1327</v>
      </c>
      <c r="AM179" s="568" t="s">
        <v>1328</v>
      </c>
    </row>
    <row r="180" spans="1:39">
      <c r="A180" s="806" t="s">
        <v>1692</v>
      </c>
      <c r="B180" s="1880" t="s">
        <v>1693</v>
      </c>
      <c r="C180" s="1881"/>
      <c r="D180" s="1881"/>
      <c r="E180" s="1881"/>
      <c r="F180" s="1882"/>
      <c r="G180" s="785"/>
      <c r="H180" s="785"/>
      <c r="I180" s="785"/>
      <c r="J180" s="785">
        <v>10.929</v>
      </c>
      <c r="K180" s="783"/>
      <c r="L180" s="780"/>
      <c r="M180" s="780"/>
      <c r="N180" s="780"/>
      <c r="O180" s="780"/>
      <c r="P180" s="780"/>
      <c r="Q180" s="780"/>
      <c r="R180" s="805"/>
      <c r="S180" s="780"/>
      <c r="T180" s="780"/>
      <c r="U180" s="780"/>
      <c r="V180" s="780"/>
      <c r="W180" s="784"/>
      <c r="X180" s="784"/>
      <c r="Y180" s="784"/>
      <c r="Z180" s="784"/>
      <c r="AA180" s="784"/>
      <c r="AB180" s="785"/>
      <c r="AC180" s="785"/>
      <c r="AD180" s="785"/>
      <c r="AE180" s="785"/>
      <c r="AF180" s="442"/>
      <c r="AG180" s="785"/>
      <c r="AH180" s="785"/>
      <c r="AI180" s="785"/>
      <c r="AJ180" s="786"/>
      <c r="AK180" s="786"/>
      <c r="AL180" s="568" t="s">
        <v>1327</v>
      </c>
      <c r="AM180" s="568" t="s">
        <v>1328</v>
      </c>
    </row>
    <row r="181" spans="1:39">
      <c r="A181" s="806" t="s">
        <v>1694</v>
      </c>
      <c r="B181" s="1880" t="s">
        <v>1695</v>
      </c>
      <c r="C181" s="1881"/>
      <c r="D181" s="1881"/>
      <c r="E181" s="1881"/>
      <c r="F181" s="1882"/>
      <c r="G181" s="785"/>
      <c r="H181" s="785"/>
      <c r="I181" s="785"/>
      <c r="J181" s="785">
        <v>200.75299999999999</v>
      </c>
      <c r="K181" s="783"/>
      <c r="L181" s="780"/>
      <c r="M181" s="780"/>
      <c r="N181" s="780"/>
      <c r="O181" s="780"/>
      <c r="P181" s="780"/>
      <c r="Q181" s="780"/>
      <c r="R181" s="805"/>
      <c r="S181" s="780"/>
      <c r="T181" s="780"/>
      <c r="U181" s="780"/>
      <c r="V181" s="780"/>
      <c r="W181" s="784"/>
      <c r="X181" s="784"/>
      <c r="Y181" s="784"/>
      <c r="Z181" s="784"/>
      <c r="AA181" s="784"/>
      <c r="AB181" s="785"/>
      <c r="AC181" s="785"/>
      <c r="AD181" s="785"/>
      <c r="AE181" s="785"/>
      <c r="AF181" s="442"/>
      <c r="AG181" s="785"/>
      <c r="AH181" s="785"/>
      <c r="AI181" s="785"/>
      <c r="AJ181" s="786"/>
      <c r="AK181" s="786"/>
      <c r="AL181" s="568" t="s">
        <v>1327</v>
      </c>
      <c r="AM181" s="568" t="s">
        <v>1328</v>
      </c>
    </row>
    <row r="182" spans="1:39">
      <c r="A182" s="806" t="s">
        <v>1696</v>
      </c>
      <c r="B182" s="1880" t="s">
        <v>1697</v>
      </c>
      <c r="C182" s="1881"/>
      <c r="D182" s="1881"/>
      <c r="E182" s="1881"/>
      <c r="F182" s="1882"/>
      <c r="G182" s="785"/>
      <c r="H182" s="785"/>
      <c r="I182" s="785"/>
      <c r="J182" s="785">
        <v>5.915</v>
      </c>
      <c r="K182" s="783"/>
      <c r="L182" s="780"/>
      <c r="M182" s="780"/>
      <c r="N182" s="780"/>
      <c r="O182" s="780"/>
      <c r="P182" s="780"/>
      <c r="Q182" s="780"/>
      <c r="R182" s="805"/>
      <c r="S182" s="780"/>
      <c r="T182" s="780"/>
      <c r="U182" s="780"/>
      <c r="V182" s="780"/>
      <c r="W182" s="784"/>
      <c r="X182" s="784"/>
      <c r="Y182" s="784"/>
      <c r="Z182" s="784"/>
      <c r="AA182" s="784"/>
      <c r="AB182" s="785"/>
      <c r="AC182" s="785"/>
      <c r="AD182" s="785"/>
      <c r="AE182" s="785"/>
      <c r="AF182" s="442"/>
      <c r="AG182" s="785"/>
      <c r="AH182" s="785"/>
      <c r="AI182" s="785"/>
      <c r="AJ182" s="786"/>
      <c r="AK182" s="786"/>
      <c r="AL182" s="568" t="s">
        <v>1327</v>
      </c>
      <c r="AM182" s="568" t="s">
        <v>1328</v>
      </c>
    </row>
    <row r="183" spans="1:39">
      <c r="A183" s="806" t="s">
        <v>1698</v>
      </c>
      <c r="B183" s="1880" t="s">
        <v>1699</v>
      </c>
      <c r="C183" s="1881"/>
      <c r="D183" s="1881"/>
      <c r="E183" s="1881"/>
      <c r="F183" s="1882"/>
      <c r="G183" s="785"/>
      <c r="H183" s="785"/>
      <c r="I183" s="785"/>
      <c r="J183" s="785">
        <v>15.67</v>
      </c>
      <c r="K183" s="783"/>
      <c r="L183" s="780"/>
      <c r="M183" s="780"/>
      <c r="N183" s="780"/>
      <c r="O183" s="780"/>
      <c r="P183" s="780"/>
      <c r="Q183" s="780"/>
      <c r="R183" s="805"/>
      <c r="S183" s="780"/>
      <c r="T183" s="780"/>
      <c r="U183" s="780"/>
      <c r="V183" s="780"/>
      <c r="W183" s="784"/>
      <c r="X183" s="784"/>
      <c r="Y183" s="784"/>
      <c r="Z183" s="784"/>
      <c r="AA183" s="784"/>
      <c r="AB183" s="785"/>
      <c r="AC183" s="785"/>
      <c r="AD183" s="785"/>
      <c r="AE183" s="785"/>
      <c r="AF183" s="442"/>
      <c r="AG183" s="785"/>
      <c r="AH183" s="785"/>
      <c r="AI183" s="785"/>
      <c r="AJ183" s="786"/>
      <c r="AK183" s="786"/>
      <c r="AL183" s="568" t="s">
        <v>1327</v>
      </c>
      <c r="AM183" s="568" t="s">
        <v>1328</v>
      </c>
    </row>
    <row r="184" spans="1:39">
      <c r="A184" s="806" t="s">
        <v>1700</v>
      </c>
      <c r="B184" s="1880" t="s">
        <v>1701</v>
      </c>
      <c r="C184" s="1881"/>
      <c r="D184" s="1881"/>
      <c r="E184" s="1881"/>
      <c r="F184" s="1882"/>
      <c r="G184" s="785"/>
      <c r="H184" s="785"/>
      <c r="I184" s="785"/>
      <c r="J184" s="785">
        <v>75.308999999999997</v>
      </c>
      <c r="K184" s="783"/>
      <c r="L184" s="780"/>
      <c r="M184" s="780"/>
      <c r="N184" s="780"/>
      <c r="O184" s="780"/>
      <c r="P184" s="780"/>
      <c r="Q184" s="780"/>
      <c r="R184" s="805"/>
      <c r="S184" s="780"/>
      <c r="T184" s="780"/>
      <c r="U184" s="780"/>
      <c r="V184" s="780"/>
      <c r="W184" s="784"/>
      <c r="X184" s="784"/>
      <c r="Y184" s="784"/>
      <c r="Z184" s="784"/>
      <c r="AA184" s="784"/>
      <c r="AB184" s="785"/>
      <c r="AC184" s="785"/>
      <c r="AD184" s="785"/>
      <c r="AE184" s="785"/>
      <c r="AF184" s="442"/>
      <c r="AG184" s="785"/>
      <c r="AH184" s="785"/>
      <c r="AI184" s="785"/>
      <c r="AJ184" s="786"/>
      <c r="AK184" s="786"/>
      <c r="AL184" s="568" t="s">
        <v>1327</v>
      </c>
      <c r="AM184" s="568" t="s">
        <v>1328</v>
      </c>
    </row>
    <row r="185" spans="1:39">
      <c r="A185" s="806" t="s">
        <v>1702</v>
      </c>
      <c r="B185" s="1880" t="s">
        <v>1703</v>
      </c>
      <c r="C185" s="1881"/>
      <c r="D185" s="1881"/>
      <c r="E185" s="1881"/>
      <c r="F185" s="1882"/>
      <c r="G185" s="785"/>
      <c r="H185" s="785"/>
      <c r="I185" s="785"/>
      <c r="J185" s="785">
        <v>10.929</v>
      </c>
      <c r="K185" s="783"/>
      <c r="L185" s="780"/>
      <c r="M185" s="780"/>
      <c r="N185" s="780"/>
      <c r="O185" s="780"/>
      <c r="P185" s="780"/>
      <c r="Q185" s="780"/>
      <c r="R185" s="805"/>
      <c r="S185" s="780"/>
      <c r="T185" s="780"/>
      <c r="U185" s="780"/>
      <c r="V185" s="780"/>
      <c r="W185" s="784"/>
      <c r="X185" s="784"/>
      <c r="Y185" s="784"/>
      <c r="Z185" s="784"/>
      <c r="AA185" s="784"/>
      <c r="AB185" s="785"/>
      <c r="AC185" s="785"/>
      <c r="AD185" s="785"/>
      <c r="AE185" s="785"/>
      <c r="AF185" s="442"/>
      <c r="AG185" s="785"/>
      <c r="AH185" s="785"/>
      <c r="AI185" s="785"/>
      <c r="AJ185" s="786"/>
      <c r="AK185" s="786"/>
      <c r="AL185" s="568" t="s">
        <v>1327</v>
      </c>
      <c r="AM185" s="568" t="s">
        <v>1328</v>
      </c>
    </row>
    <row r="186" spans="1:39">
      <c r="A186" s="806" t="s">
        <v>1704</v>
      </c>
      <c r="B186" s="1880" t="s">
        <v>1705</v>
      </c>
      <c r="C186" s="1881"/>
      <c r="D186" s="1881"/>
      <c r="E186" s="1881"/>
      <c r="F186" s="1882"/>
      <c r="G186" s="785"/>
      <c r="H186" s="785"/>
      <c r="I186" s="785"/>
      <c r="J186" s="785">
        <v>38.729999999999997</v>
      </c>
      <c r="K186" s="783"/>
      <c r="L186" s="780"/>
      <c r="M186" s="780"/>
      <c r="N186" s="780"/>
      <c r="O186" s="780"/>
      <c r="P186" s="780"/>
      <c r="Q186" s="780"/>
      <c r="R186" s="805"/>
      <c r="S186" s="780"/>
      <c r="T186" s="780"/>
      <c r="U186" s="780"/>
      <c r="V186" s="780"/>
      <c r="W186" s="784"/>
      <c r="X186" s="784"/>
      <c r="Y186" s="784"/>
      <c r="Z186" s="784"/>
      <c r="AA186" s="784"/>
      <c r="AB186" s="785"/>
      <c r="AC186" s="785"/>
      <c r="AD186" s="785"/>
      <c r="AE186" s="785"/>
      <c r="AF186" s="442"/>
      <c r="AG186" s="785"/>
      <c r="AH186" s="785"/>
      <c r="AI186" s="785"/>
      <c r="AJ186" s="786"/>
      <c r="AK186" s="786"/>
      <c r="AL186" s="568" t="s">
        <v>1327</v>
      </c>
      <c r="AM186" s="568" t="s">
        <v>1328</v>
      </c>
    </row>
    <row r="187" spans="1:39">
      <c r="A187" s="806" t="s">
        <v>1706</v>
      </c>
      <c r="B187" s="1880" t="s">
        <v>1707</v>
      </c>
      <c r="C187" s="1881"/>
      <c r="D187" s="1881"/>
      <c r="E187" s="1881"/>
      <c r="F187" s="1882"/>
      <c r="G187" s="785"/>
      <c r="H187" s="785"/>
      <c r="I187" s="785"/>
      <c r="J187" s="785">
        <v>37.938000000000002</v>
      </c>
      <c r="K187" s="783"/>
      <c r="L187" s="780"/>
      <c r="M187" s="780"/>
      <c r="N187" s="780"/>
      <c r="O187" s="780"/>
      <c r="P187" s="780"/>
      <c r="Q187" s="780"/>
      <c r="R187" s="805"/>
      <c r="S187" s="780"/>
      <c r="T187" s="780"/>
      <c r="U187" s="780"/>
      <c r="V187" s="780"/>
      <c r="W187" s="784"/>
      <c r="X187" s="784"/>
      <c r="Y187" s="784"/>
      <c r="Z187" s="784"/>
      <c r="AA187" s="784"/>
      <c r="AB187" s="785"/>
      <c r="AC187" s="785"/>
      <c r="AD187" s="785"/>
      <c r="AE187" s="785"/>
      <c r="AF187" s="442"/>
      <c r="AG187" s="785"/>
      <c r="AH187" s="785"/>
      <c r="AI187" s="785"/>
      <c r="AJ187" s="786"/>
      <c r="AK187" s="786"/>
      <c r="AL187" s="568" t="s">
        <v>1327</v>
      </c>
      <c r="AM187" s="568" t="s">
        <v>1328</v>
      </c>
    </row>
    <row r="188" spans="1:39">
      <c r="A188" s="806" t="s">
        <v>1708</v>
      </c>
      <c r="B188" s="1880" t="s">
        <v>1709</v>
      </c>
      <c r="C188" s="1881"/>
      <c r="D188" s="1881"/>
      <c r="E188" s="1881"/>
      <c r="F188" s="1882"/>
      <c r="G188" s="785"/>
      <c r="H188" s="785"/>
      <c r="I188" s="785"/>
      <c r="J188" s="785">
        <v>39.927</v>
      </c>
      <c r="K188" s="783"/>
      <c r="L188" s="780"/>
      <c r="M188" s="780"/>
      <c r="N188" s="780"/>
      <c r="O188" s="780"/>
      <c r="P188" s="780"/>
      <c r="Q188" s="780"/>
      <c r="R188" s="805"/>
      <c r="S188" s="780"/>
      <c r="T188" s="780"/>
      <c r="U188" s="780"/>
      <c r="V188" s="780"/>
      <c r="W188" s="784"/>
      <c r="X188" s="784"/>
      <c r="Y188" s="784"/>
      <c r="Z188" s="784"/>
      <c r="AA188" s="784"/>
      <c r="AB188" s="785"/>
      <c r="AC188" s="785"/>
      <c r="AD188" s="785"/>
      <c r="AE188" s="785"/>
      <c r="AF188" s="442"/>
      <c r="AG188" s="785"/>
      <c r="AH188" s="785"/>
      <c r="AI188" s="785"/>
      <c r="AJ188" s="786"/>
      <c r="AK188" s="786"/>
      <c r="AL188" s="568" t="s">
        <v>1327</v>
      </c>
      <c r="AM188" s="568" t="s">
        <v>1328</v>
      </c>
    </row>
    <row r="189" spans="1:39">
      <c r="A189" s="806" t="s">
        <v>1710</v>
      </c>
      <c r="B189" s="1880" t="s">
        <v>1711</v>
      </c>
      <c r="C189" s="1881"/>
      <c r="D189" s="1881"/>
      <c r="E189" s="1881"/>
      <c r="F189" s="1882"/>
      <c r="G189" s="785"/>
      <c r="H189" s="785"/>
      <c r="I189" s="785"/>
      <c r="J189" s="785">
        <v>31.632000000000001</v>
      </c>
      <c r="K189" s="783"/>
      <c r="L189" s="780"/>
      <c r="M189" s="780"/>
      <c r="N189" s="780"/>
      <c r="O189" s="780"/>
      <c r="P189" s="780"/>
      <c r="Q189" s="780"/>
      <c r="R189" s="805"/>
      <c r="S189" s="780"/>
      <c r="T189" s="780"/>
      <c r="U189" s="780"/>
      <c r="V189" s="780"/>
      <c r="W189" s="784"/>
      <c r="X189" s="784"/>
      <c r="Y189" s="784"/>
      <c r="Z189" s="784"/>
      <c r="AA189" s="784"/>
      <c r="AB189" s="785"/>
      <c r="AC189" s="785"/>
      <c r="AD189" s="785"/>
      <c r="AE189" s="785"/>
      <c r="AF189" s="442"/>
      <c r="AG189" s="785"/>
      <c r="AH189" s="785"/>
      <c r="AI189" s="785"/>
      <c r="AJ189" s="786"/>
      <c r="AK189" s="786"/>
      <c r="AL189" s="568" t="s">
        <v>1327</v>
      </c>
      <c r="AM189" s="568" t="s">
        <v>1328</v>
      </c>
    </row>
    <row r="190" spans="1:39">
      <c r="A190" s="806" t="s">
        <v>1712</v>
      </c>
      <c r="B190" s="1880" t="s">
        <v>1713</v>
      </c>
      <c r="C190" s="1881"/>
      <c r="D190" s="1881"/>
      <c r="E190" s="1881"/>
      <c r="F190" s="1882"/>
      <c r="G190" s="785"/>
      <c r="H190" s="785"/>
      <c r="I190" s="785"/>
      <c r="J190" s="785">
        <f>371.997+385.275+75.46+24.14+45.49</f>
        <v>902.36199999999997</v>
      </c>
      <c r="K190" s="783"/>
      <c r="L190" s="780"/>
      <c r="M190" s="780"/>
      <c r="N190" s="780"/>
      <c r="O190" s="780"/>
      <c r="P190" s="780"/>
      <c r="Q190" s="780"/>
      <c r="R190" s="805"/>
      <c r="S190" s="780"/>
      <c r="T190" s="780"/>
      <c r="U190" s="780"/>
      <c r="V190" s="780"/>
      <c r="W190" s="784"/>
      <c r="X190" s="784"/>
      <c r="Y190" s="784"/>
      <c r="Z190" s="784"/>
      <c r="AA190" s="784"/>
      <c r="AB190" s="785"/>
      <c r="AC190" s="785"/>
      <c r="AD190" s="785"/>
      <c r="AE190" s="785"/>
      <c r="AF190" s="442"/>
      <c r="AG190" s="785"/>
      <c r="AH190" s="785"/>
      <c r="AI190" s="785"/>
      <c r="AJ190" s="786"/>
      <c r="AK190" s="786"/>
      <c r="AL190" s="568" t="s">
        <v>1327</v>
      </c>
      <c r="AM190" s="568" t="s">
        <v>1328</v>
      </c>
    </row>
    <row r="191" spans="1:39">
      <c r="A191" s="806" t="s">
        <v>1714</v>
      </c>
      <c r="B191" s="1880" t="s">
        <v>1715</v>
      </c>
      <c r="C191" s="1881"/>
      <c r="D191" s="1881"/>
      <c r="E191" s="1881"/>
      <c r="F191" s="1882"/>
      <c r="G191" s="785"/>
      <c r="H191" s="785"/>
      <c r="I191" s="785"/>
      <c r="J191" s="785">
        <v>9.3670000000000009</v>
      </c>
      <c r="K191" s="783"/>
      <c r="L191" s="780"/>
      <c r="M191" s="780"/>
      <c r="N191" s="780"/>
      <c r="O191" s="780"/>
      <c r="P191" s="780"/>
      <c r="Q191" s="780"/>
      <c r="R191" s="805"/>
      <c r="S191" s="780"/>
      <c r="T191" s="780"/>
      <c r="U191" s="780"/>
      <c r="V191" s="780"/>
      <c r="W191" s="784"/>
      <c r="X191" s="784"/>
      <c r="Y191" s="784"/>
      <c r="Z191" s="784"/>
      <c r="AA191" s="784"/>
      <c r="AB191" s="785"/>
      <c r="AC191" s="785"/>
      <c r="AD191" s="785"/>
      <c r="AE191" s="785"/>
      <c r="AF191" s="442"/>
      <c r="AG191" s="785"/>
      <c r="AH191" s="785"/>
      <c r="AI191" s="785"/>
      <c r="AJ191" s="786"/>
      <c r="AK191" s="786"/>
      <c r="AL191" s="568" t="s">
        <v>1327</v>
      </c>
      <c r="AM191" s="568" t="s">
        <v>1328</v>
      </c>
    </row>
    <row r="192" spans="1:39">
      <c r="A192" s="806" t="s">
        <v>1716</v>
      </c>
      <c r="B192" s="1880" t="s">
        <v>1717</v>
      </c>
      <c r="C192" s="1881"/>
      <c r="D192" s="1881"/>
      <c r="E192" s="1881"/>
      <c r="F192" s="1882"/>
      <c r="G192" s="785"/>
      <c r="H192" s="785"/>
      <c r="I192" s="785"/>
      <c r="J192" s="785">
        <v>67.463999999999999</v>
      </c>
      <c r="K192" s="783"/>
      <c r="L192" s="780"/>
      <c r="M192" s="780"/>
      <c r="N192" s="780"/>
      <c r="O192" s="780"/>
      <c r="P192" s="780"/>
      <c r="Q192" s="780"/>
      <c r="R192" s="805"/>
      <c r="S192" s="780"/>
      <c r="T192" s="780"/>
      <c r="U192" s="780"/>
      <c r="V192" s="780"/>
      <c r="W192" s="784"/>
      <c r="X192" s="784"/>
      <c r="Y192" s="784"/>
      <c r="Z192" s="784"/>
      <c r="AA192" s="784"/>
      <c r="AB192" s="785"/>
      <c r="AC192" s="785"/>
      <c r="AD192" s="785"/>
      <c r="AE192" s="785"/>
      <c r="AF192" s="442"/>
      <c r="AG192" s="785"/>
      <c r="AH192" s="785"/>
      <c r="AI192" s="785"/>
      <c r="AJ192" s="786"/>
      <c r="AK192" s="786"/>
      <c r="AL192" s="568" t="s">
        <v>1327</v>
      </c>
      <c r="AM192" s="568" t="s">
        <v>1328</v>
      </c>
    </row>
    <row r="193" spans="1:39">
      <c r="A193" s="806" t="s">
        <v>1718</v>
      </c>
      <c r="B193" s="1880" t="s">
        <v>1719</v>
      </c>
      <c r="C193" s="1881"/>
      <c r="D193" s="1881"/>
      <c r="E193" s="1881"/>
      <c r="F193" s="1882"/>
      <c r="G193" s="785"/>
      <c r="H193" s="785"/>
      <c r="I193" s="785"/>
      <c r="J193" s="785">
        <v>58.155999999999999</v>
      </c>
      <c r="K193" s="783"/>
      <c r="L193" s="780"/>
      <c r="M193" s="780"/>
      <c r="N193" s="780"/>
      <c r="O193" s="780"/>
      <c r="P193" s="780"/>
      <c r="Q193" s="780"/>
      <c r="R193" s="805"/>
      <c r="S193" s="780"/>
      <c r="T193" s="780"/>
      <c r="U193" s="780"/>
      <c r="V193" s="780"/>
      <c r="W193" s="784"/>
      <c r="X193" s="784"/>
      <c r="Y193" s="784"/>
      <c r="Z193" s="784"/>
      <c r="AA193" s="784"/>
      <c r="AB193" s="785"/>
      <c r="AC193" s="785"/>
      <c r="AD193" s="785"/>
      <c r="AE193" s="785"/>
      <c r="AF193" s="442"/>
      <c r="AG193" s="785"/>
      <c r="AH193" s="785"/>
      <c r="AI193" s="785"/>
      <c r="AJ193" s="786"/>
      <c r="AK193" s="786"/>
      <c r="AL193" s="568" t="s">
        <v>1327</v>
      </c>
      <c r="AM193" s="568" t="s">
        <v>1328</v>
      </c>
    </row>
    <row r="194" spans="1:39">
      <c r="A194" s="806" t="s">
        <v>1720</v>
      </c>
      <c r="B194" s="1880" t="s">
        <v>1721</v>
      </c>
      <c r="C194" s="1881"/>
      <c r="D194" s="1881"/>
      <c r="E194" s="1881"/>
      <c r="F194" s="1882"/>
      <c r="G194" s="785"/>
      <c r="H194" s="785"/>
      <c r="I194" s="785"/>
      <c r="J194" s="785">
        <v>33.590000000000003</v>
      </c>
      <c r="K194" s="783"/>
      <c r="L194" s="780"/>
      <c r="M194" s="780"/>
      <c r="N194" s="780"/>
      <c r="O194" s="780"/>
      <c r="P194" s="780"/>
      <c r="Q194" s="780"/>
      <c r="R194" s="805"/>
      <c r="S194" s="780"/>
      <c r="T194" s="780"/>
      <c r="U194" s="780"/>
      <c r="V194" s="780"/>
      <c r="W194" s="784"/>
      <c r="X194" s="784"/>
      <c r="Y194" s="784"/>
      <c r="Z194" s="784"/>
      <c r="AA194" s="784"/>
      <c r="AB194" s="785"/>
      <c r="AC194" s="785"/>
      <c r="AD194" s="785"/>
      <c r="AE194" s="785"/>
      <c r="AF194" s="442"/>
      <c r="AG194" s="785"/>
      <c r="AH194" s="785"/>
      <c r="AI194" s="785"/>
      <c r="AJ194" s="786"/>
      <c r="AK194" s="786"/>
      <c r="AL194" s="568" t="s">
        <v>1327</v>
      </c>
      <c r="AM194" s="568" t="s">
        <v>1328</v>
      </c>
    </row>
    <row r="195" spans="1:39">
      <c r="A195" s="806" t="s">
        <v>1722</v>
      </c>
      <c r="B195" s="1880" t="s">
        <v>1723</v>
      </c>
      <c r="C195" s="1881"/>
      <c r="D195" s="1881"/>
      <c r="E195" s="1881"/>
      <c r="F195" s="1882"/>
      <c r="G195" s="785"/>
      <c r="H195" s="785"/>
      <c r="I195" s="785"/>
      <c r="J195" s="785">
        <v>196.95599999999999</v>
      </c>
      <c r="K195" s="783"/>
      <c r="L195" s="780"/>
      <c r="M195" s="780"/>
      <c r="N195" s="780"/>
      <c r="O195" s="780"/>
      <c r="P195" s="780"/>
      <c r="Q195" s="780"/>
      <c r="R195" s="805"/>
      <c r="S195" s="780"/>
      <c r="T195" s="780"/>
      <c r="U195" s="780"/>
      <c r="V195" s="780"/>
      <c r="W195" s="784"/>
      <c r="X195" s="784"/>
      <c r="Y195" s="784"/>
      <c r="Z195" s="784"/>
      <c r="AA195" s="784"/>
      <c r="AB195" s="785"/>
      <c r="AC195" s="785"/>
      <c r="AD195" s="785"/>
      <c r="AE195" s="785"/>
      <c r="AF195" s="442"/>
      <c r="AG195" s="785"/>
      <c r="AH195" s="785"/>
      <c r="AI195" s="785"/>
      <c r="AJ195" s="786"/>
      <c r="AK195" s="786"/>
      <c r="AL195" s="568" t="s">
        <v>1327</v>
      </c>
      <c r="AM195" s="568" t="s">
        <v>1328</v>
      </c>
    </row>
    <row r="196" spans="1:39">
      <c r="A196" s="806" t="s">
        <v>1724</v>
      </c>
      <c r="B196" s="1880" t="s">
        <v>1725</v>
      </c>
      <c r="C196" s="1881"/>
      <c r="D196" s="1881"/>
      <c r="E196" s="1881"/>
      <c r="F196" s="1882"/>
      <c r="G196" s="785"/>
      <c r="H196" s="785"/>
      <c r="I196" s="785"/>
      <c r="J196" s="785">
        <v>36.901000000000003</v>
      </c>
      <c r="K196" s="783"/>
      <c r="L196" s="780"/>
      <c r="M196" s="780"/>
      <c r="N196" s="780"/>
      <c r="O196" s="780"/>
      <c r="P196" s="780"/>
      <c r="Q196" s="780"/>
      <c r="R196" s="805"/>
      <c r="S196" s="780"/>
      <c r="T196" s="780"/>
      <c r="U196" s="780"/>
      <c r="V196" s="780"/>
      <c r="W196" s="784"/>
      <c r="X196" s="784"/>
      <c r="Y196" s="784"/>
      <c r="Z196" s="784"/>
      <c r="AA196" s="784"/>
      <c r="AB196" s="785"/>
      <c r="AC196" s="785"/>
      <c r="AD196" s="785"/>
      <c r="AE196" s="785"/>
      <c r="AF196" s="442"/>
      <c r="AG196" s="785"/>
      <c r="AH196" s="785"/>
      <c r="AI196" s="785"/>
      <c r="AJ196" s="786"/>
      <c r="AK196" s="786"/>
      <c r="AL196" s="568" t="s">
        <v>1327</v>
      </c>
      <c r="AM196" s="568" t="s">
        <v>1328</v>
      </c>
    </row>
    <row r="197" spans="1:39">
      <c r="A197" s="806" t="s">
        <v>1726</v>
      </c>
      <c r="B197" s="1880" t="s">
        <v>1727</v>
      </c>
      <c r="C197" s="1881"/>
      <c r="D197" s="1881"/>
      <c r="E197" s="1881"/>
      <c r="F197" s="1882"/>
      <c r="G197" s="785"/>
      <c r="H197" s="785"/>
      <c r="I197" s="785"/>
      <c r="J197" s="785">
        <v>10.002000000000001</v>
      </c>
      <c r="K197" s="783"/>
      <c r="L197" s="780"/>
      <c r="M197" s="780"/>
      <c r="N197" s="780"/>
      <c r="O197" s="780"/>
      <c r="P197" s="780"/>
      <c r="Q197" s="780"/>
      <c r="R197" s="805"/>
      <c r="S197" s="780"/>
      <c r="T197" s="780"/>
      <c r="U197" s="780"/>
      <c r="V197" s="780"/>
      <c r="W197" s="784"/>
      <c r="X197" s="784"/>
      <c r="Y197" s="784"/>
      <c r="Z197" s="784"/>
      <c r="AA197" s="784"/>
      <c r="AB197" s="785"/>
      <c r="AC197" s="785"/>
      <c r="AD197" s="785"/>
      <c r="AE197" s="785"/>
      <c r="AF197" s="442"/>
      <c r="AG197" s="785"/>
      <c r="AH197" s="785"/>
      <c r="AI197" s="785"/>
      <c r="AJ197" s="786"/>
      <c r="AK197" s="786"/>
      <c r="AL197" s="568" t="s">
        <v>1327</v>
      </c>
      <c r="AM197" s="568" t="s">
        <v>1328</v>
      </c>
    </row>
    <row r="198" spans="1:39">
      <c r="A198" s="806" t="s">
        <v>1728</v>
      </c>
      <c r="B198" s="1880" t="s">
        <v>1729</v>
      </c>
      <c r="C198" s="1881"/>
      <c r="D198" s="1881"/>
      <c r="E198" s="1881"/>
      <c r="F198" s="1882"/>
      <c r="G198" s="785"/>
      <c r="H198" s="785"/>
      <c r="I198" s="785"/>
      <c r="J198" s="785">
        <v>25.05</v>
      </c>
      <c r="K198" s="783"/>
      <c r="L198" s="780"/>
      <c r="M198" s="780"/>
      <c r="N198" s="780"/>
      <c r="O198" s="780"/>
      <c r="P198" s="780"/>
      <c r="Q198" s="780"/>
      <c r="R198" s="805"/>
      <c r="S198" s="780"/>
      <c r="T198" s="780"/>
      <c r="U198" s="780"/>
      <c r="V198" s="780"/>
      <c r="W198" s="784"/>
      <c r="X198" s="784"/>
      <c r="Y198" s="784"/>
      <c r="Z198" s="784"/>
      <c r="AA198" s="784"/>
      <c r="AB198" s="785"/>
      <c r="AC198" s="785"/>
      <c r="AD198" s="785"/>
      <c r="AE198" s="785"/>
      <c r="AF198" s="442"/>
      <c r="AG198" s="785"/>
      <c r="AH198" s="785"/>
      <c r="AI198" s="785"/>
      <c r="AJ198" s="786"/>
      <c r="AK198" s="786"/>
      <c r="AL198" s="568" t="s">
        <v>1327</v>
      </c>
      <c r="AM198" s="568" t="s">
        <v>1328</v>
      </c>
    </row>
    <row r="199" spans="1:39">
      <c r="A199" s="806" t="s">
        <v>1730</v>
      </c>
      <c r="B199" s="1880" t="s">
        <v>1731</v>
      </c>
      <c r="C199" s="1881"/>
      <c r="D199" s="1881"/>
      <c r="E199" s="1881"/>
      <c r="F199" s="1882"/>
      <c r="G199" s="785"/>
      <c r="H199" s="785"/>
      <c r="I199" s="785"/>
      <c r="J199" s="785">
        <v>17.471</v>
      </c>
      <c r="K199" s="783"/>
      <c r="L199" s="780"/>
      <c r="M199" s="780"/>
      <c r="N199" s="780"/>
      <c r="O199" s="780"/>
      <c r="P199" s="780"/>
      <c r="Q199" s="780"/>
      <c r="R199" s="805"/>
      <c r="S199" s="780"/>
      <c r="T199" s="780"/>
      <c r="U199" s="780"/>
      <c r="V199" s="780"/>
      <c r="W199" s="784"/>
      <c r="X199" s="784"/>
      <c r="Y199" s="784"/>
      <c r="Z199" s="784"/>
      <c r="AA199" s="784"/>
      <c r="AB199" s="785"/>
      <c r="AC199" s="785"/>
      <c r="AD199" s="785"/>
      <c r="AE199" s="785"/>
      <c r="AF199" s="442"/>
      <c r="AG199" s="785"/>
      <c r="AH199" s="785"/>
      <c r="AI199" s="785"/>
      <c r="AJ199" s="786"/>
      <c r="AK199" s="786"/>
      <c r="AL199" s="568" t="s">
        <v>1327</v>
      </c>
      <c r="AM199" s="568" t="s">
        <v>1328</v>
      </c>
    </row>
    <row r="200" spans="1:39">
      <c r="A200" s="806" t="s">
        <v>1732</v>
      </c>
      <c r="B200" s="1880" t="s">
        <v>1733</v>
      </c>
      <c r="C200" s="1881"/>
      <c r="D200" s="1881"/>
      <c r="E200" s="1881"/>
      <c r="F200" s="1882"/>
      <c r="G200" s="785"/>
      <c r="H200" s="785"/>
      <c r="I200" s="785"/>
      <c r="J200" s="785">
        <v>3.08</v>
      </c>
      <c r="K200" s="783"/>
      <c r="L200" s="780"/>
      <c r="M200" s="780"/>
      <c r="N200" s="780"/>
      <c r="O200" s="780"/>
      <c r="P200" s="780"/>
      <c r="Q200" s="780"/>
      <c r="R200" s="805"/>
      <c r="S200" s="780"/>
      <c r="T200" s="780"/>
      <c r="U200" s="780"/>
      <c r="V200" s="780"/>
      <c r="W200" s="784"/>
      <c r="X200" s="784"/>
      <c r="Y200" s="784"/>
      <c r="Z200" s="784"/>
      <c r="AA200" s="784"/>
      <c r="AB200" s="785"/>
      <c r="AC200" s="785"/>
      <c r="AD200" s="785"/>
      <c r="AE200" s="785"/>
      <c r="AF200" s="442"/>
      <c r="AG200" s="785"/>
      <c r="AH200" s="785"/>
      <c r="AI200" s="785"/>
      <c r="AJ200" s="786"/>
      <c r="AK200" s="786"/>
      <c r="AL200" s="568" t="s">
        <v>1327</v>
      </c>
      <c r="AM200" s="568" t="s">
        <v>1328</v>
      </c>
    </row>
    <row r="201" spans="1:39">
      <c r="A201" s="806" t="s">
        <v>1734</v>
      </c>
      <c r="B201" s="1880" t="s">
        <v>1735</v>
      </c>
      <c r="C201" s="1881"/>
      <c r="D201" s="1881"/>
      <c r="E201" s="1881"/>
      <c r="F201" s="1882"/>
      <c r="G201" s="785"/>
      <c r="H201" s="785"/>
      <c r="I201" s="785"/>
      <c r="J201" s="785">
        <f>SUM(K201:AM201)</f>
        <v>653.447</v>
      </c>
      <c r="K201" s="783"/>
      <c r="L201" s="780"/>
      <c r="M201" s="780"/>
      <c r="N201" s="780"/>
      <c r="O201" s="780"/>
      <c r="P201" s="780"/>
      <c r="Q201" s="780"/>
      <c r="R201" s="805"/>
      <c r="S201" s="780"/>
      <c r="T201" s="780"/>
      <c r="U201" s="780"/>
      <c r="V201" s="780"/>
      <c r="W201" s="784"/>
      <c r="X201" s="784"/>
      <c r="Y201" s="784"/>
      <c r="Z201" s="784"/>
      <c r="AA201" s="784"/>
      <c r="AB201" s="785"/>
      <c r="AC201" s="785"/>
      <c r="AD201" s="785"/>
      <c r="AE201" s="785"/>
      <c r="AF201" s="442">
        <v>653.447</v>
      </c>
      <c r="AG201" s="785"/>
      <c r="AH201" s="785"/>
      <c r="AI201" s="785"/>
      <c r="AJ201" s="786"/>
      <c r="AK201" s="786"/>
      <c r="AL201" s="568" t="s">
        <v>1327</v>
      </c>
      <c r="AM201" s="568" t="s">
        <v>1328</v>
      </c>
    </row>
    <row r="202" spans="1:39">
      <c r="A202" s="1889" t="s">
        <v>134</v>
      </c>
      <c r="B202" s="1890"/>
      <c r="C202" s="1890"/>
      <c r="D202" s="1890"/>
      <c r="E202" s="1890"/>
      <c r="F202" s="1891"/>
      <c r="G202" s="442">
        <f>SUM(G203:G221)</f>
        <v>8441.2000000000007</v>
      </c>
      <c r="H202" s="785"/>
      <c r="I202" s="442">
        <f>SUM(I203:I221)</f>
        <v>7153.5593220338978</v>
      </c>
      <c r="J202" s="442">
        <f>SUM(J203:J221)</f>
        <v>1931.8600000000001</v>
      </c>
      <c r="K202" s="783"/>
      <c r="L202" s="780"/>
      <c r="M202" s="780"/>
      <c r="N202" s="780"/>
      <c r="O202" s="780"/>
      <c r="P202" s="780"/>
      <c r="Q202" s="780"/>
      <c r="R202" s="805"/>
      <c r="S202" s="780"/>
      <c r="T202" s="780"/>
      <c r="U202" s="780"/>
      <c r="V202" s="780"/>
      <c r="W202" s="784"/>
      <c r="X202" s="784"/>
      <c r="Y202" s="784"/>
      <c r="Z202" s="784"/>
      <c r="AA202" s="784"/>
      <c r="AB202" s="785"/>
      <c r="AC202" s="785"/>
      <c r="AD202" s="785"/>
      <c r="AE202" s="785"/>
      <c r="AF202" s="442"/>
      <c r="AG202" s="785"/>
      <c r="AH202" s="785"/>
      <c r="AI202" s="785"/>
      <c r="AJ202" s="786"/>
      <c r="AK202" s="786"/>
      <c r="AL202" s="775"/>
      <c r="AM202" s="568"/>
    </row>
    <row r="203" spans="1:39">
      <c r="A203" s="806" t="s">
        <v>259</v>
      </c>
      <c r="B203" s="1892" t="s">
        <v>1736</v>
      </c>
      <c r="C203" s="1892"/>
      <c r="D203" s="1892"/>
      <c r="E203" s="1892"/>
      <c r="F203" s="1892"/>
      <c r="G203" s="776">
        <v>4000</v>
      </c>
      <c r="H203" s="776">
        <v>1.18</v>
      </c>
      <c r="I203" s="805">
        <f t="shared" ref="I203:I216" si="5">G203/H203</f>
        <v>3389.8305084745766</v>
      </c>
      <c r="J203" s="463"/>
      <c r="K203" s="783"/>
      <c r="L203" s="780"/>
      <c r="M203" s="780"/>
      <c r="N203" s="780"/>
      <c r="O203" s="780"/>
      <c r="P203" s="780"/>
      <c r="Q203" s="780"/>
      <c r="R203" s="805"/>
      <c r="S203" s="780"/>
      <c r="T203" s="780"/>
      <c r="U203" s="780"/>
      <c r="V203" s="780"/>
      <c r="W203" s="784"/>
      <c r="X203" s="784"/>
      <c r="Y203" s="784"/>
      <c r="Z203" s="784"/>
      <c r="AA203" s="784"/>
      <c r="AB203" s="785"/>
      <c r="AC203" s="785"/>
      <c r="AD203" s="785"/>
      <c r="AE203" s="785"/>
      <c r="AF203" s="442"/>
      <c r="AG203" s="785"/>
      <c r="AH203" s="785"/>
      <c r="AI203" s="785"/>
      <c r="AJ203" s="786"/>
      <c r="AK203" s="786"/>
      <c r="AL203" s="568" t="s">
        <v>1327</v>
      </c>
      <c r="AM203" s="568" t="s">
        <v>1328</v>
      </c>
    </row>
    <row r="204" spans="1:39">
      <c r="A204" s="806" t="s">
        <v>260</v>
      </c>
      <c r="B204" s="1892" t="s">
        <v>1737</v>
      </c>
      <c r="C204" s="1892"/>
      <c r="D204" s="1892"/>
      <c r="E204" s="1892"/>
      <c r="F204" s="1892"/>
      <c r="G204" s="776">
        <v>831.56</v>
      </c>
      <c r="H204" s="776">
        <v>1.18</v>
      </c>
      <c r="I204" s="805">
        <f t="shared" si="5"/>
        <v>704.71186440677968</v>
      </c>
      <c r="J204" s="776">
        <v>479.52</v>
      </c>
      <c r="K204" s="783"/>
      <c r="L204" s="780"/>
      <c r="M204" s="780"/>
      <c r="N204" s="780"/>
      <c r="O204" s="780"/>
      <c r="P204" s="780"/>
      <c r="Q204" s="780"/>
      <c r="R204" s="805"/>
      <c r="S204" s="780"/>
      <c r="T204" s="780"/>
      <c r="U204" s="780"/>
      <c r="V204" s="780"/>
      <c r="W204" s="784"/>
      <c r="X204" s="784"/>
      <c r="Y204" s="784"/>
      <c r="Z204" s="784"/>
      <c r="AA204" s="784"/>
      <c r="AB204" s="785"/>
      <c r="AC204" s="785"/>
      <c r="AD204" s="785"/>
      <c r="AE204" s="785"/>
      <c r="AF204" s="442"/>
      <c r="AG204" s="785"/>
      <c r="AH204" s="785"/>
      <c r="AI204" s="785"/>
      <c r="AJ204" s="786"/>
      <c r="AK204" s="786"/>
      <c r="AL204" s="568" t="s">
        <v>1327</v>
      </c>
      <c r="AM204" s="568" t="s">
        <v>1328</v>
      </c>
    </row>
    <row r="205" spans="1:39">
      <c r="A205" s="806" t="s">
        <v>261</v>
      </c>
      <c r="B205" s="1892" t="s">
        <v>1364</v>
      </c>
      <c r="C205" s="1892"/>
      <c r="D205" s="1892"/>
      <c r="E205" s="1892"/>
      <c r="F205" s="1892"/>
      <c r="G205" s="776">
        <v>235</v>
      </c>
      <c r="H205" s="776">
        <v>1.18</v>
      </c>
      <c r="I205" s="805">
        <f t="shared" si="5"/>
        <v>199.15254237288136</v>
      </c>
      <c r="J205" s="776">
        <v>300</v>
      </c>
      <c r="K205" s="783"/>
      <c r="L205" s="780"/>
      <c r="M205" s="780"/>
      <c r="N205" s="780"/>
      <c r="O205" s="780"/>
      <c r="P205" s="780"/>
      <c r="Q205" s="780"/>
      <c r="R205" s="805"/>
      <c r="S205" s="780"/>
      <c r="T205" s="780"/>
      <c r="U205" s="780"/>
      <c r="V205" s="780"/>
      <c r="W205" s="784"/>
      <c r="X205" s="784"/>
      <c r="Y205" s="784"/>
      <c r="Z205" s="784"/>
      <c r="AA205" s="784"/>
      <c r="AB205" s="785"/>
      <c r="AC205" s="785"/>
      <c r="AD205" s="785"/>
      <c r="AE205" s="785"/>
      <c r="AF205" s="442"/>
      <c r="AG205" s="785"/>
      <c r="AH205" s="785"/>
      <c r="AI205" s="785"/>
      <c r="AJ205" s="786"/>
      <c r="AK205" s="786"/>
      <c r="AL205" s="568" t="s">
        <v>1327</v>
      </c>
      <c r="AM205" s="568" t="s">
        <v>1328</v>
      </c>
    </row>
    <row r="206" spans="1:39">
      <c r="A206" s="806" t="s">
        <v>262</v>
      </c>
      <c r="B206" s="1892" t="s">
        <v>1738</v>
      </c>
      <c r="C206" s="1892"/>
      <c r="D206" s="1892"/>
      <c r="E206" s="1892"/>
      <c r="F206" s="1892"/>
      <c r="G206" s="816">
        <v>197</v>
      </c>
      <c r="H206" s="776">
        <v>1.18</v>
      </c>
      <c r="I206" s="805">
        <f t="shared" si="5"/>
        <v>166.9491525423729</v>
      </c>
      <c r="J206" s="816">
        <v>197</v>
      </c>
      <c r="K206" s="783"/>
      <c r="L206" s="780"/>
      <c r="M206" s="780"/>
      <c r="N206" s="780"/>
      <c r="O206" s="780"/>
      <c r="P206" s="780"/>
      <c r="Q206" s="780"/>
      <c r="R206" s="805"/>
      <c r="S206" s="780"/>
      <c r="T206" s="780"/>
      <c r="U206" s="780"/>
      <c r="V206" s="780"/>
      <c r="W206" s="784"/>
      <c r="X206" s="784"/>
      <c r="Y206" s="784"/>
      <c r="Z206" s="784"/>
      <c r="AA206" s="784"/>
      <c r="AB206" s="785"/>
      <c r="AC206" s="785"/>
      <c r="AD206" s="785"/>
      <c r="AE206" s="785"/>
      <c r="AF206" s="442"/>
      <c r="AG206" s="785"/>
      <c r="AH206" s="785"/>
      <c r="AI206" s="785"/>
      <c r="AJ206" s="786"/>
      <c r="AK206" s="786"/>
      <c r="AL206" s="568" t="s">
        <v>1327</v>
      </c>
      <c r="AM206" s="568" t="s">
        <v>1328</v>
      </c>
    </row>
    <row r="207" spans="1:39">
      <c r="A207" s="806" t="s">
        <v>263</v>
      </c>
      <c r="B207" s="1892" t="s">
        <v>1739</v>
      </c>
      <c r="C207" s="1892"/>
      <c r="D207" s="1892"/>
      <c r="E207" s="1892"/>
      <c r="F207" s="1892"/>
      <c r="G207" s="816">
        <v>510</v>
      </c>
      <c r="H207" s="776">
        <v>1.18</v>
      </c>
      <c r="I207" s="805">
        <f t="shared" si="5"/>
        <v>432.20338983050851</v>
      </c>
      <c r="J207" s="816">
        <v>510</v>
      </c>
      <c r="K207" s="783"/>
      <c r="L207" s="780"/>
      <c r="M207" s="780"/>
      <c r="N207" s="780"/>
      <c r="O207" s="780"/>
      <c r="P207" s="780"/>
      <c r="Q207" s="780"/>
      <c r="R207" s="805"/>
      <c r="S207" s="780"/>
      <c r="T207" s="780"/>
      <c r="U207" s="780"/>
      <c r="V207" s="780"/>
      <c r="W207" s="784"/>
      <c r="X207" s="784"/>
      <c r="Y207" s="784"/>
      <c r="Z207" s="784"/>
      <c r="AA207" s="784"/>
      <c r="AB207" s="785"/>
      <c r="AC207" s="785"/>
      <c r="AD207" s="785"/>
      <c r="AE207" s="785"/>
      <c r="AF207" s="442"/>
      <c r="AG207" s="785"/>
      <c r="AH207" s="785"/>
      <c r="AI207" s="785"/>
      <c r="AJ207" s="786"/>
      <c r="AK207" s="786"/>
      <c r="AL207" s="568" t="s">
        <v>1327</v>
      </c>
      <c r="AM207" s="568" t="s">
        <v>1328</v>
      </c>
    </row>
    <row r="208" spans="1:39">
      <c r="A208" s="806" t="s">
        <v>264</v>
      </c>
      <c r="B208" s="1240" t="s">
        <v>1740</v>
      </c>
      <c r="C208" s="1241"/>
      <c r="D208" s="1241"/>
      <c r="E208" s="1241"/>
      <c r="F208" s="1242"/>
      <c r="G208" s="816">
        <v>187.5</v>
      </c>
      <c r="H208" s="776">
        <v>1.18</v>
      </c>
      <c r="I208" s="805">
        <f t="shared" si="5"/>
        <v>158.89830508474577</v>
      </c>
      <c r="J208" s="816">
        <v>74.5</v>
      </c>
      <c r="K208" s="783"/>
      <c r="L208" s="780"/>
      <c r="M208" s="780"/>
      <c r="N208" s="780"/>
      <c r="O208" s="780"/>
      <c r="P208" s="780"/>
      <c r="Q208" s="780"/>
      <c r="R208" s="805"/>
      <c r="S208" s="780"/>
      <c r="T208" s="780"/>
      <c r="U208" s="780"/>
      <c r="V208" s="780"/>
      <c r="W208" s="784"/>
      <c r="X208" s="784"/>
      <c r="Y208" s="784"/>
      <c r="Z208" s="784"/>
      <c r="AA208" s="784"/>
      <c r="AB208" s="785"/>
      <c r="AC208" s="785"/>
      <c r="AD208" s="785"/>
      <c r="AE208" s="785"/>
      <c r="AF208" s="442"/>
      <c r="AG208" s="785"/>
      <c r="AH208" s="785"/>
      <c r="AI208" s="785"/>
      <c r="AJ208" s="786"/>
      <c r="AK208" s="786"/>
      <c r="AL208" s="568" t="s">
        <v>1327</v>
      </c>
      <c r="AM208" s="568" t="s">
        <v>1328</v>
      </c>
    </row>
    <row r="209" spans="1:39">
      <c r="A209" s="806" t="s">
        <v>265</v>
      </c>
      <c r="B209" s="1240" t="s">
        <v>1741</v>
      </c>
      <c r="C209" s="1241"/>
      <c r="D209" s="1241"/>
      <c r="E209" s="1241"/>
      <c r="F209" s="1242"/>
      <c r="G209" s="776">
        <v>70.8</v>
      </c>
      <c r="H209" s="776">
        <v>1.18</v>
      </c>
      <c r="I209" s="805">
        <f t="shared" si="5"/>
        <v>60</v>
      </c>
      <c r="J209" s="776">
        <v>60</v>
      </c>
      <c r="K209" s="783"/>
      <c r="L209" s="780"/>
      <c r="M209" s="780"/>
      <c r="N209" s="780"/>
      <c r="O209" s="780"/>
      <c r="P209" s="780"/>
      <c r="Q209" s="780"/>
      <c r="R209" s="805"/>
      <c r="S209" s="780"/>
      <c r="T209" s="780"/>
      <c r="U209" s="780"/>
      <c r="V209" s="780"/>
      <c r="W209" s="784"/>
      <c r="X209" s="784"/>
      <c r="Y209" s="784"/>
      <c r="Z209" s="784"/>
      <c r="AA209" s="784"/>
      <c r="AB209" s="785"/>
      <c r="AC209" s="785"/>
      <c r="AD209" s="785"/>
      <c r="AE209" s="785"/>
      <c r="AF209" s="442"/>
      <c r="AG209" s="785"/>
      <c r="AH209" s="785"/>
      <c r="AI209" s="785"/>
      <c r="AJ209" s="786"/>
      <c r="AK209" s="786"/>
      <c r="AL209" s="568" t="s">
        <v>1327</v>
      </c>
      <c r="AM209" s="568" t="s">
        <v>1328</v>
      </c>
    </row>
    <row r="210" spans="1:39">
      <c r="A210" s="806" t="s">
        <v>266</v>
      </c>
      <c r="B210" s="1240" t="s">
        <v>1742</v>
      </c>
      <c r="C210" s="1241"/>
      <c r="D210" s="1241"/>
      <c r="E210" s="1241"/>
      <c r="F210" s="1242"/>
      <c r="G210" s="776">
        <v>30</v>
      </c>
      <c r="H210" s="776">
        <v>1.18</v>
      </c>
      <c r="I210" s="805">
        <f t="shared" si="5"/>
        <v>25.423728813559322</v>
      </c>
      <c r="J210" s="776">
        <v>15</v>
      </c>
      <c r="K210" s="783"/>
      <c r="L210" s="780"/>
      <c r="M210" s="780"/>
      <c r="N210" s="780"/>
      <c r="O210" s="780"/>
      <c r="P210" s="780"/>
      <c r="Q210" s="780"/>
      <c r="R210" s="805"/>
      <c r="S210" s="780"/>
      <c r="T210" s="780"/>
      <c r="U210" s="780"/>
      <c r="V210" s="780"/>
      <c r="W210" s="784"/>
      <c r="X210" s="784"/>
      <c r="Y210" s="784"/>
      <c r="Z210" s="784"/>
      <c r="AA210" s="784"/>
      <c r="AB210" s="785"/>
      <c r="AC210" s="785"/>
      <c r="AD210" s="785"/>
      <c r="AE210" s="785"/>
      <c r="AF210" s="442"/>
      <c r="AG210" s="785"/>
      <c r="AH210" s="785"/>
      <c r="AI210" s="785"/>
      <c r="AJ210" s="786"/>
      <c r="AK210" s="786"/>
      <c r="AL210" s="568" t="s">
        <v>1327</v>
      </c>
      <c r="AM210" s="568" t="s">
        <v>1328</v>
      </c>
    </row>
    <row r="211" spans="1:39">
      <c r="A211" s="806" t="s">
        <v>267</v>
      </c>
      <c r="B211" s="1240" t="s">
        <v>417</v>
      </c>
      <c r="C211" s="1241"/>
      <c r="D211" s="1241"/>
      <c r="E211" s="1241"/>
      <c r="F211" s="1242"/>
      <c r="G211" s="817">
        <v>890</v>
      </c>
      <c r="H211" s="776">
        <v>1.18</v>
      </c>
      <c r="I211" s="805">
        <f t="shared" si="5"/>
        <v>754.2372881355933</v>
      </c>
      <c r="J211" s="817"/>
      <c r="K211" s="783"/>
      <c r="L211" s="780"/>
      <c r="M211" s="780"/>
      <c r="N211" s="780"/>
      <c r="O211" s="780"/>
      <c r="P211" s="780"/>
      <c r="Q211" s="780"/>
      <c r="R211" s="805"/>
      <c r="S211" s="780"/>
      <c r="T211" s="780"/>
      <c r="U211" s="780"/>
      <c r="V211" s="780"/>
      <c r="W211" s="784"/>
      <c r="X211" s="784"/>
      <c r="Y211" s="784"/>
      <c r="Z211" s="784"/>
      <c r="AA211" s="784"/>
      <c r="AB211" s="785"/>
      <c r="AC211" s="785"/>
      <c r="AD211" s="785"/>
      <c r="AE211" s="785"/>
      <c r="AF211" s="442"/>
      <c r="AG211" s="785"/>
      <c r="AH211" s="785"/>
      <c r="AI211" s="785"/>
      <c r="AJ211" s="786"/>
      <c r="AK211" s="786"/>
      <c r="AL211" s="568" t="s">
        <v>1327</v>
      </c>
      <c r="AM211" s="568" t="s">
        <v>1328</v>
      </c>
    </row>
    <row r="212" spans="1:39">
      <c r="A212" s="806" t="s">
        <v>268</v>
      </c>
      <c r="B212" s="1240" t="s">
        <v>1743</v>
      </c>
      <c r="C212" s="1241"/>
      <c r="D212" s="1241"/>
      <c r="E212" s="1241"/>
      <c r="F212" s="1242"/>
      <c r="G212" s="817">
        <v>360.34</v>
      </c>
      <c r="H212" s="776">
        <v>1.18</v>
      </c>
      <c r="I212" s="805">
        <f t="shared" si="5"/>
        <v>305.37288135593218</v>
      </c>
      <c r="J212" s="817"/>
      <c r="K212" s="783"/>
      <c r="L212" s="780"/>
      <c r="M212" s="780"/>
      <c r="N212" s="780"/>
      <c r="O212" s="780"/>
      <c r="P212" s="780"/>
      <c r="Q212" s="780"/>
      <c r="R212" s="805"/>
      <c r="S212" s="780"/>
      <c r="T212" s="780"/>
      <c r="U212" s="780"/>
      <c r="V212" s="780"/>
      <c r="W212" s="784"/>
      <c r="X212" s="784"/>
      <c r="Y212" s="784"/>
      <c r="Z212" s="784"/>
      <c r="AA212" s="784"/>
      <c r="AB212" s="785"/>
      <c r="AC212" s="785"/>
      <c r="AD212" s="785"/>
      <c r="AE212" s="785"/>
      <c r="AF212" s="442"/>
      <c r="AG212" s="785"/>
      <c r="AH212" s="785"/>
      <c r="AI212" s="785"/>
      <c r="AJ212" s="786"/>
      <c r="AK212" s="786"/>
      <c r="AL212" s="568" t="s">
        <v>1327</v>
      </c>
      <c r="AM212" s="568" t="s">
        <v>1328</v>
      </c>
    </row>
    <row r="213" spans="1:39">
      <c r="A213" s="806" t="s">
        <v>269</v>
      </c>
      <c r="B213" s="1240" t="s">
        <v>1370</v>
      </c>
      <c r="C213" s="1241"/>
      <c r="D213" s="1241"/>
      <c r="E213" s="1241"/>
      <c r="F213" s="1242"/>
      <c r="G213" s="817">
        <v>15</v>
      </c>
      <c r="H213" s="776">
        <v>1.18</v>
      </c>
      <c r="I213" s="805">
        <f t="shared" si="5"/>
        <v>12.711864406779661</v>
      </c>
      <c r="J213" s="817"/>
      <c r="K213" s="783"/>
      <c r="L213" s="780"/>
      <c r="M213" s="780"/>
      <c r="N213" s="780"/>
      <c r="O213" s="780"/>
      <c r="P213" s="780"/>
      <c r="Q213" s="780"/>
      <c r="R213" s="805"/>
      <c r="S213" s="780"/>
      <c r="T213" s="780"/>
      <c r="U213" s="780"/>
      <c r="V213" s="780"/>
      <c r="W213" s="784"/>
      <c r="X213" s="784"/>
      <c r="Y213" s="784"/>
      <c r="Z213" s="784"/>
      <c r="AA213" s="784"/>
      <c r="AB213" s="785"/>
      <c r="AC213" s="785"/>
      <c r="AD213" s="785"/>
      <c r="AE213" s="785"/>
      <c r="AF213" s="442"/>
      <c r="AG213" s="785"/>
      <c r="AH213" s="785"/>
      <c r="AI213" s="785"/>
      <c r="AJ213" s="786"/>
      <c r="AK213" s="786"/>
      <c r="AL213" s="568" t="s">
        <v>1327</v>
      </c>
      <c r="AM213" s="568" t="s">
        <v>1328</v>
      </c>
    </row>
    <row r="214" spans="1:39">
      <c r="A214" s="806" t="s">
        <v>1298</v>
      </c>
      <c r="B214" s="1240" t="s">
        <v>1744</v>
      </c>
      <c r="C214" s="1241"/>
      <c r="D214" s="1241"/>
      <c r="E214" s="1241"/>
      <c r="F214" s="1242"/>
      <c r="G214" s="817">
        <v>1100</v>
      </c>
      <c r="H214" s="776">
        <v>1.18</v>
      </c>
      <c r="I214" s="805">
        <f t="shared" si="5"/>
        <v>932.20338983050851</v>
      </c>
      <c r="J214" s="817"/>
      <c r="K214" s="783"/>
      <c r="L214" s="780"/>
      <c r="M214" s="780"/>
      <c r="N214" s="780"/>
      <c r="O214" s="780"/>
      <c r="P214" s="780"/>
      <c r="Q214" s="780"/>
      <c r="R214" s="805"/>
      <c r="S214" s="780"/>
      <c r="T214" s="780"/>
      <c r="U214" s="780"/>
      <c r="V214" s="780"/>
      <c r="W214" s="784"/>
      <c r="X214" s="784"/>
      <c r="Y214" s="784"/>
      <c r="Z214" s="784"/>
      <c r="AA214" s="784"/>
      <c r="AB214" s="785"/>
      <c r="AC214" s="785"/>
      <c r="AD214" s="785"/>
      <c r="AE214" s="785"/>
      <c r="AF214" s="442"/>
      <c r="AG214" s="785"/>
      <c r="AH214" s="785"/>
      <c r="AI214" s="785"/>
      <c r="AJ214" s="786"/>
      <c r="AK214" s="786"/>
      <c r="AL214" s="568" t="s">
        <v>1327</v>
      </c>
      <c r="AM214" s="568" t="s">
        <v>1328</v>
      </c>
    </row>
    <row r="215" spans="1:39">
      <c r="A215" s="806" t="s">
        <v>1299</v>
      </c>
      <c r="B215" s="1240" t="s">
        <v>1372</v>
      </c>
      <c r="C215" s="1241"/>
      <c r="D215" s="1241"/>
      <c r="E215" s="1241"/>
      <c r="F215" s="1242"/>
      <c r="G215" s="817">
        <v>10</v>
      </c>
      <c r="H215" s="776">
        <v>1.18</v>
      </c>
      <c r="I215" s="805">
        <f t="shared" si="5"/>
        <v>8.4745762711864412</v>
      </c>
      <c r="J215" s="817">
        <v>10</v>
      </c>
      <c r="K215" s="783"/>
      <c r="L215" s="780"/>
      <c r="M215" s="780"/>
      <c r="N215" s="780"/>
      <c r="O215" s="780"/>
      <c r="P215" s="780"/>
      <c r="Q215" s="780"/>
      <c r="R215" s="805"/>
      <c r="S215" s="780"/>
      <c r="T215" s="780"/>
      <c r="U215" s="780"/>
      <c r="V215" s="780"/>
      <c r="W215" s="784"/>
      <c r="X215" s="784"/>
      <c r="Y215" s="784"/>
      <c r="Z215" s="784"/>
      <c r="AA215" s="784"/>
      <c r="AB215" s="785"/>
      <c r="AC215" s="785"/>
      <c r="AD215" s="785"/>
      <c r="AE215" s="785"/>
      <c r="AF215" s="442"/>
      <c r="AG215" s="785"/>
      <c r="AH215" s="785"/>
      <c r="AI215" s="785"/>
      <c r="AJ215" s="786"/>
      <c r="AK215" s="786"/>
      <c r="AL215" s="568" t="s">
        <v>1327</v>
      </c>
      <c r="AM215" s="568" t="s">
        <v>1328</v>
      </c>
    </row>
    <row r="216" spans="1:39">
      <c r="A216" s="806" t="s">
        <v>1376</v>
      </c>
      <c r="B216" s="1240" t="s">
        <v>1373</v>
      </c>
      <c r="C216" s="1241"/>
      <c r="D216" s="1241"/>
      <c r="E216" s="1241"/>
      <c r="F216" s="1242"/>
      <c r="G216" s="817">
        <v>4</v>
      </c>
      <c r="H216" s="776">
        <v>1.18</v>
      </c>
      <c r="I216" s="805">
        <f t="shared" si="5"/>
        <v>3.3898305084745766</v>
      </c>
      <c r="J216" s="817">
        <v>2.95</v>
      </c>
      <c r="K216" s="783"/>
      <c r="L216" s="780"/>
      <c r="M216" s="780"/>
      <c r="N216" s="780"/>
      <c r="O216" s="780"/>
      <c r="P216" s="780"/>
      <c r="Q216" s="780"/>
      <c r="R216" s="805"/>
      <c r="S216" s="780"/>
      <c r="T216" s="780"/>
      <c r="U216" s="780"/>
      <c r="V216" s="780"/>
      <c r="W216" s="784"/>
      <c r="X216" s="784"/>
      <c r="Y216" s="784"/>
      <c r="Z216" s="784"/>
      <c r="AA216" s="784"/>
      <c r="AB216" s="785"/>
      <c r="AC216" s="785"/>
      <c r="AD216" s="785"/>
      <c r="AE216" s="785"/>
      <c r="AF216" s="442"/>
      <c r="AG216" s="785"/>
      <c r="AH216" s="785"/>
      <c r="AI216" s="785"/>
      <c r="AJ216" s="786"/>
      <c r="AK216" s="786"/>
      <c r="AL216" s="568" t="s">
        <v>1327</v>
      </c>
      <c r="AM216" s="568" t="s">
        <v>1328</v>
      </c>
    </row>
    <row r="217" spans="1:39">
      <c r="A217" s="806" t="s">
        <v>1377</v>
      </c>
      <c r="B217" s="1883" t="s">
        <v>1745</v>
      </c>
      <c r="C217" s="1884"/>
      <c r="D217" s="1884"/>
      <c r="E217" s="1884"/>
      <c r="F217" s="1885"/>
      <c r="G217" s="463"/>
      <c r="H217" s="785"/>
      <c r="I217" s="785"/>
      <c r="J217" s="817">
        <v>235</v>
      </c>
      <c r="K217" s="783"/>
      <c r="L217" s="780"/>
      <c r="M217" s="780"/>
      <c r="N217" s="780"/>
      <c r="O217" s="780"/>
      <c r="P217" s="780"/>
      <c r="Q217" s="780"/>
      <c r="R217" s="805"/>
      <c r="S217" s="780"/>
      <c r="T217" s="780"/>
      <c r="U217" s="780"/>
      <c r="V217" s="780"/>
      <c r="W217" s="784"/>
      <c r="X217" s="784"/>
      <c r="Y217" s="784"/>
      <c r="Z217" s="784"/>
      <c r="AA217" s="784"/>
      <c r="AB217" s="785"/>
      <c r="AC217" s="785"/>
      <c r="AD217" s="785"/>
      <c r="AE217" s="785"/>
      <c r="AF217" s="442"/>
      <c r="AG217" s="785"/>
      <c r="AH217" s="785"/>
      <c r="AI217" s="785"/>
      <c r="AJ217" s="786"/>
      <c r="AK217" s="786"/>
      <c r="AL217" s="568" t="s">
        <v>1327</v>
      </c>
      <c r="AM217" s="568" t="s">
        <v>1328</v>
      </c>
    </row>
    <row r="218" spans="1:39">
      <c r="A218" s="806" t="s">
        <v>1746</v>
      </c>
      <c r="B218" s="1880" t="s">
        <v>1747</v>
      </c>
      <c r="C218" s="1881"/>
      <c r="D218" s="1881"/>
      <c r="E218" s="1881"/>
      <c r="F218" s="1882"/>
      <c r="G218" s="463"/>
      <c r="H218" s="785"/>
      <c r="I218" s="785"/>
      <c r="J218" s="817">
        <v>11.96</v>
      </c>
      <c r="K218" s="783"/>
      <c r="L218" s="780"/>
      <c r="M218" s="780"/>
      <c r="N218" s="780"/>
      <c r="O218" s="780"/>
      <c r="P218" s="780"/>
      <c r="Q218" s="780"/>
      <c r="R218" s="805"/>
      <c r="S218" s="780"/>
      <c r="T218" s="780"/>
      <c r="U218" s="780"/>
      <c r="V218" s="780"/>
      <c r="W218" s="784"/>
      <c r="X218" s="784"/>
      <c r="Y218" s="784"/>
      <c r="Z218" s="784"/>
      <c r="AA218" s="784"/>
      <c r="AB218" s="785"/>
      <c r="AC218" s="785"/>
      <c r="AD218" s="785"/>
      <c r="AE218" s="785"/>
      <c r="AF218" s="442"/>
      <c r="AG218" s="785"/>
      <c r="AH218" s="785"/>
      <c r="AI218" s="785"/>
      <c r="AJ218" s="786"/>
      <c r="AK218" s="786"/>
      <c r="AL218" s="568" t="s">
        <v>1327</v>
      </c>
      <c r="AM218" s="568" t="s">
        <v>1328</v>
      </c>
    </row>
    <row r="219" spans="1:39">
      <c r="A219" s="806" t="s">
        <v>1748</v>
      </c>
      <c r="B219" s="1880" t="s">
        <v>1749</v>
      </c>
      <c r="C219" s="1881"/>
      <c r="D219" s="1881"/>
      <c r="E219" s="1881"/>
      <c r="F219" s="1882"/>
      <c r="G219" s="463"/>
      <c r="H219" s="785"/>
      <c r="I219" s="785"/>
      <c r="J219" s="818">
        <v>11.96</v>
      </c>
      <c r="K219" s="783"/>
      <c r="L219" s="780"/>
      <c r="M219" s="780"/>
      <c r="N219" s="780"/>
      <c r="O219" s="780"/>
      <c r="P219" s="780"/>
      <c r="Q219" s="780"/>
      <c r="R219" s="805"/>
      <c r="S219" s="780"/>
      <c r="T219" s="780"/>
      <c r="U219" s="780"/>
      <c r="V219" s="780"/>
      <c r="W219" s="784"/>
      <c r="X219" s="784"/>
      <c r="Y219" s="784"/>
      <c r="Z219" s="784"/>
      <c r="AA219" s="784"/>
      <c r="AB219" s="785"/>
      <c r="AC219" s="785"/>
      <c r="AD219" s="785"/>
      <c r="AE219" s="785"/>
      <c r="AF219" s="442"/>
      <c r="AG219" s="785"/>
      <c r="AH219" s="785"/>
      <c r="AI219" s="785"/>
      <c r="AJ219" s="786"/>
      <c r="AK219" s="786"/>
      <c r="AL219" s="568" t="s">
        <v>1327</v>
      </c>
      <c r="AM219" s="568" t="s">
        <v>1328</v>
      </c>
    </row>
    <row r="220" spans="1:39">
      <c r="A220" s="806" t="s">
        <v>1750</v>
      </c>
      <c r="B220" s="1883" t="s">
        <v>1751</v>
      </c>
      <c r="C220" s="1884"/>
      <c r="D220" s="1884"/>
      <c r="E220" s="1884"/>
      <c r="F220" s="1885"/>
      <c r="G220" s="463"/>
      <c r="H220" s="785"/>
      <c r="I220" s="785"/>
      <c r="J220" s="818">
        <v>15</v>
      </c>
      <c r="K220" s="783"/>
      <c r="L220" s="780"/>
      <c r="M220" s="780"/>
      <c r="N220" s="780"/>
      <c r="O220" s="780"/>
      <c r="P220" s="780"/>
      <c r="Q220" s="780"/>
      <c r="R220" s="805"/>
      <c r="S220" s="780"/>
      <c r="T220" s="780"/>
      <c r="U220" s="780"/>
      <c r="V220" s="780"/>
      <c r="W220" s="784"/>
      <c r="X220" s="784"/>
      <c r="Y220" s="784"/>
      <c r="Z220" s="784"/>
      <c r="AA220" s="784"/>
      <c r="AB220" s="785"/>
      <c r="AC220" s="785"/>
      <c r="AD220" s="785"/>
      <c r="AE220" s="785"/>
      <c r="AF220" s="442"/>
      <c r="AG220" s="785"/>
      <c r="AH220" s="785"/>
      <c r="AI220" s="785"/>
      <c r="AJ220" s="786"/>
      <c r="AK220" s="786"/>
      <c r="AL220" s="568" t="s">
        <v>1327</v>
      </c>
      <c r="AM220" s="568" t="s">
        <v>1328</v>
      </c>
    </row>
    <row r="221" spans="1:39">
      <c r="A221" s="806" t="s">
        <v>1752</v>
      </c>
      <c r="B221" s="1883" t="s">
        <v>1753</v>
      </c>
      <c r="C221" s="1884"/>
      <c r="D221" s="1884"/>
      <c r="E221" s="1884"/>
      <c r="F221" s="1885"/>
      <c r="G221" s="463"/>
      <c r="H221" s="785"/>
      <c r="I221" s="785"/>
      <c r="J221" s="818">
        <v>8.9700000000000006</v>
      </c>
      <c r="K221" s="783"/>
      <c r="L221" s="780"/>
      <c r="M221" s="780"/>
      <c r="N221" s="780"/>
      <c r="O221" s="780"/>
      <c r="P221" s="780"/>
      <c r="Q221" s="780"/>
      <c r="R221" s="805"/>
      <c r="S221" s="780"/>
      <c r="T221" s="780"/>
      <c r="U221" s="780"/>
      <c r="V221" s="780"/>
      <c r="W221" s="784"/>
      <c r="X221" s="784"/>
      <c r="Y221" s="784"/>
      <c r="Z221" s="784"/>
      <c r="AA221" s="784"/>
      <c r="AB221" s="785"/>
      <c r="AC221" s="785"/>
      <c r="AD221" s="785"/>
      <c r="AE221" s="785"/>
      <c r="AF221" s="442"/>
      <c r="AG221" s="785"/>
      <c r="AH221" s="785"/>
      <c r="AI221" s="785"/>
      <c r="AJ221" s="786"/>
      <c r="AK221" s="786"/>
      <c r="AL221" s="568" t="s">
        <v>1327</v>
      </c>
      <c r="AM221" s="568" t="s">
        <v>1328</v>
      </c>
    </row>
    <row r="222" spans="1:39">
      <c r="A222" s="806" t="s">
        <v>1752</v>
      </c>
      <c r="B222" s="1883" t="s">
        <v>1753</v>
      </c>
      <c r="C222" s="1884"/>
      <c r="D222" s="1884"/>
      <c r="E222" s="1884"/>
      <c r="F222" s="1885"/>
      <c r="G222" s="463"/>
      <c r="H222" s="785"/>
      <c r="I222" s="785"/>
      <c r="J222" s="818">
        <v>10.59</v>
      </c>
      <c r="K222" s="783"/>
      <c r="L222" s="780"/>
      <c r="M222" s="780"/>
      <c r="N222" s="780"/>
      <c r="O222" s="780"/>
      <c r="P222" s="780"/>
      <c r="Q222" s="780"/>
      <c r="R222" s="805"/>
      <c r="S222" s="780"/>
      <c r="T222" s="780"/>
      <c r="U222" s="780"/>
      <c r="V222" s="780"/>
      <c r="W222" s="784"/>
      <c r="X222" s="784"/>
      <c r="Y222" s="784"/>
      <c r="Z222" s="784"/>
      <c r="AA222" s="784"/>
      <c r="AB222" s="785"/>
      <c r="AC222" s="785"/>
      <c r="AD222" s="785"/>
      <c r="AE222" s="785"/>
      <c r="AF222" s="442"/>
      <c r="AG222" s="785"/>
      <c r="AH222" s="785"/>
      <c r="AI222" s="785"/>
      <c r="AJ222" s="786"/>
      <c r="AK222" s="786"/>
      <c r="AL222" s="568" t="s">
        <v>1327</v>
      </c>
      <c r="AM222" s="568" t="s">
        <v>1328</v>
      </c>
    </row>
    <row r="223" spans="1:39">
      <c r="A223" s="1500" t="s">
        <v>1754</v>
      </c>
      <c r="B223" s="1501"/>
      <c r="C223" s="1501"/>
      <c r="D223" s="1501"/>
      <c r="E223" s="1501"/>
      <c r="F223" s="1517"/>
      <c r="G223" s="442">
        <f>G173+G171+G168+G165+G163+G152+G150+G147+G143+G131+G127+G114+G62+G58+G50+G43+G14+G202</f>
        <v>74788.479999999996</v>
      </c>
      <c r="H223" s="442"/>
      <c r="I223" s="442">
        <f>I173+I171+I168+I165+I163+I152+I150+I147+I143+I131+I127+I114+I62+I58+I50+I43+I14+I202</f>
        <v>63380.067796610172</v>
      </c>
      <c r="J223" s="442">
        <f>J173+J171+J168+J165+J163+J152+J150+J147+J143+J131+J127+J114+J62+J58+J50+J43+J14+J202</f>
        <v>63336.851939491527</v>
      </c>
      <c r="K223" s="776"/>
      <c r="L223" s="776">
        <f>SUM(L14:L177)</f>
        <v>0</v>
      </c>
      <c r="M223" s="776"/>
      <c r="N223" s="462">
        <f>SUM(N14:N177)</f>
        <v>1443.4015844067799</v>
      </c>
      <c r="O223" s="776"/>
      <c r="P223" s="462">
        <f>SUM(P14:P177)</f>
        <v>5043.6520084745762</v>
      </c>
      <c r="Q223" s="776"/>
      <c r="R223" s="462">
        <f>SUM(R14:R177)</f>
        <v>1229.0385423728812</v>
      </c>
      <c r="S223" s="776"/>
      <c r="T223" s="462">
        <f>SUM(T14:T177)</f>
        <v>252.92703593220341</v>
      </c>
      <c r="U223" s="776"/>
      <c r="V223" s="462">
        <f>SUM(V14:V177)</f>
        <v>704.01206389830509</v>
      </c>
      <c r="W223" s="815"/>
      <c r="X223" s="462">
        <f>SUM(X14:X177)</f>
        <v>5978.4335593220339</v>
      </c>
      <c r="Y223" s="815"/>
      <c r="Z223" s="462">
        <f>SUM(Z14:Z177)</f>
        <v>15</v>
      </c>
      <c r="AA223" s="815"/>
      <c r="AB223" s="462">
        <f>SUM(AB14:AB177)</f>
        <v>875.2915762711865</v>
      </c>
      <c r="AC223" s="785"/>
      <c r="AD223" s="462">
        <f>SUM(AD14:AD177)</f>
        <v>5165.6393442372882</v>
      </c>
      <c r="AE223" s="785"/>
      <c r="AF223" s="462">
        <f>SUM(AF14:AF201)</f>
        <v>2341.1837071186442</v>
      </c>
      <c r="AG223" s="785"/>
      <c r="AH223" s="462">
        <f>SUM(AH14:AH177)</f>
        <v>25953.022846271182</v>
      </c>
      <c r="AI223" s="785"/>
      <c r="AJ223" s="786"/>
      <c r="AK223" s="786"/>
      <c r="AL223" s="775"/>
      <c r="AM223" s="568"/>
    </row>
    <row r="225" spans="1:39">
      <c r="A225" s="819" t="s">
        <v>2101</v>
      </c>
      <c r="AL225" s="765" t="s">
        <v>2102</v>
      </c>
    </row>
    <row r="227" spans="1:39">
      <c r="A227" s="821" t="s">
        <v>949</v>
      </c>
      <c r="B227" s="821"/>
      <c r="C227" s="821"/>
      <c r="D227" s="821"/>
      <c r="E227" s="821"/>
      <c r="F227" s="821"/>
      <c r="G227" s="821"/>
      <c r="H227" s="821"/>
      <c r="I227" s="821"/>
      <c r="J227" s="821"/>
      <c r="K227" s="821"/>
      <c r="L227" s="821"/>
      <c r="M227" s="821"/>
      <c r="N227" s="821"/>
      <c r="O227" s="821"/>
      <c r="P227" s="821"/>
      <c r="Q227" s="821"/>
      <c r="R227" s="821"/>
      <c r="S227" s="821"/>
      <c r="T227" s="821"/>
      <c r="U227" s="821"/>
      <c r="V227" s="821"/>
      <c r="W227" s="821"/>
      <c r="X227" s="821"/>
      <c r="Y227" s="1886"/>
      <c r="Z227" s="1887"/>
      <c r="AA227" s="1887"/>
      <c r="AB227" s="1887"/>
      <c r="AC227" s="1887"/>
      <c r="AD227" s="1887"/>
      <c r="AE227" s="1887"/>
      <c r="AF227" s="821"/>
      <c r="AG227" s="821"/>
      <c r="AH227" s="821"/>
      <c r="AI227" s="822"/>
      <c r="AJ227" s="823"/>
      <c r="AK227" s="823"/>
      <c r="AL227" s="1888" t="s">
        <v>341</v>
      </c>
      <c r="AM227" s="1887"/>
    </row>
    <row r="228" spans="1:39">
      <c r="A228" s="821"/>
      <c r="B228" s="821"/>
      <c r="C228" s="821"/>
      <c r="D228" s="821"/>
      <c r="E228" s="821"/>
      <c r="F228" s="821"/>
      <c r="G228" s="821"/>
      <c r="H228" s="821"/>
      <c r="I228" s="821"/>
      <c r="J228" s="821"/>
      <c r="K228" s="821"/>
      <c r="L228" s="821"/>
      <c r="M228" s="821"/>
      <c r="N228" s="821"/>
      <c r="O228" s="821"/>
      <c r="P228" s="821"/>
      <c r="Q228" s="821"/>
      <c r="R228" s="821"/>
      <c r="S228" s="821"/>
      <c r="T228" s="821"/>
      <c r="U228" s="821"/>
      <c r="V228" s="821"/>
      <c r="W228" s="821"/>
      <c r="X228" s="821"/>
      <c r="Y228" s="825"/>
      <c r="Z228" s="825"/>
      <c r="AA228" s="825"/>
      <c r="AB228" s="825"/>
      <c r="AC228" s="825"/>
      <c r="AD228" s="825"/>
      <c r="AE228" s="821"/>
      <c r="AF228" s="821"/>
      <c r="AG228" s="821"/>
      <c r="AH228" s="821"/>
      <c r="AI228" s="822"/>
      <c r="AJ228" s="823"/>
      <c r="AK228" s="823"/>
      <c r="AL228" s="823"/>
      <c r="AM228" s="824"/>
    </row>
    <row r="229" spans="1:39">
      <c r="A229" s="821" t="s">
        <v>1380</v>
      </c>
      <c r="B229" s="821"/>
      <c r="C229" s="821"/>
      <c r="D229" s="821"/>
      <c r="E229" s="821"/>
      <c r="F229" s="821"/>
      <c r="G229" s="821"/>
      <c r="H229" s="821"/>
      <c r="I229" s="821"/>
      <c r="J229" s="821"/>
      <c r="K229" s="821"/>
      <c r="L229" s="821"/>
      <c r="M229" s="821"/>
      <c r="N229" s="821"/>
      <c r="O229" s="821"/>
      <c r="P229" s="821"/>
      <c r="Q229" s="821"/>
      <c r="R229" s="821"/>
      <c r="S229" s="821"/>
      <c r="T229" s="821"/>
      <c r="U229" s="821"/>
      <c r="V229" s="821"/>
      <c r="W229" s="821"/>
      <c r="X229" s="821"/>
      <c r="Y229" s="1886"/>
      <c r="Z229" s="1887"/>
      <c r="AA229" s="1887"/>
      <c r="AB229" s="1887"/>
      <c r="AC229" s="1887"/>
      <c r="AD229" s="1887"/>
      <c r="AE229" s="1887"/>
      <c r="AF229" s="821"/>
      <c r="AG229" s="821"/>
      <c r="AH229" s="821"/>
      <c r="AI229" s="822"/>
      <c r="AJ229" s="823"/>
      <c r="AK229" s="823"/>
      <c r="AL229" s="1888" t="s">
        <v>2108</v>
      </c>
      <c r="AM229" s="1887"/>
    </row>
    <row r="230" spans="1:39">
      <c r="A230" s="821"/>
      <c r="B230" s="821"/>
      <c r="C230" s="821"/>
      <c r="D230" s="821"/>
      <c r="E230" s="821"/>
      <c r="F230" s="821"/>
      <c r="G230" s="821"/>
      <c r="H230" s="821"/>
      <c r="I230" s="821"/>
      <c r="J230" s="821"/>
      <c r="K230" s="821"/>
      <c r="L230" s="821"/>
      <c r="M230" s="821"/>
      <c r="N230" s="821"/>
      <c r="O230" s="821"/>
      <c r="P230" s="821"/>
      <c r="Q230" s="821"/>
      <c r="R230" s="821"/>
      <c r="S230" s="821"/>
      <c r="T230" s="821"/>
      <c r="U230" s="821"/>
      <c r="V230" s="821"/>
      <c r="W230" s="821"/>
      <c r="X230" s="821"/>
      <c r="Y230" s="825"/>
      <c r="Z230" s="825"/>
      <c r="AA230" s="825"/>
      <c r="AB230" s="825"/>
      <c r="AC230" s="825"/>
      <c r="AD230" s="825"/>
      <c r="AE230" s="821"/>
      <c r="AF230" s="821"/>
      <c r="AG230" s="821"/>
      <c r="AH230" s="821"/>
      <c r="AI230" s="826"/>
      <c r="AJ230" s="823"/>
      <c r="AK230" s="823"/>
      <c r="AL230" s="823"/>
      <c r="AM230" s="824"/>
    </row>
    <row r="231" spans="1:39">
      <c r="A231" s="821" t="s">
        <v>1755</v>
      </c>
      <c r="B231" s="821"/>
      <c r="C231" s="821"/>
      <c r="D231" s="821"/>
      <c r="E231" s="821"/>
      <c r="F231" s="821"/>
      <c r="G231" s="821"/>
      <c r="H231" s="821"/>
      <c r="I231" s="821"/>
      <c r="J231" s="821"/>
      <c r="K231" s="821"/>
      <c r="L231" s="821"/>
      <c r="M231" s="821"/>
      <c r="N231" s="821"/>
      <c r="O231" s="821"/>
      <c r="P231" s="821"/>
      <c r="Q231" s="821"/>
      <c r="R231" s="821"/>
      <c r="S231" s="821"/>
      <c r="T231" s="821"/>
      <c r="U231" s="821"/>
      <c r="V231" s="821"/>
      <c r="W231" s="821"/>
      <c r="X231" s="821"/>
      <c r="Y231" s="1886"/>
      <c r="Z231" s="1887"/>
      <c r="AA231" s="1887"/>
      <c r="AB231" s="1887"/>
      <c r="AC231" s="1887"/>
      <c r="AD231" s="1887"/>
      <c r="AE231" s="1887"/>
      <c r="AF231" s="821"/>
      <c r="AG231" s="821"/>
      <c r="AH231" s="821"/>
      <c r="AI231" s="822"/>
      <c r="AJ231" s="823"/>
      <c r="AK231" s="823"/>
      <c r="AL231" s="1888" t="s">
        <v>2107</v>
      </c>
      <c r="AM231" s="1887"/>
    </row>
  </sheetData>
  <mergeCells count="328">
    <mergeCell ref="A2:AM2"/>
    <mergeCell ref="A3:AF3"/>
    <mergeCell ref="A4:AD4"/>
    <mergeCell ref="A5:AM5"/>
    <mergeCell ref="A6:AM6"/>
    <mergeCell ref="A7:AF7"/>
    <mergeCell ref="A9:A11"/>
    <mergeCell ref="B9:F11"/>
    <mergeCell ref="G9:G10"/>
    <mergeCell ref="I9:J10"/>
    <mergeCell ref="K9:L10"/>
    <mergeCell ref="M9:N10"/>
    <mergeCell ref="O9:P10"/>
    <mergeCell ref="Q9:R10"/>
    <mergeCell ref="S9:T10"/>
    <mergeCell ref="U9:V10"/>
    <mergeCell ref="W9:X10"/>
    <mergeCell ref="Y9:Z10"/>
    <mergeCell ref="AA9:AB10"/>
    <mergeCell ref="AC9:AD10"/>
    <mergeCell ref="AE9:AF10"/>
    <mergeCell ref="AG9:AH10"/>
    <mergeCell ref="AI9:AI10"/>
    <mergeCell ref="AJ9:AJ10"/>
    <mergeCell ref="AK9:AK10"/>
    <mergeCell ref="AL9:AM10"/>
    <mergeCell ref="B12:F12"/>
    <mergeCell ref="A13:F13"/>
    <mergeCell ref="A14:F14"/>
    <mergeCell ref="A15:A16"/>
    <mergeCell ref="B15:F15"/>
    <mergeCell ref="G15:G16"/>
    <mergeCell ref="H15:H16"/>
    <mergeCell ref="I15:I16"/>
    <mergeCell ref="J15:J16"/>
    <mergeCell ref="AL15:AL16"/>
    <mergeCell ref="AM15:AM16"/>
    <mergeCell ref="A17:A18"/>
    <mergeCell ref="B17:F17"/>
    <mergeCell ref="G17:G18"/>
    <mergeCell ref="H17:H18"/>
    <mergeCell ref="I17:I18"/>
    <mergeCell ref="J17:J18"/>
    <mergeCell ref="AL17:AL18"/>
    <mergeCell ref="AM17:AM18"/>
    <mergeCell ref="A19:A20"/>
    <mergeCell ref="B19:F19"/>
    <mergeCell ref="G19:G20"/>
    <mergeCell ref="H19:H20"/>
    <mergeCell ref="I19:I20"/>
    <mergeCell ref="J19:J20"/>
    <mergeCell ref="AL19:AL20"/>
    <mergeCell ref="AM19:AM20"/>
    <mergeCell ref="A21:A22"/>
    <mergeCell ref="B21:F21"/>
    <mergeCell ref="G21:G22"/>
    <mergeCell ref="H21:H22"/>
    <mergeCell ref="I21:I22"/>
    <mergeCell ref="J21:J22"/>
    <mergeCell ref="AL21:AL22"/>
    <mergeCell ref="AM21:AM22"/>
    <mergeCell ref="A23:A24"/>
    <mergeCell ref="B23:F23"/>
    <mergeCell ref="G23:G24"/>
    <mergeCell ref="H23:H24"/>
    <mergeCell ref="I23:I24"/>
    <mergeCell ref="J23:J24"/>
    <mergeCell ref="AL23:AL24"/>
    <mergeCell ref="AM23:AM24"/>
    <mergeCell ref="A25:A26"/>
    <mergeCell ref="B25:F25"/>
    <mergeCell ref="G25:G26"/>
    <mergeCell ref="H25:H26"/>
    <mergeCell ref="I25:I26"/>
    <mergeCell ref="J25:J26"/>
    <mergeCell ref="AL25:AL26"/>
    <mergeCell ref="AM25:AM26"/>
    <mergeCell ref="A27:A28"/>
    <mergeCell ref="B27:F27"/>
    <mergeCell ref="G27:G28"/>
    <mergeCell ref="H27:H28"/>
    <mergeCell ref="I27:I28"/>
    <mergeCell ref="J27:J28"/>
    <mergeCell ref="AL27:AL28"/>
    <mergeCell ref="AM27:AM28"/>
    <mergeCell ref="A29:A30"/>
    <mergeCell ref="B29:F29"/>
    <mergeCell ref="G29:G30"/>
    <mergeCell ref="H29:H30"/>
    <mergeCell ref="I29:I30"/>
    <mergeCell ref="J29:J30"/>
    <mergeCell ref="AL29:AL30"/>
    <mergeCell ref="AM29:AM30"/>
    <mergeCell ref="A31:A32"/>
    <mergeCell ref="B31:F31"/>
    <mergeCell ref="G31:G32"/>
    <mergeCell ref="H31:H32"/>
    <mergeCell ref="I31:I32"/>
    <mergeCell ref="J31:J32"/>
    <mergeCell ref="AL31:AL32"/>
    <mergeCell ref="AM31:AM32"/>
    <mergeCell ref="A33:A34"/>
    <mergeCell ref="B33:F33"/>
    <mergeCell ref="G33:G34"/>
    <mergeCell ref="H33:H34"/>
    <mergeCell ref="I33:I34"/>
    <mergeCell ref="J33:J34"/>
    <mergeCell ref="AL33:AL34"/>
    <mergeCell ref="AM33:AM34"/>
    <mergeCell ref="A35:A36"/>
    <mergeCell ref="B35:F35"/>
    <mergeCell ref="G35:G36"/>
    <mergeCell ref="H35:H36"/>
    <mergeCell ref="I35:I36"/>
    <mergeCell ref="J35:J36"/>
    <mergeCell ref="AL35:AL36"/>
    <mergeCell ref="AM35:AM36"/>
    <mergeCell ref="AL39:AL40"/>
    <mergeCell ref="AM39:AM40"/>
    <mergeCell ref="A37:A38"/>
    <mergeCell ref="B37:F37"/>
    <mergeCell ref="G37:G38"/>
    <mergeCell ref="H37:H38"/>
    <mergeCell ref="I37:I38"/>
    <mergeCell ref="J37:J38"/>
    <mergeCell ref="I41:I42"/>
    <mergeCell ref="J41:J42"/>
    <mergeCell ref="AL37:AL38"/>
    <mergeCell ref="AM37:AM38"/>
    <mergeCell ref="A39:A40"/>
    <mergeCell ref="B39:F39"/>
    <mergeCell ref="G39:G40"/>
    <mergeCell ref="H39:H40"/>
    <mergeCell ref="I39:I40"/>
    <mergeCell ref="J39:J40"/>
    <mergeCell ref="AL41:AL42"/>
    <mergeCell ref="AM41:AM42"/>
    <mergeCell ref="A43:F43"/>
    <mergeCell ref="B44:F44"/>
    <mergeCell ref="B45:F45"/>
    <mergeCell ref="B46:F46"/>
    <mergeCell ref="A41:A42"/>
    <mergeCell ref="B41:F41"/>
    <mergeCell ref="G41:G42"/>
    <mergeCell ref="H41:H42"/>
    <mergeCell ref="B47:F47"/>
    <mergeCell ref="B48:F48"/>
    <mergeCell ref="B49:F49"/>
    <mergeCell ref="A50:F50"/>
    <mergeCell ref="B51:F51"/>
    <mergeCell ref="B52:F52"/>
    <mergeCell ref="B53:F53"/>
    <mergeCell ref="B54:F54"/>
    <mergeCell ref="B55:F55"/>
    <mergeCell ref="B56:F56"/>
    <mergeCell ref="B57:F57"/>
    <mergeCell ref="A58:F58"/>
    <mergeCell ref="B59:F59"/>
    <mergeCell ref="B60:F60"/>
    <mergeCell ref="B61:F61"/>
    <mergeCell ref="A62:F62"/>
    <mergeCell ref="B63:F63"/>
    <mergeCell ref="B64:F64"/>
    <mergeCell ref="B65:F65"/>
    <mergeCell ref="B66:F66"/>
    <mergeCell ref="B67:F67"/>
    <mergeCell ref="B68:F68"/>
    <mergeCell ref="B69:F69"/>
    <mergeCell ref="B70:F70"/>
    <mergeCell ref="B71:F71"/>
    <mergeCell ref="B72:F72"/>
    <mergeCell ref="B73:F73"/>
    <mergeCell ref="B74:F74"/>
    <mergeCell ref="B75:F75"/>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A113:F113"/>
    <mergeCell ref="A114:F114"/>
    <mergeCell ref="B115:F115"/>
    <mergeCell ref="B116:F116"/>
    <mergeCell ref="B117:F117"/>
    <mergeCell ref="B118:F118"/>
    <mergeCell ref="B119:F119"/>
    <mergeCell ref="B120:F120"/>
    <mergeCell ref="B121:F121"/>
    <mergeCell ref="B122:F122"/>
    <mergeCell ref="B123:F123"/>
    <mergeCell ref="B124:F124"/>
    <mergeCell ref="B125:F125"/>
    <mergeCell ref="B126:F126"/>
    <mergeCell ref="A127:F127"/>
    <mergeCell ref="B128:F128"/>
    <mergeCell ref="B129:F129"/>
    <mergeCell ref="B130:F130"/>
    <mergeCell ref="A131:F131"/>
    <mergeCell ref="B132:F132"/>
    <mergeCell ref="B133:F133"/>
    <mergeCell ref="B134:F134"/>
    <mergeCell ref="B135:F135"/>
    <mergeCell ref="B136:F136"/>
    <mergeCell ref="B137:F137"/>
    <mergeCell ref="B138:F138"/>
    <mergeCell ref="B139:F139"/>
    <mergeCell ref="B140:F140"/>
    <mergeCell ref="B141:F141"/>
    <mergeCell ref="A142:F142"/>
    <mergeCell ref="A143:F143"/>
    <mergeCell ref="B144:F144"/>
    <mergeCell ref="B145:F145"/>
    <mergeCell ref="B146:F146"/>
    <mergeCell ref="A147:F147"/>
    <mergeCell ref="B148:F148"/>
    <mergeCell ref="B149:F149"/>
    <mergeCell ref="A150:F150"/>
    <mergeCell ref="B151:F151"/>
    <mergeCell ref="A152:F152"/>
    <mergeCell ref="B153:F153"/>
    <mergeCell ref="B154:F154"/>
    <mergeCell ref="B155:F155"/>
    <mergeCell ref="B156:F156"/>
    <mergeCell ref="B157:F157"/>
    <mergeCell ref="B158:F158"/>
    <mergeCell ref="B159:F159"/>
    <mergeCell ref="B160:F160"/>
    <mergeCell ref="B161:F161"/>
    <mergeCell ref="B162:F162"/>
    <mergeCell ref="A163:F163"/>
    <mergeCell ref="B164:F164"/>
    <mergeCell ref="A165:F165"/>
    <mergeCell ref="B166:F166"/>
    <mergeCell ref="B167:F167"/>
    <mergeCell ref="A168:F168"/>
    <mergeCell ref="B169:F169"/>
    <mergeCell ref="A170:F170"/>
    <mergeCell ref="A171:F171"/>
    <mergeCell ref="B172:F172"/>
    <mergeCell ref="A173:F173"/>
    <mergeCell ref="B174:F174"/>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191:F191"/>
    <mergeCell ref="B192:F192"/>
    <mergeCell ref="B193:F193"/>
    <mergeCell ref="B194:F194"/>
    <mergeCell ref="B195:F195"/>
    <mergeCell ref="B196:F196"/>
    <mergeCell ref="B197:F197"/>
    <mergeCell ref="B198:F198"/>
    <mergeCell ref="B199:F199"/>
    <mergeCell ref="B200:F200"/>
    <mergeCell ref="B201:F201"/>
    <mergeCell ref="A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15:F215"/>
    <mergeCell ref="B216:F216"/>
    <mergeCell ref="B217:F217"/>
    <mergeCell ref="B218:F218"/>
    <mergeCell ref="B219:F219"/>
    <mergeCell ref="B220:F220"/>
    <mergeCell ref="B221:F221"/>
    <mergeCell ref="B222:F222"/>
    <mergeCell ref="Y231:AE231"/>
    <mergeCell ref="AL231:AM231"/>
    <mergeCell ref="A223:F223"/>
    <mergeCell ref="Y227:AE227"/>
    <mergeCell ref="AL227:AM227"/>
    <mergeCell ref="Y229:AE229"/>
    <mergeCell ref="AL229:AM229"/>
  </mergeCells>
  <pageMargins left="0.70866141732283472" right="0.70866141732283472" top="0.74803149606299213" bottom="0.74803149606299213" header="0.31496062992125984" footer="0.31496062992125984"/>
  <pageSetup paperSize="9" scale="80" orientation="portrait" r:id="rId1"/>
  <legacyDrawing r:id="rId2"/>
</worksheet>
</file>

<file path=xl/worksheets/sheet3.xml><?xml version="1.0" encoding="utf-8"?>
<worksheet xmlns="http://schemas.openxmlformats.org/spreadsheetml/2006/main" xmlns:r="http://schemas.openxmlformats.org/officeDocument/2006/relationships">
  <dimension ref="A1:S83"/>
  <sheetViews>
    <sheetView view="pageBreakPreview" topLeftCell="A58" zoomScale="95" zoomScaleSheetLayoutView="95" workbookViewId="0">
      <selection activeCell="G25" sqref="G25"/>
    </sheetView>
  </sheetViews>
  <sheetFormatPr defaultColWidth="9.140625" defaultRowHeight="15"/>
  <cols>
    <col min="1" max="1" width="6.42578125" customWidth="1"/>
    <col min="2" max="2" width="43.85546875" bestFit="1" customWidth="1"/>
    <col min="3" max="3" width="11.28515625" bestFit="1" customWidth="1"/>
    <col min="4" max="6" width="12.140625" bestFit="1" customWidth="1"/>
    <col min="7" max="7" width="12.140625" style="369" bestFit="1" customWidth="1"/>
    <col min="8" max="10" width="12.42578125" bestFit="1" customWidth="1"/>
  </cols>
  <sheetData>
    <row r="1" spans="1:11" ht="15.75" customHeight="1">
      <c r="A1" s="981" t="s">
        <v>1404</v>
      </c>
      <c r="B1" s="981"/>
      <c r="C1" s="981"/>
      <c r="D1" s="981"/>
      <c r="E1" s="981"/>
      <c r="F1" s="981"/>
      <c r="G1" s="981"/>
      <c r="H1" s="981"/>
      <c r="I1" s="981"/>
      <c r="J1" s="981"/>
    </row>
    <row r="2" spans="1:11" ht="16.5" thickBot="1">
      <c r="A2" s="982" t="s">
        <v>826</v>
      </c>
      <c r="B2" s="982"/>
      <c r="C2" s="982"/>
      <c r="D2" s="982"/>
      <c r="E2" s="982"/>
      <c r="F2" s="982"/>
      <c r="G2" s="982"/>
      <c r="H2" s="982"/>
      <c r="I2" s="982"/>
      <c r="J2" s="982"/>
    </row>
    <row r="3" spans="1:11" s="599" customFormat="1" ht="31.5" customHeight="1">
      <c r="A3" s="983" t="s">
        <v>7</v>
      </c>
      <c r="B3" s="983" t="s">
        <v>1964</v>
      </c>
      <c r="C3" s="983" t="s">
        <v>846</v>
      </c>
      <c r="D3" s="986">
        <v>2015</v>
      </c>
      <c r="E3" s="987"/>
      <c r="F3" s="986">
        <v>2016</v>
      </c>
      <c r="G3" s="987"/>
      <c r="H3" s="613" t="s">
        <v>1965</v>
      </c>
      <c r="I3" s="613" t="s">
        <v>1966</v>
      </c>
      <c r="J3" s="613" t="s">
        <v>1967</v>
      </c>
      <c r="K3" s="601"/>
    </row>
    <row r="4" spans="1:11" s="599" customFormat="1" ht="15.75" customHeight="1" thickBot="1">
      <c r="A4" s="984"/>
      <c r="B4" s="985"/>
      <c r="C4" s="984"/>
      <c r="D4" s="614" t="s">
        <v>1968</v>
      </c>
      <c r="E4" s="615" t="s">
        <v>1969</v>
      </c>
      <c r="F4" s="614" t="s">
        <v>1968</v>
      </c>
      <c r="G4" s="616" t="s">
        <v>1970</v>
      </c>
      <c r="H4" s="617" t="s">
        <v>1968</v>
      </c>
      <c r="I4" s="617" t="s">
        <v>1968</v>
      </c>
      <c r="J4" s="617" t="s">
        <v>1968</v>
      </c>
      <c r="K4" s="602"/>
    </row>
    <row r="5" spans="1:11" s="599" customFormat="1" ht="15.75">
      <c r="A5" s="618">
        <v>1</v>
      </c>
      <c r="B5" s="619">
        <v>2</v>
      </c>
      <c r="C5" s="618">
        <v>3</v>
      </c>
      <c r="D5" s="620">
        <v>4</v>
      </c>
      <c r="E5" s="621">
        <v>5</v>
      </c>
      <c r="F5" s="620">
        <v>6</v>
      </c>
      <c r="G5" s="622">
        <v>7</v>
      </c>
      <c r="H5" s="623">
        <v>8</v>
      </c>
      <c r="I5" s="623">
        <v>9</v>
      </c>
      <c r="J5" s="623">
        <v>10</v>
      </c>
      <c r="K5" s="602"/>
    </row>
    <row r="6" spans="1:11" s="599" customFormat="1" ht="15.75">
      <c r="A6" s="624">
        <v>1</v>
      </c>
      <c r="B6" s="625" t="s">
        <v>1971</v>
      </c>
      <c r="C6" s="626"/>
      <c r="D6" s="627"/>
      <c r="E6" s="628"/>
      <c r="F6" s="629"/>
      <c r="G6" s="630"/>
      <c r="H6" s="631"/>
      <c r="I6" s="631"/>
      <c r="J6" s="631"/>
      <c r="K6" s="603"/>
    </row>
    <row r="7" spans="1:11" s="599" customFormat="1" ht="31.5">
      <c r="A7" s="632" t="s">
        <v>634</v>
      </c>
      <c r="B7" s="633" t="s">
        <v>1972</v>
      </c>
      <c r="C7" s="683" t="s">
        <v>1973</v>
      </c>
      <c r="D7" s="635">
        <v>75111</v>
      </c>
      <c r="E7" s="636">
        <v>80258.559999999998</v>
      </c>
      <c r="F7" s="637">
        <v>78484</v>
      </c>
      <c r="G7" s="638">
        <v>78484</v>
      </c>
      <c r="H7" s="639">
        <v>79694</v>
      </c>
      <c r="I7" s="639">
        <v>79680</v>
      </c>
      <c r="J7" s="639">
        <v>79666</v>
      </c>
      <c r="K7" s="604"/>
    </row>
    <row r="8" spans="1:11" s="599" customFormat="1" ht="15.75">
      <c r="A8" s="632" t="s">
        <v>137</v>
      </c>
      <c r="B8" s="633" t="s">
        <v>1974</v>
      </c>
      <c r="C8" s="683" t="s">
        <v>1973</v>
      </c>
      <c r="D8" s="635"/>
      <c r="E8" s="636"/>
      <c r="F8" s="640"/>
      <c r="G8" s="641"/>
      <c r="H8" s="642"/>
      <c r="I8" s="642"/>
      <c r="J8" s="642"/>
      <c r="K8" s="604"/>
    </row>
    <row r="9" spans="1:11" s="599" customFormat="1" ht="15.75">
      <c r="A9" s="632" t="s">
        <v>138</v>
      </c>
      <c r="B9" s="633" t="s">
        <v>1975</v>
      </c>
      <c r="C9" s="683" t="s">
        <v>1973</v>
      </c>
      <c r="D9" s="635">
        <v>75111</v>
      </c>
      <c r="E9" s="636">
        <v>80258.559999999998</v>
      </c>
      <c r="F9" s="637">
        <f>F7</f>
        <v>78484</v>
      </c>
      <c r="G9" s="638">
        <f>G7</f>
        <v>78484</v>
      </c>
      <c r="H9" s="639">
        <f>H7</f>
        <v>79694</v>
      </c>
      <c r="I9" s="639">
        <f>I7</f>
        <v>79680</v>
      </c>
      <c r="J9" s="639">
        <f>J7</f>
        <v>79666</v>
      </c>
      <c r="K9" s="604"/>
    </row>
    <row r="10" spans="1:11" s="599" customFormat="1" ht="31.5">
      <c r="A10" s="632" t="s">
        <v>1976</v>
      </c>
      <c r="B10" s="633" t="s">
        <v>1977</v>
      </c>
      <c r="C10" s="683" t="s">
        <v>1973</v>
      </c>
      <c r="D10" s="635"/>
      <c r="E10" s="636"/>
      <c r="F10" s="643"/>
      <c r="G10" s="644"/>
      <c r="H10" s="634"/>
      <c r="I10" s="634"/>
      <c r="J10" s="634"/>
      <c r="K10" s="605"/>
    </row>
    <row r="11" spans="1:11" s="599" customFormat="1" ht="15.75">
      <c r="A11" s="632" t="s">
        <v>636</v>
      </c>
      <c r="B11" s="633" t="s">
        <v>1978</v>
      </c>
      <c r="C11" s="683" t="s">
        <v>1973</v>
      </c>
      <c r="D11" s="635">
        <v>85199</v>
      </c>
      <c r="E11" s="636">
        <v>88938</v>
      </c>
      <c r="F11" s="637">
        <v>86972</v>
      </c>
      <c r="G11" s="638">
        <v>86972</v>
      </c>
      <c r="H11" s="639">
        <v>87417</v>
      </c>
      <c r="I11" s="639">
        <v>87403</v>
      </c>
      <c r="J11" s="639">
        <v>87389</v>
      </c>
      <c r="K11" s="605"/>
    </row>
    <row r="12" spans="1:11" s="599" customFormat="1" ht="15.75">
      <c r="A12" s="632" t="s">
        <v>638</v>
      </c>
      <c r="B12" s="633" t="s">
        <v>830</v>
      </c>
      <c r="C12" s="683" t="s">
        <v>1973</v>
      </c>
      <c r="D12" s="645"/>
      <c r="E12" s="636"/>
      <c r="F12" s="640"/>
      <c r="G12" s="644"/>
      <c r="H12" s="634"/>
      <c r="I12" s="634"/>
      <c r="J12" s="634"/>
      <c r="K12" s="605"/>
    </row>
    <row r="13" spans="1:11" s="599" customFormat="1" ht="15.75">
      <c r="A13" s="632" t="s">
        <v>640</v>
      </c>
      <c r="B13" s="633" t="s">
        <v>828</v>
      </c>
      <c r="C13" s="683" t="s">
        <v>1973</v>
      </c>
      <c r="D13" s="643">
        <v>85516</v>
      </c>
      <c r="E13" s="636">
        <v>89136.28</v>
      </c>
      <c r="F13" s="635">
        <v>87289</v>
      </c>
      <c r="G13" s="636">
        <v>87289</v>
      </c>
      <c r="H13" s="639">
        <v>87734</v>
      </c>
      <c r="I13" s="639">
        <v>87720</v>
      </c>
      <c r="J13" s="639">
        <v>87706</v>
      </c>
      <c r="K13" s="605"/>
    </row>
    <row r="14" spans="1:11" s="599" customFormat="1" ht="15.75">
      <c r="A14" s="646">
        <v>2</v>
      </c>
      <c r="B14" s="647" t="s">
        <v>1979</v>
      </c>
      <c r="C14" s="683" t="s">
        <v>1973</v>
      </c>
      <c r="D14" s="643"/>
      <c r="E14" s="636"/>
      <c r="F14" s="643"/>
      <c r="G14" s="644"/>
      <c r="H14" s="634"/>
      <c r="I14" s="634"/>
      <c r="J14" s="634"/>
      <c r="K14" s="605"/>
    </row>
    <row r="15" spans="1:11" s="599" customFormat="1" ht="15.75">
      <c r="A15" s="632" t="s">
        <v>248</v>
      </c>
      <c r="B15" s="633" t="s">
        <v>1980</v>
      </c>
      <c r="C15" s="683" t="s">
        <v>1973</v>
      </c>
      <c r="D15" s="643"/>
      <c r="E15" s="636"/>
      <c r="F15" s="643"/>
      <c r="G15" s="644"/>
      <c r="H15" s="634"/>
      <c r="I15" s="634"/>
      <c r="J15" s="634"/>
      <c r="K15" s="605"/>
    </row>
    <row r="16" spans="1:11" s="599" customFormat="1" ht="15.75">
      <c r="A16" s="632" t="s">
        <v>249</v>
      </c>
      <c r="B16" s="633" t="s">
        <v>1981</v>
      </c>
      <c r="C16" s="683" t="s">
        <v>1973</v>
      </c>
      <c r="D16" s="643"/>
      <c r="E16" s="636"/>
      <c r="F16" s="643"/>
      <c r="G16" s="644"/>
      <c r="H16" s="634"/>
      <c r="I16" s="634"/>
      <c r="J16" s="634"/>
      <c r="K16" s="605"/>
    </row>
    <row r="17" spans="1:15" s="599" customFormat="1" ht="15.75">
      <c r="A17" s="632" t="s">
        <v>250</v>
      </c>
      <c r="B17" s="633" t="s">
        <v>1982</v>
      </c>
      <c r="C17" s="683" t="s">
        <v>1973</v>
      </c>
      <c r="D17" s="643"/>
      <c r="E17" s="636"/>
      <c r="F17" s="643"/>
      <c r="G17" s="644"/>
      <c r="H17" s="634"/>
      <c r="I17" s="634"/>
      <c r="J17" s="634"/>
      <c r="K17" s="605"/>
    </row>
    <row r="18" spans="1:15" s="599" customFormat="1" ht="15.75">
      <c r="A18" s="646">
        <v>3</v>
      </c>
      <c r="B18" s="647" t="s">
        <v>1983</v>
      </c>
      <c r="C18" s="683" t="s">
        <v>1973</v>
      </c>
      <c r="D18" s="643">
        <f>D13</f>
        <v>85516</v>
      </c>
      <c r="E18" s="636">
        <v>89136.28</v>
      </c>
      <c r="F18" s="637">
        <f>F13</f>
        <v>87289</v>
      </c>
      <c r="G18" s="638">
        <f>G13</f>
        <v>87289</v>
      </c>
      <c r="H18" s="639">
        <f>H13</f>
        <v>87734</v>
      </c>
      <c r="I18" s="639">
        <f>I13</f>
        <v>87720</v>
      </c>
      <c r="J18" s="639">
        <f>J13</f>
        <v>87706</v>
      </c>
      <c r="K18" s="604"/>
    </row>
    <row r="19" spans="1:15" s="599" customFormat="1" ht="15.75">
      <c r="A19" s="632" t="s">
        <v>259</v>
      </c>
      <c r="B19" s="633" t="s">
        <v>1984</v>
      </c>
      <c r="C19" s="683" t="s">
        <v>1973</v>
      </c>
      <c r="D19" s="643">
        <f>D13</f>
        <v>85516</v>
      </c>
      <c r="E19" s="636">
        <v>89136.28</v>
      </c>
      <c r="F19" s="637">
        <f>F13</f>
        <v>87289</v>
      </c>
      <c r="G19" s="638">
        <f>G13</f>
        <v>87289</v>
      </c>
      <c r="H19" s="639">
        <f>H13</f>
        <v>87734</v>
      </c>
      <c r="I19" s="639">
        <f>I13</f>
        <v>87720</v>
      </c>
      <c r="J19" s="639">
        <f>J13</f>
        <v>87706</v>
      </c>
      <c r="K19" s="604"/>
    </row>
    <row r="20" spans="1:15" s="599" customFormat="1" ht="15.75">
      <c r="A20" s="632" t="s">
        <v>1985</v>
      </c>
      <c r="B20" s="633" t="s">
        <v>1986</v>
      </c>
      <c r="C20" s="683" t="s">
        <v>1973</v>
      </c>
      <c r="D20" s="635">
        <v>74976</v>
      </c>
      <c r="E20" s="636">
        <v>80127.56</v>
      </c>
      <c r="F20" s="648">
        <f>F7</f>
        <v>78484</v>
      </c>
      <c r="G20" s="649">
        <f>G7</f>
        <v>78484</v>
      </c>
      <c r="H20" s="650">
        <v>77194</v>
      </c>
      <c r="I20" s="650">
        <v>77180</v>
      </c>
      <c r="J20" s="650">
        <v>77166</v>
      </c>
      <c r="K20" s="606"/>
      <c r="L20" s="607"/>
      <c r="M20" s="607"/>
      <c r="N20" s="607"/>
      <c r="O20" s="607"/>
    </row>
    <row r="21" spans="1:15" s="599" customFormat="1" ht="15.75">
      <c r="A21" s="632" t="s">
        <v>1987</v>
      </c>
      <c r="B21" s="633" t="s">
        <v>1988</v>
      </c>
      <c r="C21" s="683" t="s">
        <v>1973</v>
      </c>
      <c r="D21" s="643">
        <v>10540</v>
      </c>
      <c r="E21" s="636">
        <v>9008.7369999999992</v>
      </c>
      <c r="F21" s="643">
        <v>10540</v>
      </c>
      <c r="G21" s="644">
        <v>10540</v>
      </c>
      <c r="H21" s="639">
        <v>10540</v>
      </c>
      <c r="I21" s="639">
        <v>10540</v>
      </c>
      <c r="J21" s="639">
        <v>10540</v>
      </c>
      <c r="K21" s="605"/>
    </row>
    <row r="22" spans="1:15" s="599" customFormat="1" ht="31.5">
      <c r="A22" s="632" t="s">
        <v>1989</v>
      </c>
      <c r="B22" s="633" t="s">
        <v>1990</v>
      </c>
      <c r="C22" s="683" t="s">
        <v>1973</v>
      </c>
      <c r="D22" s="643"/>
      <c r="E22" s="636"/>
      <c r="F22" s="643"/>
      <c r="G22" s="644"/>
      <c r="H22" s="634"/>
      <c r="I22" s="634"/>
      <c r="J22" s="634"/>
      <c r="K22" s="605"/>
    </row>
    <row r="23" spans="1:15" s="599" customFormat="1" ht="15.75">
      <c r="A23" s="632" t="s">
        <v>260</v>
      </c>
      <c r="B23" s="633" t="s">
        <v>1991</v>
      </c>
      <c r="C23" s="683" t="s">
        <v>1973</v>
      </c>
      <c r="D23" s="643">
        <v>11057</v>
      </c>
      <c r="E23" s="636">
        <v>11525</v>
      </c>
      <c r="F23" s="637">
        <v>11278</v>
      </c>
      <c r="G23" s="638">
        <v>11278</v>
      </c>
      <c r="H23" s="639">
        <v>11326</v>
      </c>
      <c r="I23" s="639">
        <v>11316</v>
      </c>
      <c r="J23" s="639">
        <v>11305</v>
      </c>
      <c r="K23" s="604"/>
    </row>
    <row r="24" spans="1:15" s="599" customFormat="1" ht="15.75">
      <c r="A24" s="632" t="s">
        <v>261</v>
      </c>
      <c r="B24" s="633" t="s">
        <v>1992</v>
      </c>
      <c r="C24" s="683" t="s">
        <v>1973</v>
      </c>
      <c r="D24" s="635">
        <v>20584</v>
      </c>
      <c r="E24" s="636">
        <v>18918.8</v>
      </c>
      <c r="F24" s="637">
        <v>21010</v>
      </c>
      <c r="G24" s="638">
        <v>21010</v>
      </c>
      <c r="H24" s="639">
        <v>21118</v>
      </c>
      <c r="I24" s="639">
        <v>21114</v>
      </c>
      <c r="J24" s="639">
        <v>21111</v>
      </c>
      <c r="K24" s="604"/>
    </row>
    <row r="25" spans="1:15" s="599" customFormat="1" ht="15.75">
      <c r="A25" s="632" t="s">
        <v>262</v>
      </c>
      <c r="B25" s="633" t="s">
        <v>1993</v>
      </c>
      <c r="C25" s="683" t="s">
        <v>1973</v>
      </c>
      <c r="D25" s="638">
        <v>52140</v>
      </c>
      <c r="E25" s="636">
        <v>57104</v>
      </c>
      <c r="F25" s="637">
        <v>55001</v>
      </c>
      <c r="G25" s="638">
        <v>55001</v>
      </c>
      <c r="H25" s="639">
        <f>H13-H23-H24</f>
        <v>55290</v>
      </c>
      <c r="I25" s="639">
        <f>I13-I23-I24</f>
        <v>55290</v>
      </c>
      <c r="J25" s="639">
        <f>J13-J23-J24</f>
        <v>55290</v>
      </c>
      <c r="K25" s="604"/>
    </row>
    <row r="26" spans="1:15" s="599" customFormat="1" ht="31.5">
      <c r="A26" s="632" t="s">
        <v>1994</v>
      </c>
      <c r="B26" s="633" t="s">
        <v>1995</v>
      </c>
      <c r="C26" s="683" t="s">
        <v>1973</v>
      </c>
      <c r="D26" s="643"/>
      <c r="E26" s="636"/>
      <c r="F26" s="643"/>
      <c r="G26" s="644"/>
      <c r="H26" s="634"/>
      <c r="I26" s="634"/>
      <c r="J26" s="634"/>
      <c r="K26" s="605"/>
    </row>
    <row r="27" spans="1:15" s="599" customFormat="1" ht="15.75">
      <c r="A27" s="646" t="s">
        <v>672</v>
      </c>
      <c r="B27" s="647" t="s">
        <v>1996</v>
      </c>
      <c r="C27" s="683" t="s">
        <v>1973</v>
      </c>
      <c r="D27" s="645"/>
      <c r="E27" s="636"/>
      <c r="F27" s="635"/>
      <c r="G27" s="638"/>
      <c r="H27" s="639"/>
      <c r="I27" s="639"/>
      <c r="J27" s="639"/>
      <c r="K27" s="604"/>
    </row>
    <row r="28" spans="1:15" s="599" customFormat="1" ht="15.75">
      <c r="A28" s="632" t="s">
        <v>827</v>
      </c>
      <c r="B28" s="633" t="s">
        <v>1984</v>
      </c>
      <c r="C28" s="683" t="s">
        <v>1973</v>
      </c>
      <c r="D28" s="643"/>
      <c r="E28" s="636"/>
      <c r="F28" s="637"/>
      <c r="G28" s="638"/>
      <c r="H28" s="639"/>
      <c r="I28" s="639"/>
      <c r="J28" s="639"/>
      <c r="K28" s="604"/>
    </row>
    <row r="29" spans="1:15" s="599" customFormat="1" ht="15.75">
      <c r="A29" s="632" t="s">
        <v>829</v>
      </c>
      <c r="B29" s="633" t="s">
        <v>1991</v>
      </c>
      <c r="C29" s="683" t="s">
        <v>1973</v>
      </c>
      <c r="D29" s="643"/>
      <c r="E29" s="636"/>
      <c r="F29" s="643"/>
      <c r="G29" s="644"/>
      <c r="H29" s="634"/>
      <c r="I29" s="634"/>
      <c r="J29" s="634"/>
      <c r="K29" s="605"/>
    </row>
    <row r="30" spans="1:15" s="599" customFormat="1" ht="15.75">
      <c r="A30" s="632" t="s">
        <v>1997</v>
      </c>
      <c r="B30" s="633" t="s">
        <v>1992</v>
      </c>
      <c r="C30" s="683" t="s">
        <v>1973</v>
      </c>
      <c r="D30" s="643"/>
      <c r="E30" s="636"/>
      <c r="F30" s="643"/>
      <c r="G30" s="644"/>
      <c r="H30" s="634"/>
      <c r="I30" s="634"/>
      <c r="J30" s="634"/>
      <c r="K30" s="605"/>
    </row>
    <row r="31" spans="1:15" s="599" customFormat="1" ht="15.75">
      <c r="A31" s="632" t="s">
        <v>1998</v>
      </c>
      <c r="B31" s="633" t="s">
        <v>1993</v>
      </c>
      <c r="C31" s="683" t="s">
        <v>1973</v>
      </c>
      <c r="D31" s="645"/>
      <c r="E31" s="636"/>
      <c r="F31" s="645"/>
      <c r="G31" s="641"/>
      <c r="H31" s="642"/>
      <c r="I31" s="642"/>
      <c r="J31" s="642"/>
      <c r="K31" s="604"/>
    </row>
    <row r="32" spans="1:15" s="599" customFormat="1" ht="15.75">
      <c r="A32" s="646" t="s">
        <v>674</v>
      </c>
      <c r="B32" s="647" t="s">
        <v>1999</v>
      </c>
      <c r="C32" s="683" t="s">
        <v>1973</v>
      </c>
      <c r="D32" s="643"/>
      <c r="E32" s="636"/>
      <c r="F32" s="643"/>
      <c r="G32" s="644"/>
      <c r="H32" s="634"/>
      <c r="I32" s="634"/>
      <c r="J32" s="634"/>
      <c r="K32" s="605"/>
    </row>
    <row r="33" spans="1:11" s="599" customFormat="1" ht="15.75">
      <c r="A33" s="632" t="s">
        <v>1392</v>
      </c>
      <c r="B33" s="633" t="s">
        <v>1984</v>
      </c>
      <c r="C33" s="683" t="s">
        <v>1973</v>
      </c>
      <c r="D33" s="643"/>
      <c r="E33" s="636"/>
      <c r="F33" s="643"/>
      <c r="G33" s="644"/>
      <c r="H33" s="634"/>
      <c r="I33" s="634"/>
      <c r="J33" s="634"/>
      <c r="K33" s="605"/>
    </row>
    <row r="34" spans="1:11" s="599" customFormat="1" ht="15.75">
      <c r="A34" s="632" t="s">
        <v>1391</v>
      </c>
      <c r="B34" s="633" t="s">
        <v>1991</v>
      </c>
      <c r="C34" s="683" t="s">
        <v>1973</v>
      </c>
      <c r="D34" s="643"/>
      <c r="E34" s="636"/>
      <c r="F34" s="643"/>
      <c r="G34" s="644"/>
      <c r="H34" s="634"/>
      <c r="I34" s="634"/>
      <c r="J34" s="634"/>
      <c r="K34" s="605"/>
    </row>
    <row r="35" spans="1:11" s="599" customFormat="1" ht="15.75">
      <c r="A35" s="632" t="s">
        <v>1390</v>
      </c>
      <c r="B35" s="633" t="s">
        <v>1992</v>
      </c>
      <c r="C35" s="683" t="s">
        <v>1973</v>
      </c>
      <c r="D35" s="643"/>
      <c r="E35" s="636"/>
      <c r="F35" s="643"/>
      <c r="G35" s="644"/>
      <c r="H35" s="634"/>
      <c r="I35" s="634"/>
      <c r="J35" s="634"/>
      <c r="K35" s="605"/>
    </row>
    <row r="36" spans="1:11" s="599" customFormat="1" ht="15.75">
      <c r="A36" s="632" t="s">
        <v>2000</v>
      </c>
      <c r="B36" s="633" t="s">
        <v>1993</v>
      </c>
      <c r="C36" s="683" t="s">
        <v>1973</v>
      </c>
      <c r="D36" s="643"/>
      <c r="E36" s="636"/>
      <c r="F36" s="643"/>
      <c r="G36" s="644"/>
      <c r="H36" s="634"/>
      <c r="I36" s="634"/>
      <c r="J36" s="634"/>
      <c r="K36" s="605"/>
    </row>
    <row r="37" spans="1:11" s="599" customFormat="1" ht="15.75">
      <c r="A37" s="646" t="s">
        <v>676</v>
      </c>
      <c r="B37" s="647" t="s">
        <v>2001</v>
      </c>
      <c r="C37" s="683" t="s">
        <v>1973</v>
      </c>
      <c r="D37" s="635">
        <f>D49</f>
        <v>52140</v>
      </c>
      <c r="E37" s="636">
        <f t="shared" ref="E37:J37" si="0">E49</f>
        <v>57104.274999999994</v>
      </c>
      <c r="F37" s="635">
        <f t="shared" si="0"/>
        <v>55001.007869999994</v>
      </c>
      <c r="G37" s="638">
        <f t="shared" si="0"/>
        <v>55001.007869999994</v>
      </c>
      <c r="H37" s="639">
        <f t="shared" si="0"/>
        <v>55289.99851079275</v>
      </c>
      <c r="I37" s="639">
        <f t="shared" si="0"/>
        <v>55289.99851079275</v>
      </c>
      <c r="J37" s="639">
        <f t="shared" si="0"/>
        <v>55289.99851079275</v>
      </c>
      <c r="K37" s="608"/>
    </row>
    <row r="38" spans="1:11" s="599" customFormat="1" ht="15.75">
      <c r="A38" s="632" t="s">
        <v>2002</v>
      </c>
      <c r="B38" s="633" t="s">
        <v>2003</v>
      </c>
      <c r="C38" s="683" t="s">
        <v>1973</v>
      </c>
      <c r="D38" s="651"/>
      <c r="E38" s="636"/>
      <c r="F38" s="652"/>
      <c r="G38" s="653"/>
      <c r="H38" s="654"/>
      <c r="I38" s="654"/>
      <c r="J38" s="654"/>
      <c r="K38" s="608"/>
    </row>
    <row r="39" spans="1:11" s="599" customFormat="1" ht="15.75">
      <c r="A39" s="632" t="s">
        <v>2004</v>
      </c>
      <c r="B39" s="633" t="s">
        <v>2005</v>
      </c>
      <c r="C39" s="683" t="s">
        <v>1973</v>
      </c>
      <c r="D39" s="651"/>
      <c r="E39" s="636"/>
      <c r="F39" s="652"/>
      <c r="G39" s="653"/>
      <c r="H39" s="654"/>
      <c r="I39" s="654"/>
      <c r="J39" s="654"/>
      <c r="K39" s="608"/>
    </row>
    <row r="40" spans="1:11" s="599" customFormat="1" ht="15.75">
      <c r="A40" s="632" t="s">
        <v>2006</v>
      </c>
      <c r="B40" s="633" t="s">
        <v>2007</v>
      </c>
      <c r="C40" s="683" t="s">
        <v>1973</v>
      </c>
      <c r="D40" s="651"/>
      <c r="E40" s="636"/>
      <c r="F40" s="652"/>
      <c r="G40" s="653"/>
      <c r="H40" s="654"/>
      <c r="I40" s="654"/>
      <c r="J40" s="654"/>
      <c r="K40" s="608"/>
    </row>
    <row r="41" spans="1:11" s="599" customFormat="1" ht="15.75">
      <c r="A41" s="632" t="s">
        <v>2008</v>
      </c>
      <c r="B41" s="633" t="s">
        <v>2009</v>
      </c>
      <c r="C41" s="683" t="s">
        <v>1973</v>
      </c>
      <c r="D41" s="651"/>
      <c r="E41" s="636"/>
      <c r="F41" s="652"/>
      <c r="G41" s="653"/>
      <c r="H41" s="654"/>
      <c r="I41" s="654"/>
      <c r="J41" s="654"/>
      <c r="K41" s="608"/>
    </row>
    <row r="42" spans="1:11" s="599" customFormat="1" ht="15.75">
      <c r="A42" s="632" t="s">
        <v>2010</v>
      </c>
      <c r="B42" s="633" t="s">
        <v>2011</v>
      </c>
      <c r="C42" s="683" t="s">
        <v>1973</v>
      </c>
      <c r="D42" s="643"/>
      <c r="E42" s="636"/>
      <c r="F42" s="643"/>
      <c r="G42" s="644"/>
      <c r="H42" s="634"/>
      <c r="I42" s="634"/>
      <c r="J42" s="634"/>
      <c r="K42" s="605"/>
    </row>
    <row r="43" spans="1:11" s="599" customFormat="1" ht="15.75">
      <c r="A43" s="632" t="s">
        <v>2012</v>
      </c>
      <c r="B43" s="633" t="s">
        <v>2013</v>
      </c>
      <c r="C43" s="683" t="s">
        <v>1973</v>
      </c>
      <c r="D43" s="643"/>
      <c r="E43" s="636"/>
      <c r="F43" s="643"/>
      <c r="G43" s="644"/>
      <c r="H43" s="634"/>
      <c r="I43" s="634"/>
      <c r="J43" s="634"/>
      <c r="K43" s="605"/>
    </row>
    <row r="44" spans="1:11" s="599" customFormat="1" ht="15.75">
      <c r="A44" s="632" t="s">
        <v>2014</v>
      </c>
      <c r="B44" s="633" t="s">
        <v>2015</v>
      </c>
      <c r="C44" s="683" t="s">
        <v>1973</v>
      </c>
      <c r="D44" s="643"/>
      <c r="E44" s="636"/>
      <c r="F44" s="643"/>
      <c r="G44" s="644"/>
      <c r="H44" s="634"/>
      <c r="I44" s="634"/>
      <c r="J44" s="634"/>
      <c r="K44" s="605"/>
    </row>
    <row r="45" spans="1:11" s="599" customFormat="1" ht="31.5">
      <c r="A45" s="632" t="s">
        <v>2016</v>
      </c>
      <c r="B45" s="633" t="s">
        <v>2017</v>
      </c>
      <c r="C45" s="683" t="s">
        <v>1973</v>
      </c>
      <c r="D45" s="643"/>
      <c r="E45" s="636"/>
      <c r="F45" s="643"/>
      <c r="G45" s="638"/>
      <c r="H45" s="655"/>
      <c r="I45" s="655"/>
      <c r="J45" s="655"/>
      <c r="K45" s="605"/>
    </row>
    <row r="46" spans="1:11" s="599" customFormat="1" ht="15.75">
      <c r="A46" s="632" t="s">
        <v>2018</v>
      </c>
      <c r="B46" s="633" t="s">
        <v>2019</v>
      </c>
      <c r="C46" s="683" t="s">
        <v>1973</v>
      </c>
      <c r="D46" s="637"/>
      <c r="E46" s="656"/>
      <c r="F46" s="635"/>
      <c r="G46" s="644"/>
      <c r="H46" s="634"/>
      <c r="I46" s="634"/>
      <c r="J46" s="634"/>
      <c r="K46" s="605"/>
    </row>
    <row r="47" spans="1:11" s="599" customFormat="1" ht="15.75">
      <c r="A47" s="632" t="s">
        <v>2020</v>
      </c>
      <c r="B47" s="633" t="s">
        <v>2021</v>
      </c>
      <c r="C47" s="683" t="s">
        <v>1973</v>
      </c>
      <c r="D47" s="643"/>
      <c r="E47" s="636"/>
      <c r="F47" s="657"/>
      <c r="G47" s="644"/>
      <c r="H47" s="634"/>
      <c r="I47" s="634"/>
      <c r="J47" s="634"/>
      <c r="K47" s="605"/>
    </row>
    <row r="48" spans="1:11" s="599" customFormat="1" ht="15.75">
      <c r="A48" s="632" t="s">
        <v>2022</v>
      </c>
      <c r="B48" s="633" t="s">
        <v>2023</v>
      </c>
      <c r="C48" s="683" t="s">
        <v>1973</v>
      </c>
      <c r="D48" s="643"/>
      <c r="E48" s="636"/>
      <c r="F48" s="657"/>
      <c r="G48" s="644"/>
      <c r="H48" s="634"/>
      <c r="I48" s="634"/>
      <c r="J48" s="634"/>
      <c r="K48" s="600"/>
    </row>
    <row r="49" spans="1:19" s="600" customFormat="1" ht="15.75">
      <c r="A49" s="632" t="s">
        <v>2024</v>
      </c>
      <c r="B49" s="633" t="s">
        <v>2025</v>
      </c>
      <c r="C49" s="683" t="s">
        <v>1973</v>
      </c>
      <c r="D49" s="658">
        <f>SUM(D50:D52)</f>
        <v>52140</v>
      </c>
      <c r="E49" s="659">
        <f>SUM(E50:E52)</f>
        <v>57104.274999999994</v>
      </c>
      <c r="F49" s="660">
        <f>SUM(F50:F52)</f>
        <v>55001.007869999994</v>
      </c>
      <c r="G49" s="661">
        <v>55001.007869999994</v>
      </c>
      <c r="H49" s="662">
        <v>55289.99851079275</v>
      </c>
      <c r="I49" s="662">
        <v>55289.99851079275</v>
      </c>
      <c r="J49" s="662">
        <v>55289.99851079275</v>
      </c>
      <c r="K49" s="605"/>
      <c r="L49" s="609"/>
      <c r="M49" s="609"/>
      <c r="N49" s="609"/>
      <c r="O49" s="609"/>
      <c r="P49" s="609"/>
      <c r="Q49" s="609"/>
      <c r="R49" s="609"/>
      <c r="S49" s="609"/>
    </row>
    <row r="50" spans="1:19" s="600" customFormat="1" ht="15.75">
      <c r="A50" s="632" t="s">
        <v>2026</v>
      </c>
      <c r="B50" s="633" t="s">
        <v>2027</v>
      </c>
      <c r="C50" s="683" t="s">
        <v>1973</v>
      </c>
      <c r="D50" s="660">
        <v>13135</v>
      </c>
      <c r="E50" s="663">
        <v>14097.779</v>
      </c>
      <c r="F50" s="658">
        <v>12466.181629999999</v>
      </c>
      <c r="G50" s="659">
        <v>12466.181629999999</v>
      </c>
      <c r="H50" s="662">
        <v>12993.15</v>
      </c>
      <c r="I50" s="662">
        <v>12993.15</v>
      </c>
      <c r="J50" s="662">
        <v>12993.15</v>
      </c>
      <c r="K50" s="605"/>
      <c r="L50" s="610"/>
      <c r="M50" s="610"/>
      <c r="N50" s="610"/>
      <c r="O50" s="610"/>
      <c r="P50" s="610"/>
      <c r="Q50" s="610"/>
      <c r="R50" s="610"/>
      <c r="S50" s="609"/>
    </row>
    <row r="51" spans="1:19" s="600" customFormat="1" ht="15.75">
      <c r="A51" s="632" t="s">
        <v>2028</v>
      </c>
      <c r="B51" s="633" t="s">
        <v>2029</v>
      </c>
      <c r="C51" s="683" t="s">
        <v>1973</v>
      </c>
      <c r="D51" s="660">
        <v>3939</v>
      </c>
      <c r="E51" s="663">
        <v>3783.0949999999998</v>
      </c>
      <c r="F51" s="658">
        <v>3754.5398000000005</v>
      </c>
      <c r="G51" s="659">
        <v>3754.5398000000005</v>
      </c>
      <c r="H51" s="662">
        <v>3317.4</v>
      </c>
      <c r="I51" s="662">
        <v>3317.4</v>
      </c>
      <c r="J51" s="662">
        <v>3317.4</v>
      </c>
      <c r="K51" s="605"/>
      <c r="L51" s="610"/>
      <c r="M51" s="610"/>
      <c r="N51" s="610"/>
      <c r="O51" s="610"/>
      <c r="P51" s="610"/>
      <c r="Q51" s="610"/>
      <c r="R51" s="610"/>
      <c r="S51" s="609"/>
    </row>
    <row r="52" spans="1:19" s="600" customFormat="1" ht="15.75">
      <c r="A52" s="632" t="s">
        <v>2030</v>
      </c>
      <c r="B52" s="633" t="s">
        <v>2031</v>
      </c>
      <c r="C52" s="683" t="s">
        <v>1973</v>
      </c>
      <c r="D52" s="660">
        <v>35066</v>
      </c>
      <c r="E52" s="663">
        <v>39223.400999999998</v>
      </c>
      <c r="F52" s="658">
        <v>38780.286439999996</v>
      </c>
      <c r="G52" s="659">
        <v>38780.286439999996</v>
      </c>
      <c r="H52" s="662">
        <v>38979.449999999997</v>
      </c>
      <c r="I52" s="662">
        <v>38979.449999999997</v>
      </c>
      <c r="J52" s="662">
        <v>38979.449999999997</v>
      </c>
      <c r="K52" s="605"/>
      <c r="L52" s="610"/>
      <c r="M52" s="610"/>
      <c r="N52" s="610"/>
      <c r="O52" s="610"/>
      <c r="P52" s="610"/>
      <c r="Q52" s="610"/>
      <c r="R52" s="610"/>
      <c r="S52" s="609"/>
    </row>
    <row r="53" spans="1:19" s="599" customFormat="1" ht="15.75">
      <c r="A53" s="646" t="s">
        <v>679</v>
      </c>
      <c r="B53" s="647" t="s">
        <v>2032</v>
      </c>
      <c r="C53" s="683" t="s">
        <v>1973</v>
      </c>
      <c r="D53" s="643"/>
      <c r="E53" s="636"/>
      <c r="F53" s="664"/>
      <c r="G53" s="644"/>
      <c r="H53" s="634"/>
      <c r="I53" s="634"/>
      <c r="J53" s="634"/>
      <c r="K53" s="605"/>
    </row>
    <row r="54" spans="1:19" s="599" customFormat="1" ht="15.75">
      <c r="A54" s="632" t="s">
        <v>2033</v>
      </c>
      <c r="B54" s="633" t="s">
        <v>2003</v>
      </c>
      <c r="C54" s="683" t="s">
        <v>1973</v>
      </c>
      <c r="D54" s="645"/>
      <c r="E54" s="636"/>
      <c r="F54" s="640"/>
      <c r="G54" s="644"/>
      <c r="H54" s="634"/>
      <c r="I54" s="634"/>
      <c r="J54" s="634"/>
      <c r="K54" s="605"/>
    </row>
    <row r="55" spans="1:19" s="599" customFormat="1" ht="15.75">
      <c r="A55" s="632" t="s">
        <v>2034</v>
      </c>
      <c r="B55" s="633" t="s">
        <v>2011</v>
      </c>
      <c r="C55" s="683" t="s">
        <v>1973</v>
      </c>
      <c r="D55" s="643"/>
      <c r="E55" s="636"/>
      <c r="F55" s="643"/>
      <c r="G55" s="644"/>
      <c r="H55" s="634"/>
      <c r="I55" s="634"/>
      <c r="J55" s="634"/>
      <c r="K55" s="605"/>
    </row>
    <row r="56" spans="1:19" s="599" customFormat="1" ht="15.75">
      <c r="A56" s="632" t="s">
        <v>2035</v>
      </c>
      <c r="B56" s="633" t="s">
        <v>2013</v>
      </c>
      <c r="C56" s="683" t="s">
        <v>1973</v>
      </c>
      <c r="D56" s="643"/>
      <c r="E56" s="636"/>
      <c r="F56" s="643"/>
      <c r="G56" s="644"/>
      <c r="H56" s="634"/>
      <c r="I56" s="634"/>
      <c r="J56" s="634"/>
      <c r="K56" s="605"/>
    </row>
    <row r="57" spans="1:19" s="599" customFormat="1" ht="15.75">
      <c r="A57" s="632" t="s">
        <v>2036</v>
      </c>
      <c r="B57" s="633" t="s">
        <v>2015</v>
      </c>
      <c r="C57" s="683" t="s">
        <v>1973</v>
      </c>
      <c r="D57" s="643"/>
      <c r="E57" s="636"/>
      <c r="F57" s="643"/>
      <c r="G57" s="644"/>
      <c r="H57" s="634"/>
      <c r="I57" s="634"/>
      <c r="J57" s="634"/>
      <c r="K57" s="605"/>
    </row>
    <row r="58" spans="1:19" s="599" customFormat="1" ht="31.5">
      <c r="A58" s="632" t="s">
        <v>2037</v>
      </c>
      <c r="B58" s="633" t="s">
        <v>2017</v>
      </c>
      <c r="C58" s="683" t="s">
        <v>1973</v>
      </c>
      <c r="D58" s="643"/>
      <c r="E58" s="636"/>
      <c r="F58" s="643"/>
      <c r="G58" s="644"/>
      <c r="H58" s="634"/>
      <c r="I58" s="634"/>
      <c r="J58" s="634"/>
      <c r="K58" s="605"/>
    </row>
    <row r="59" spans="1:19" s="599" customFormat="1" ht="15.75">
      <c r="A59" s="632" t="s">
        <v>2038</v>
      </c>
      <c r="B59" s="633" t="s">
        <v>2019</v>
      </c>
      <c r="C59" s="683" t="s">
        <v>1973</v>
      </c>
      <c r="D59" s="643"/>
      <c r="E59" s="665"/>
      <c r="F59" s="643"/>
      <c r="G59" s="644"/>
      <c r="H59" s="634"/>
      <c r="I59" s="634"/>
      <c r="J59" s="634"/>
      <c r="K59" s="605"/>
    </row>
    <row r="60" spans="1:19" s="599" customFormat="1" ht="15.75">
      <c r="A60" s="632" t="s">
        <v>2039</v>
      </c>
      <c r="B60" s="633" t="s">
        <v>2021</v>
      </c>
      <c r="C60" s="683" t="s">
        <v>1973</v>
      </c>
      <c r="D60" s="643"/>
      <c r="E60" s="665"/>
      <c r="F60" s="643"/>
      <c r="G60" s="644"/>
      <c r="H60" s="634"/>
      <c r="I60" s="634"/>
      <c r="J60" s="634"/>
      <c r="K60" s="605"/>
    </row>
    <row r="61" spans="1:19" s="599" customFormat="1" ht="15.75">
      <c r="A61" s="632" t="s">
        <v>2040</v>
      </c>
      <c r="B61" s="633" t="s">
        <v>2023</v>
      </c>
      <c r="C61" s="683" t="s">
        <v>1973</v>
      </c>
      <c r="D61" s="643"/>
      <c r="E61" s="665"/>
      <c r="F61" s="643"/>
      <c r="G61" s="644"/>
      <c r="H61" s="634"/>
      <c r="I61" s="634"/>
      <c r="J61" s="634"/>
      <c r="K61" s="605"/>
    </row>
    <row r="62" spans="1:19" s="599" customFormat="1" ht="15.75">
      <c r="A62" s="666" t="s">
        <v>2041</v>
      </c>
      <c r="B62" s="667" t="s">
        <v>2025</v>
      </c>
      <c r="C62" s="684" t="s">
        <v>1973</v>
      </c>
      <c r="D62" s="643"/>
      <c r="E62" s="665"/>
      <c r="F62" s="643"/>
      <c r="G62" s="644"/>
      <c r="H62" s="634"/>
      <c r="I62" s="634"/>
      <c r="J62" s="634"/>
      <c r="K62" s="605"/>
    </row>
    <row r="63" spans="1:19" s="599" customFormat="1" ht="15.75">
      <c r="A63" s="646" t="s">
        <v>681</v>
      </c>
      <c r="B63" s="647" t="s">
        <v>2042</v>
      </c>
      <c r="C63" s="683" t="s">
        <v>1973</v>
      </c>
      <c r="D63" s="643"/>
      <c r="E63" s="665"/>
      <c r="F63" s="643"/>
      <c r="G63" s="644"/>
      <c r="H63" s="634"/>
      <c r="I63" s="634"/>
      <c r="J63" s="634"/>
      <c r="K63" s="605"/>
    </row>
    <row r="64" spans="1:19" s="599" customFormat="1" ht="15.75">
      <c r="A64" s="632" t="s">
        <v>831</v>
      </c>
      <c r="B64" s="633" t="s">
        <v>2003</v>
      </c>
      <c r="C64" s="683" t="s">
        <v>1973</v>
      </c>
      <c r="D64" s="643"/>
      <c r="E64" s="665"/>
      <c r="F64" s="643"/>
      <c r="G64" s="644"/>
      <c r="H64" s="634"/>
      <c r="I64" s="634"/>
      <c r="J64" s="634"/>
      <c r="K64" s="605"/>
    </row>
    <row r="65" spans="1:11" s="599" customFormat="1" ht="15.75">
      <c r="A65" s="632" t="s">
        <v>832</v>
      </c>
      <c r="B65" s="633" t="s">
        <v>2005</v>
      </c>
      <c r="C65" s="683" t="s">
        <v>1973</v>
      </c>
      <c r="D65" s="643"/>
      <c r="E65" s="665"/>
      <c r="F65" s="643"/>
      <c r="G65" s="644"/>
      <c r="H65" s="634"/>
      <c r="I65" s="634"/>
      <c r="J65" s="634"/>
      <c r="K65" s="605"/>
    </row>
    <row r="66" spans="1:11" s="599" customFormat="1" ht="15.75">
      <c r="A66" s="632" t="s">
        <v>833</v>
      </c>
      <c r="B66" s="633" t="s">
        <v>2007</v>
      </c>
      <c r="C66" s="683" t="s">
        <v>1973</v>
      </c>
      <c r="D66" s="643"/>
      <c r="E66" s="665"/>
      <c r="F66" s="643"/>
      <c r="G66" s="644"/>
      <c r="H66" s="634"/>
      <c r="I66" s="634"/>
      <c r="J66" s="634"/>
      <c r="K66" s="605"/>
    </row>
    <row r="67" spans="1:11" s="599" customFormat="1" ht="15.75">
      <c r="A67" s="632" t="s">
        <v>2043</v>
      </c>
      <c r="B67" s="633" t="s">
        <v>2044</v>
      </c>
      <c r="C67" s="683" t="s">
        <v>1973</v>
      </c>
      <c r="D67" s="643"/>
      <c r="E67" s="665"/>
      <c r="F67" s="643"/>
      <c r="G67" s="644"/>
      <c r="H67" s="634"/>
      <c r="I67" s="634"/>
      <c r="J67" s="634"/>
      <c r="K67" s="605"/>
    </row>
    <row r="68" spans="1:11" s="599" customFormat="1" ht="15.75">
      <c r="A68" s="632" t="s">
        <v>2045</v>
      </c>
      <c r="B68" s="633" t="s">
        <v>2046</v>
      </c>
      <c r="C68" s="683" t="s">
        <v>1973</v>
      </c>
      <c r="D68" s="643"/>
      <c r="E68" s="665"/>
      <c r="F68" s="643"/>
      <c r="G68" s="644"/>
      <c r="H68" s="634"/>
      <c r="I68" s="634"/>
      <c r="J68" s="634"/>
      <c r="K68" s="605"/>
    </row>
    <row r="69" spans="1:11" s="599" customFormat="1" ht="15.75">
      <c r="A69" s="632" t="s">
        <v>2047</v>
      </c>
      <c r="B69" s="633" t="s">
        <v>2048</v>
      </c>
      <c r="C69" s="683" t="s">
        <v>1973</v>
      </c>
      <c r="D69" s="643"/>
      <c r="E69" s="665"/>
      <c r="F69" s="643"/>
      <c r="G69" s="644"/>
      <c r="H69" s="634"/>
      <c r="I69" s="634"/>
      <c r="J69" s="634"/>
      <c r="K69" s="605"/>
    </row>
    <row r="70" spans="1:11" s="599" customFormat="1" ht="15.75">
      <c r="A70" s="632" t="s">
        <v>2049</v>
      </c>
      <c r="B70" s="633" t="s">
        <v>2050</v>
      </c>
      <c r="C70" s="683" t="s">
        <v>1973</v>
      </c>
      <c r="D70" s="643"/>
      <c r="E70" s="665"/>
      <c r="F70" s="643"/>
      <c r="G70" s="644"/>
      <c r="H70" s="634"/>
      <c r="I70" s="634"/>
      <c r="J70" s="634"/>
      <c r="K70" s="605"/>
    </row>
    <row r="71" spans="1:11" s="599" customFormat="1" ht="15.75">
      <c r="A71" s="632" t="s">
        <v>2051</v>
      </c>
      <c r="B71" s="633" t="s">
        <v>2011</v>
      </c>
      <c r="C71" s="683" t="s">
        <v>1973</v>
      </c>
      <c r="D71" s="643"/>
      <c r="E71" s="665"/>
      <c r="F71" s="643"/>
      <c r="G71" s="644"/>
      <c r="H71" s="634"/>
      <c r="I71" s="634"/>
      <c r="J71" s="634"/>
      <c r="K71" s="605"/>
    </row>
    <row r="72" spans="1:11" s="599" customFormat="1" ht="15.75">
      <c r="A72" s="632" t="s">
        <v>2052</v>
      </c>
      <c r="B72" s="633" t="s">
        <v>2013</v>
      </c>
      <c r="C72" s="683" t="s">
        <v>1973</v>
      </c>
      <c r="D72" s="643"/>
      <c r="E72" s="665"/>
      <c r="F72" s="643"/>
      <c r="G72" s="644"/>
      <c r="H72" s="634"/>
      <c r="I72" s="634"/>
      <c r="J72" s="634"/>
      <c r="K72" s="605"/>
    </row>
    <row r="73" spans="1:11" s="599" customFormat="1" ht="15.75">
      <c r="A73" s="632" t="s">
        <v>2053</v>
      </c>
      <c r="B73" s="633" t="s">
        <v>2015</v>
      </c>
      <c r="C73" s="683" t="s">
        <v>1973</v>
      </c>
      <c r="D73" s="643"/>
      <c r="E73" s="665"/>
      <c r="F73" s="643"/>
      <c r="G73" s="644"/>
      <c r="H73" s="634"/>
      <c r="I73" s="634"/>
      <c r="J73" s="634"/>
      <c r="K73" s="605"/>
    </row>
    <row r="74" spans="1:11" s="599" customFormat="1" ht="31.5">
      <c r="A74" s="632" t="s">
        <v>2054</v>
      </c>
      <c r="B74" s="633" t="s">
        <v>2017</v>
      </c>
      <c r="C74" s="683" t="s">
        <v>1973</v>
      </c>
      <c r="D74" s="643"/>
      <c r="E74" s="665"/>
      <c r="F74" s="643"/>
      <c r="G74" s="644"/>
      <c r="H74" s="634"/>
      <c r="I74" s="634"/>
      <c r="J74" s="634"/>
      <c r="K74" s="605"/>
    </row>
    <row r="75" spans="1:11" s="599" customFormat="1" ht="15.75">
      <c r="A75" s="632" t="s">
        <v>2055</v>
      </c>
      <c r="B75" s="633" t="s">
        <v>2019</v>
      </c>
      <c r="C75" s="683" t="s">
        <v>1973</v>
      </c>
      <c r="D75" s="643"/>
      <c r="E75" s="665"/>
      <c r="F75" s="643"/>
      <c r="G75" s="644"/>
      <c r="H75" s="634"/>
      <c r="I75" s="634"/>
      <c r="J75" s="634"/>
      <c r="K75" s="605"/>
    </row>
    <row r="76" spans="1:11" s="599" customFormat="1" ht="15.75">
      <c r="A76" s="632" t="s">
        <v>2056</v>
      </c>
      <c r="B76" s="633" t="s">
        <v>2021</v>
      </c>
      <c r="C76" s="683" t="s">
        <v>1973</v>
      </c>
      <c r="D76" s="643"/>
      <c r="E76" s="665"/>
      <c r="F76" s="643"/>
      <c r="G76" s="644"/>
      <c r="H76" s="634"/>
      <c r="I76" s="634"/>
      <c r="J76" s="634"/>
      <c r="K76" s="605"/>
    </row>
    <row r="77" spans="1:11" s="599" customFormat="1" ht="15.75">
      <c r="A77" s="632" t="s">
        <v>2057</v>
      </c>
      <c r="B77" s="633" t="s">
        <v>2023</v>
      </c>
      <c r="C77" s="683" t="s">
        <v>1973</v>
      </c>
      <c r="D77" s="643"/>
      <c r="E77" s="665"/>
      <c r="F77" s="643"/>
      <c r="G77" s="644"/>
      <c r="H77" s="634"/>
      <c r="I77" s="634"/>
      <c r="J77" s="634"/>
      <c r="K77" s="605"/>
    </row>
    <row r="78" spans="1:11" s="599" customFormat="1" ht="15.75">
      <c r="A78" s="632" t="s">
        <v>2058</v>
      </c>
      <c r="B78" s="633" t="s">
        <v>2025</v>
      </c>
      <c r="C78" s="683" t="s">
        <v>1973</v>
      </c>
      <c r="D78" s="643"/>
      <c r="E78" s="665"/>
      <c r="F78" s="643"/>
      <c r="G78" s="644"/>
      <c r="H78" s="634"/>
      <c r="I78" s="634"/>
      <c r="J78" s="634"/>
      <c r="K78" s="605"/>
    </row>
    <row r="79" spans="1:11" s="599" customFormat="1" ht="31.5">
      <c r="A79" s="646" t="s">
        <v>683</v>
      </c>
      <c r="B79" s="647" t="s">
        <v>836</v>
      </c>
      <c r="C79" s="683" t="s">
        <v>1973</v>
      </c>
      <c r="D79" s="668">
        <f>D80+D81</f>
        <v>0</v>
      </c>
      <c r="E79" s="669">
        <f t="shared" ref="E79:J79" si="1">E80+E81</f>
        <v>1033.3246920000001</v>
      </c>
      <c r="F79" s="670">
        <f t="shared" si="1"/>
        <v>0</v>
      </c>
      <c r="G79" s="671">
        <f t="shared" si="1"/>
        <v>0</v>
      </c>
      <c r="H79" s="672">
        <f>H80+H81</f>
        <v>175.79999999999995</v>
      </c>
      <c r="I79" s="672">
        <f t="shared" si="1"/>
        <v>0</v>
      </c>
      <c r="J79" s="672">
        <f t="shared" si="1"/>
        <v>0</v>
      </c>
      <c r="K79" s="608"/>
    </row>
    <row r="80" spans="1:11" s="599" customFormat="1" ht="31.5">
      <c r="A80" s="632" t="s">
        <v>834</v>
      </c>
      <c r="B80" s="633" t="s">
        <v>2059</v>
      </c>
      <c r="C80" s="683" t="s">
        <v>1973</v>
      </c>
      <c r="D80" s="668">
        <v>0</v>
      </c>
      <c r="E80" s="669">
        <v>1033.3246920000001</v>
      </c>
      <c r="F80" s="670">
        <v>0</v>
      </c>
      <c r="G80" s="671">
        <v>0</v>
      </c>
      <c r="H80" s="672">
        <v>1213.5999999999999</v>
      </c>
      <c r="I80" s="672"/>
      <c r="J80" s="672"/>
      <c r="K80" s="608"/>
    </row>
    <row r="81" spans="1:11" s="599" customFormat="1" ht="31.5">
      <c r="A81" s="632" t="s">
        <v>835</v>
      </c>
      <c r="B81" s="633" t="s">
        <v>837</v>
      </c>
      <c r="C81" s="683" t="s">
        <v>1973</v>
      </c>
      <c r="D81" s="670">
        <v>0</v>
      </c>
      <c r="E81" s="673">
        <v>0</v>
      </c>
      <c r="F81" s="670">
        <v>0</v>
      </c>
      <c r="G81" s="671">
        <v>0</v>
      </c>
      <c r="H81" s="668">
        <v>-1037.8</v>
      </c>
      <c r="I81" s="668"/>
      <c r="J81" s="668"/>
      <c r="K81" s="611"/>
    </row>
    <row r="82" spans="1:11" s="599" customFormat="1" ht="63">
      <c r="A82" s="646" t="s">
        <v>685</v>
      </c>
      <c r="B82" s="647" t="s">
        <v>838</v>
      </c>
      <c r="C82" s="683" t="s">
        <v>1973</v>
      </c>
      <c r="D82" s="668">
        <v>0</v>
      </c>
      <c r="E82" s="669">
        <v>0</v>
      </c>
      <c r="F82" s="670">
        <v>0</v>
      </c>
      <c r="G82" s="674">
        <v>0</v>
      </c>
      <c r="H82" s="672">
        <v>0</v>
      </c>
      <c r="I82" s="672">
        <v>0</v>
      </c>
      <c r="J82" s="672">
        <v>0</v>
      </c>
      <c r="K82" s="605"/>
    </row>
    <row r="83" spans="1:11" s="599" customFormat="1" ht="16.5" thickBot="1">
      <c r="A83" s="675" t="s">
        <v>687</v>
      </c>
      <c r="B83" s="676" t="s">
        <v>839</v>
      </c>
      <c r="C83" s="677" t="s">
        <v>10</v>
      </c>
      <c r="D83" s="678"/>
      <c r="E83" s="679"/>
      <c r="F83" s="680"/>
      <c r="G83" s="681"/>
      <c r="H83" s="682">
        <v>-1.24E-2</v>
      </c>
      <c r="I83" s="682">
        <v>0</v>
      </c>
      <c r="J83" s="682">
        <v>0</v>
      </c>
      <c r="K83" s="612"/>
    </row>
  </sheetData>
  <mergeCells count="7">
    <mergeCell ref="A1:J1"/>
    <mergeCell ref="A2:J2"/>
    <mergeCell ref="A3:A4"/>
    <mergeCell ref="B3:B4"/>
    <mergeCell ref="C3:C4"/>
    <mergeCell ref="D3:E3"/>
    <mergeCell ref="F3:G3"/>
  </mergeCells>
  <pageMargins left="0.73" right="0.39370078740157483" top="0.94488188976377963" bottom="0.35433070866141736" header="0.31496062992125984" footer="0.27559055118110237"/>
  <pageSetup paperSize="9" scale="91"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dimension ref="A1:AL77"/>
  <sheetViews>
    <sheetView view="pageBreakPreview" topLeftCell="Y43" zoomScale="90" zoomScaleSheetLayoutView="90" workbookViewId="0">
      <selection activeCell="AF61" sqref="AF61"/>
    </sheetView>
  </sheetViews>
  <sheetFormatPr defaultColWidth="1.140625" defaultRowHeight="15"/>
  <cols>
    <col min="1" max="24" width="1.140625" hidden="1" customWidth="1"/>
    <col min="25" max="25" width="8" style="4" customWidth="1"/>
    <col min="26" max="26" width="3" style="4" customWidth="1"/>
    <col min="27" max="27" width="3.5703125" style="4" customWidth="1"/>
    <col min="28" max="28" width="5.5703125" style="4" customWidth="1"/>
    <col min="29" max="29" width="3.5703125" style="4" customWidth="1"/>
    <col min="30" max="30" width="8" style="4" customWidth="1"/>
    <col min="31" max="31" width="20.140625" customWidth="1"/>
    <col min="32" max="32" width="14.5703125" customWidth="1"/>
    <col min="33" max="34" width="9.85546875" style="31" customWidth="1"/>
    <col min="35" max="36" width="6.7109375" customWidth="1"/>
    <col min="37" max="37" width="10.7109375" customWidth="1"/>
    <col min="38" max="38" width="11.5703125" customWidth="1"/>
  </cols>
  <sheetData>
    <row r="1" spans="1:35" s="8" customFormat="1" ht="15.75">
      <c r="A1" s="988" t="s">
        <v>486</v>
      </c>
      <c r="B1" s="989"/>
      <c r="C1" s="989"/>
      <c r="D1" s="989"/>
      <c r="E1" s="989"/>
      <c r="F1" s="989"/>
      <c r="G1" s="989"/>
      <c r="H1" s="989"/>
      <c r="I1" s="989"/>
      <c r="J1" s="989"/>
      <c r="K1" s="989"/>
      <c r="L1" s="22"/>
      <c r="M1" s="22"/>
      <c r="N1" s="22"/>
      <c r="O1" s="22"/>
      <c r="P1" s="22"/>
      <c r="Q1" s="23"/>
      <c r="Y1" s="988" t="s">
        <v>486</v>
      </c>
      <c r="Z1" s="989"/>
      <c r="AA1" s="989"/>
      <c r="AB1" s="989"/>
      <c r="AC1" s="989"/>
      <c r="AD1" s="989"/>
      <c r="AE1" s="989"/>
      <c r="AF1" s="989"/>
      <c r="AG1" s="989"/>
      <c r="AH1" s="989"/>
      <c r="AI1" s="989"/>
    </row>
    <row r="2" spans="1:35" s="8" customFormat="1" ht="15.75">
      <c r="A2" s="990" t="s">
        <v>487</v>
      </c>
      <c r="B2" s="990"/>
      <c r="C2" s="990"/>
      <c r="D2" s="990"/>
      <c r="E2" s="990"/>
      <c r="F2" s="990"/>
      <c r="G2" s="990"/>
      <c r="H2" s="990"/>
      <c r="I2" s="990"/>
      <c r="J2" s="990"/>
      <c r="K2" s="991"/>
      <c r="L2" s="22"/>
      <c r="M2" s="22"/>
      <c r="N2" s="22"/>
      <c r="O2" s="22"/>
      <c r="P2" s="22"/>
      <c r="Q2" s="23"/>
      <c r="Y2" s="990" t="s">
        <v>487</v>
      </c>
      <c r="Z2" s="990"/>
      <c r="AA2" s="990"/>
      <c r="AB2" s="990"/>
      <c r="AC2" s="990"/>
      <c r="AD2" s="990"/>
      <c r="AE2" s="990"/>
      <c r="AF2" s="990"/>
      <c r="AG2" s="990"/>
      <c r="AH2" s="990"/>
      <c r="AI2" s="991"/>
    </row>
    <row r="3" spans="1:35" s="8" customFormat="1" ht="13.5" customHeight="1">
      <c r="A3" s="990" t="s">
        <v>488</v>
      </c>
      <c r="B3" s="991"/>
      <c r="C3" s="991"/>
      <c r="D3" s="991"/>
      <c r="E3" s="991"/>
      <c r="F3" s="991"/>
      <c r="G3" s="991"/>
      <c r="H3" s="991"/>
      <c r="I3" s="991"/>
      <c r="J3" s="991"/>
      <c r="K3" s="991"/>
      <c r="L3" s="22"/>
      <c r="M3" s="22"/>
      <c r="N3" s="22"/>
      <c r="O3" s="22"/>
      <c r="P3" s="22"/>
      <c r="Q3" s="23"/>
      <c r="Y3" s="990" t="s">
        <v>488</v>
      </c>
      <c r="Z3" s="991"/>
      <c r="AA3" s="991"/>
      <c r="AB3" s="991"/>
      <c r="AC3" s="991"/>
      <c r="AD3" s="991"/>
      <c r="AE3" s="991"/>
      <c r="AF3" s="991"/>
      <c r="AG3" s="991"/>
      <c r="AH3" s="991"/>
      <c r="AI3" s="991"/>
    </row>
    <row r="4" spans="1:35" s="8" customFormat="1" ht="6" customHeight="1">
      <c r="A4" s="24"/>
      <c r="B4" s="24"/>
      <c r="C4" s="24"/>
      <c r="D4" s="24"/>
      <c r="E4" s="24"/>
      <c r="F4" s="24"/>
      <c r="G4" s="24"/>
      <c r="H4" s="25"/>
      <c r="I4" s="26"/>
      <c r="J4" s="26"/>
      <c r="L4" s="22"/>
      <c r="M4" s="22"/>
      <c r="N4" s="22"/>
      <c r="O4" s="22"/>
      <c r="P4" s="22"/>
      <c r="Q4" s="23"/>
      <c r="Y4" s="24"/>
      <c r="Z4" s="24"/>
      <c r="AA4" s="24"/>
      <c r="AB4" s="24"/>
      <c r="AC4" s="24"/>
      <c r="AD4" s="24"/>
      <c r="AE4" s="24"/>
      <c r="AF4" s="25"/>
      <c r="AG4" s="26"/>
      <c r="AH4" s="26"/>
    </row>
    <row r="5" spans="1:35" s="8" customFormat="1" ht="30" customHeight="1">
      <c r="A5" s="997" t="s">
        <v>7</v>
      </c>
      <c r="B5" s="999" t="s">
        <v>8</v>
      </c>
      <c r="C5" s="1000"/>
      <c r="D5" s="1000"/>
      <c r="E5" s="1000"/>
      <c r="F5" s="1000"/>
      <c r="G5" s="1001"/>
      <c r="H5" s="1005" t="s">
        <v>489</v>
      </c>
      <c r="I5" s="1007" t="s">
        <v>490</v>
      </c>
      <c r="J5" s="1008"/>
      <c r="L5" s="22"/>
      <c r="M5" s="22"/>
      <c r="N5" s="22"/>
      <c r="O5" s="22"/>
      <c r="P5" s="22"/>
      <c r="Q5" s="23"/>
      <c r="Y5" s="1009" t="s">
        <v>7</v>
      </c>
      <c r="Z5" s="1011" t="s">
        <v>8</v>
      </c>
      <c r="AA5" s="1012"/>
      <c r="AB5" s="1012"/>
      <c r="AC5" s="1012"/>
      <c r="AD5" s="1012"/>
      <c r="AE5" s="1013"/>
      <c r="AF5" s="992" t="s">
        <v>489</v>
      </c>
      <c r="AG5" s="994" t="s">
        <v>490</v>
      </c>
      <c r="AH5" s="995"/>
    </row>
    <row r="6" spans="1:35" s="8" customFormat="1" ht="67.5" customHeight="1">
      <c r="A6" s="998"/>
      <c r="B6" s="1002"/>
      <c r="C6" s="1003"/>
      <c r="D6" s="1003"/>
      <c r="E6" s="1003"/>
      <c r="F6" s="1003"/>
      <c r="G6" s="1004"/>
      <c r="H6" s="1006"/>
      <c r="I6" s="27" t="s">
        <v>491</v>
      </c>
      <c r="J6" s="27" t="s">
        <v>492</v>
      </c>
      <c r="L6" s="22"/>
      <c r="M6" s="22"/>
      <c r="N6" s="22"/>
      <c r="O6" s="22"/>
      <c r="P6" s="22"/>
      <c r="Q6" s="23"/>
      <c r="Y6" s="1010"/>
      <c r="Z6" s="1014"/>
      <c r="AA6" s="1015"/>
      <c r="AB6" s="1015"/>
      <c r="AC6" s="1015"/>
      <c r="AD6" s="1015"/>
      <c r="AE6" s="1016"/>
      <c r="AF6" s="993"/>
      <c r="AG6" s="32" t="s">
        <v>491</v>
      </c>
      <c r="AH6" s="32" t="s">
        <v>492</v>
      </c>
    </row>
    <row r="7" spans="1:35" s="8" customFormat="1" ht="12" customHeight="1">
      <c r="A7" s="28">
        <v>1</v>
      </c>
      <c r="B7" s="996">
        <v>2</v>
      </c>
      <c r="C7" s="996"/>
      <c r="D7" s="996"/>
      <c r="E7" s="996"/>
      <c r="F7" s="996"/>
      <c r="G7" s="996"/>
      <c r="H7" s="28">
        <v>4</v>
      </c>
      <c r="I7" s="29">
        <v>5</v>
      </c>
      <c r="J7" s="30">
        <v>6</v>
      </c>
      <c r="L7" s="22"/>
      <c r="M7" s="22"/>
      <c r="N7" s="22"/>
      <c r="O7" s="22"/>
      <c r="P7" s="22"/>
      <c r="Q7" s="23"/>
      <c r="Y7" s="28">
        <v>1</v>
      </c>
      <c r="Z7" s="996">
        <v>2</v>
      </c>
      <c r="AA7" s="996"/>
      <c r="AB7" s="996"/>
      <c r="AC7" s="996"/>
      <c r="AD7" s="996"/>
      <c r="AE7" s="996"/>
      <c r="AF7" s="28">
        <v>4</v>
      </c>
      <c r="AG7" s="33">
        <v>5</v>
      </c>
      <c r="AH7" s="34">
        <v>6</v>
      </c>
    </row>
    <row r="8" spans="1:35" ht="17.25" customHeight="1">
      <c r="Y8" s="1017" t="s">
        <v>318</v>
      </c>
      <c r="Z8" s="1017"/>
      <c r="AA8" s="1017"/>
      <c r="AB8" s="1017"/>
      <c r="AC8" s="1017"/>
      <c r="AD8" s="1017"/>
      <c r="AE8" s="1017"/>
      <c r="AF8" s="1017"/>
      <c r="AG8" s="1017"/>
      <c r="AH8" s="1017"/>
    </row>
    <row r="9" spans="1:35" ht="18" customHeight="1">
      <c r="Y9" s="108">
        <v>1</v>
      </c>
      <c r="Z9" s="1018" t="s">
        <v>633</v>
      </c>
      <c r="AA9" s="1019"/>
      <c r="AB9" s="1019"/>
      <c r="AC9" s="1019"/>
      <c r="AD9" s="1019"/>
      <c r="AE9" s="1019"/>
      <c r="AF9" s="56">
        <f>SUM(AF10:AF18)</f>
        <v>88382.9</v>
      </c>
      <c r="AG9" s="109"/>
      <c r="AH9" s="109"/>
    </row>
    <row r="10" spans="1:35" s="31" customFormat="1" ht="15" customHeight="1">
      <c r="Y10" s="111" t="s">
        <v>634</v>
      </c>
      <c r="Z10" s="1025" t="s">
        <v>723</v>
      </c>
      <c r="AA10" s="1025"/>
      <c r="AB10" s="1025"/>
      <c r="AC10" s="1025"/>
      <c r="AD10" s="1025"/>
      <c r="AE10" s="1025"/>
      <c r="AF10" s="112">
        <v>39240</v>
      </c>
      <c r="AG10" s="113">
        <v>42005</v>
      </c>
      <c r="AH10" s="113">
        <v>42369</v>
      </c>
    </row>
    <row r="11" spans="1:35" s="31" customFormat="1" ht="15" customHeight="1">
      <c r="Y11" s="114" t="s">
        <v>714</v>
      </c>
      <c r="Z11" s="1024" t="s">
        <v>637</v>
      </c>
      <c r="AA11" s="1024"/>
      <c r="AB11" s="1024"/>
      <c r="AC11" s="1024"/>
      <c r="AD11" s="1024"/>
      <c r="AE11" s="1024"/>
      <c r="AF11" s="69">
        <v>8400</v>
      </c>
      <c r="AG11" s="113">
        <v>42005</v>
      </c>
      <c r="AH11" s="113">
        <v>42369</v>
      </c>
    </row>
    <row r="12" spans="1:35" s="31" customFormat="1" ht="15" customHeight="1">
      <c r="Y12" s="114" t="s">
        <v>715</v>
      </c>
      <c r="Z12" s="1020" t="s">
        <v>716</v>
      </c>
      <c r="AA12" s="1021"/>
      <c r="AB12" s="1021"/>
      <c r="AC12" s="1021"/>
      <c r="AD12" s="1021"/>
      <c r="AE12" s="1022"/>
      <c r="AF12" s="69">
        <v>7130.1</v>
      </c>
      <c r="AG12" s="113">
        <v>42005</v>
      </c>
      <c r="AH12" s="113">
        <v>42369</v>
      </c>
    </row>
    <row r="13" spans="1:35" s="31" customFormat="1" ht="15" customHeight="1">
      <c r="Y13" s="114" t="s">
        <v>717</v>
      </c>
      <c r="Z13" s="1024" t="s">
        <v>641</v>
      </c>
      <c r="AA13" s="1024"/>
      <c r="AB13" s="1024"/>
      <c r="AC13" s="1024"/>
      <c r="AD13" s="1024"/>
      <c r="AE13" s="1024"/>
      <c r="AF13" s="115">
        <v>4712.8</v>
      </c>
      <c r="AG13" s="113">
        <v>42005</v>
      </c>
      <c r="AH13" s="113">
        <v>42369</v>
      </c>
    </row>
    <row r="14" spans="1:35" s="31" customFormat="1" ht="15" customHeight="1">
      <c r="Y14" s="114" t="s">
        <v>718</v>
      </c>
      <c r="Z14" s="1024" t="s">
        <v>643</v>
      </c>
      <c r="AA14" s="1024"/>
      <c r="AB14" s="1024"/>
      <c r="AC14" s="1024"/>
      <c r="AD14" s="1024"/>
      <c r="AE14" s="1024"/>
      <c r="AF14" s="116">
        <v>2655</v>
      </c>
      <c r="AG14" s="113">
        <v>42005</v>
      </c>
      <c r="AH14" s="113">
        <v>42369</v>
      </c>
    </row>
    <row r="15" spans="1:35" s="31" customFormat="1" ht="15" customHeight="1">
      <c r="Y15" s="114" t="s">
        <v>644</v>
      </c>
      <c r="Z15" s="1024" t="s">
        <v>645</v>
      </c>
      <c r="AA15" s="1024"/>
      <c r="AB15" s="1024"/>
      <c r="AC15" s="1024"/>
      <c r="AD15" s="1024"/>
      <c r="AE15" s="1024"/>
      <c r="AF15" s="117">
        <v>7400</v>
      </c>
      <c r="AG15" s="113">
        <v>42005</v>
      </c>
      <c r="AH15" s="113">
        <v>42369</v>
      </c>
    </row>
    <row r="16" spans="1:35" s="31" customFormat="1" ht="15" customHeight="1">
      <c r="Y16" s="114" t="s">
        <v>719</v>
      </c>
      <c r="Z16" s="1024" t="s">
        <v>647</v>
      </c>
      <c r="AA16" s="1024"/>
      <c r="AB16" s="1024"/>
      <c r="AC16" s="1024"/>
      <c r="AD16" s="1024"/>
      <c r="AE16" s="1024"/>
      <c r="AF16" s="117">
        <v>2360</v>
      </c>
      <c r="AG16" s="113">
        <v>42005</v>
      </c>
      <c r="AH16" s="113">
        <v>42369</v>
      </c>
    </row>
    <row r="17" spans="25:38" s="31" customFormat="1" ht="15" customHeight="1">
      <c r="Y17" s="114" t="s">
        <v>720</v>
      </c>
      <c r="Z17" s="1020" t="s">
        <v>649</v>
      </c>
      <c r="AA17" s="1021"/>
      <c r="AB17" s="1021"/>
      <c r="AC17" s="1021"/>
      <c r="AD17" s="1021"/>
      <c r="AE17" s="1022"/>
      <c r="AF17" s="115">
        <v>14360</v>
      </c>
      <c r="AG17" s="113">
        <v>42005</v>
      </c>
      <c r="AH17" s="113">
        <v>42369</v>
      </c>
    </row>
    <row r="18" spans="25:38" s="31" customFormat="1" ht="15" customHeight="1">
      <c r="Y18" s="114" t="s">
        <v>721</v>
      </c>
      <c r="Z18" s="1024" t="s">
        <v>651</v>
      </c>
      <c r="AA18" s="1024"/>
      <c r="AB18" s="1024"/>
      <c r="AC18" s="1024"/>
      <c r="AD18" s="1024"/>
      <c r="AE18" s="1024"/>
      <c r="AF18" s="69">
        <v>2125</v>
      </c>
      <c r="AG18" s="113">
        <v>42005</v>
      </c>
      <c r="AH18" s="113">
        <v>42369</v>
      </c>
    </row>
    <row r="19" spans="25:38" s="31" customFormat="1" ht="15" customHeight="1">
      <c r="Y19" s="118">
        <v>2</v>
      </c>
      <c r="Z19" s="1023" t="s">
        <v>133</v>
      </c>
      <c r="AA19" s="1023"/>
      <c r="AB19" s="1023"/>
      <c r="AC19" s="1023"/>
      <c r="AD19" s="1023"/>
      <c r="AE19" s="1023"/>
      <c r="AF19" s="119">
        <v>7140</v>
      </c>
      <c r="AG19" s="120">
        <v>42005</v>
      </c>
      <c r="AH19" s="120">
        <v>42369</v>
      </c>
    </row>
    <row r="20" spans="25:38" s="31" customFormat="1" ht="15" customHeight="1">
      <c r="Y20" s="124">
        <v>3</v>
      </c>
      <c r="Z20" s="1026" t="s">
        <v>134</v>
      </c>
      <c r="AA20" s="1026"/>
      <c r="AB20" s="1026"/>
      <c r="AC20" s="1026"/>
      <c r="AD20" s="1026"/>
      <c r="AE20" s="1026"/>
      <c r="AF20" s="125">
        <v>26100</v>
      </c>
      <c r="AG20" s="126">
        <v>42005</v>
      </c>
      <c r="AH20" s="126">
        <v>42369</v>
      </c>
    </row>
    <row r="21" spans="25:38" s="7" customFormat="1" ht="16.5" customHeight="1">
      <c r="Y21" s="1027" t="s">
        <v>724</v>
      </c>
      <c r="Z21" s="1027"/>
      <c r="AA21" s="1027"/>
      <c r="AB21" s="1027"/>
      <c r="AC21" s="1027"/>
      <c r="AD21" s="1027"/>
      <c r="AE21" s="1027"/>
      <c r="AF21" s="65">
        <f>AF9+AF19+AF20</f>
        <v>121622.9</v>
      </c>
      <c r="AG21" s="127"/>
      <c r="AH21" s="127"/>
    </row>
    <row r="22" spans="25:38" ht="17.25" customHeight="1">
      <c r="Y22" s="1035" t="s">
        <v>319</v>
      </c>
      <c r="Z22" s="1036"/>
      <c r="AA22" s="1036"/>
      <c r="AB22" s="1036"/>
      <c r="AC22" s="1036"/>
      <c r="AD22" s="1036"/>
      <c r="AE22" s="1036"/>
      <c r="AF22" s="1036"/>
      <c r="AG22" s="1036"/>
      <c r="AH22" s="1037"/>
    </row>
    <row r="23" spans="25:38" ht="18" customHeight="1">
      <c r="Y23" s="108">
        <v>1</v>
      </c>
      <c r="Z23" s="1018" t="s">
        <v>633</v>
      </c>
      <c r="AA23" s="1019"/>
      <c r="AB23" s="1019"/>
      <c r="AC23" s="1019"/>
      <c r="AD23" s="1019"/>
      <c r="AE23" s="1019"/>
      <c r="AF23" s="56" t="e">
        <f>SUM(AF24:AF32)</f>
        <v>#REF!</v>
      </c>
      <c r="AG23" s="109"/>
      <c r="AH23" s="109"/>
      <c r="AK23" s="204"/>
    </row>
    <row r="24" spans="25:38" ht="15" customHeight="1">
      <c r="Y24" s="111" t="s">
        <v>634</v>
      </c>
      <c r="Z24" s="1025" t="s">
        <v>713</v>
      </c>
      <c r="AA24" s="1025"/>
      <c r="AB24" s="1025"/>
      <c r="AC24" s="1025"/>
      <c r="AD24" s="1025"/>
      <c r="AE24" s="1025"/>
      <c r="AF24" s="112" t="e">
        <f>#REF!</f>
        <v>#REF!</v>
      </c>
      <c r="AG24" s="113">
        <v>42370</v>
      </c>
      <c r="AH24" s="113">
        <v>42735</v>
      </c>
      <c r="AL24" s="204"/>
    </row>
    <row r="25" spans="25:38" ht="15" customHeight="1">
      <c r="Y25" s="114" t="s">
        <v>714</v>
      </c>
      <c r="Z25" s="1024" t="s">
        <v>637</v>
      </c>
      <c r="AA25" s="1024"/>
      <c r="AB25" s="1024"/>
      <c r="AC25" s="1024"/>
      <c r="AD25" s="1024"/>
      <c r="AE25" s="1024"/>
      <c r="AF25" s="69" t="e">
        <f>#REF!</f>
        <v>#REF!</v>
      </c>
      <c r="AG25" s="113">
        <v>42370</v>
      </c>
      <c r="AH25" s="113">
        <v>42735</v>
      </c>
      <c r="AL25" s="204"/>
    </row>
    <row r="26" spans="25:38" ht="15" customHeight="1">
      <c r="Y26" s="114" t="s">
        <v>715</v>
      </c>
      <c r="Z26" s="1020" t="s">
        <v>716</v>
      </c>
      <c r="AA26" s="1021"/>
      <c r="AB26" s="1021"/>
      <c r="AC26" s="1021"/>
      <c r="AD26" s="1021"/>
      <c r="AE26" s="1022"/>
      <c r="AF26" s="69" t="e">
        <f>#REF!</f>
        <v>#REF!</v>
      </c>
      <c r="AG26" s="113">
        <v>42370</v>
      </c>
      <c r="AH26" s="113">
        <v>42735</v>
      </c>
      <c r="AL26" s="204"/>
    </row>
    <row r="27" spans="25:38" ht="15" customHeight="1">
      <c r="Y27" s="114" t="s">
        <v>717</v>
      </c>
      <c r="Z27" s="1024" t="s">
        <v>641</v>
      </c>
      <c r="AA27" s="1024"/>
      <c r="AB27" s="1024"/>
      <c r="AC27" s="1024"/>
      <c r="AD27" s="1024"/>
      <c r="AE27" s="1024"/>
      <c r="AF27" s="115" t="e">
        <f>#REF!</f>
        <v>#REF!</v>
      </c>
      <c r="AG27" s="113">
        <v>42370</v>
      </c>
      <c r="AH27" s="113">
        <v>42735</v>
      </c>
      <c r="AL27" s="204"/>
    </row>
    <row r="28" spans="25:38" ht="15" customHeight="1">
      <c r="Y28" s="114" t="s">
        <v>718</v>
      </c>
      <c r="Z28" s="1024" t="s">
        <v>643</v>
      </c>
      <c r="AA28" s="1024"/>
      <c r="AB28" s="1024"/>
      <c r="AC28" s="1024"/>
      <c r="AD28" s="1024"/>
      <c r="AE28" s="1024"/>
      <c r="AF28" s="116" t="e">
        <f>#REF!</f>
        <v>#REF!</v>
      </c>
      <c r="AG28" s="113">
        <v>42370</v>
      </c>
      <c r="AH28" s="113">
        <v>42735</v>
      </c>
      <c r="AL28" s="204"/>
    </row>
    <row r="29" spans="25:38" ht="15" customHeight="1">
      <c r="Y29" s="114" t="s">
        <v>644</v>
      </c>
      <c r="Z29" s="1024" t="s">
        <v>645</v>
      </c>
      <c r="AA29" s="1024"/>
      <c r="AB29" s="1024"/>
      <c r="AC29" s="1024"/>
      <c r="AD29" s="1024"/>
      <c r="AE29" s="1024"/>
      <c r="AF29" s="117" t="e">
        <f>#REF!</f>
        <v>#REF!</v>
      </c>
      <c r="AG29" s="113">
        <v>42370</v>
      </c>
      <c r="AH29" s="113">
        <v>42735</v>
      </c>
      <c r="AL29" s="204"/>
    </row>
    <row r="30" spans="25:38" ht="15" customHeight="1">
      <c r="Y30" s="114" t="s">
        <v>719</v>
      </c>
      <c r="Z30" s="1024" t="s">
        <v>647</v>
      </c>
      <c r="AA30" s="1024"/>
      <c r="AB30" s="1024"/>
      <c r="AC30" s="1024"/>
      <c r="AD30" s="1024"/>
      <c r="AE30" s="1024"/>
      <c r="AF30" s="117" t="e">
        <f>#REF!</f>
        <v>#REF!</v>
      </c>
      <c r="AG30" s="113">
        <v>42370</v>
      </c>
      <c r="AH30" s="113">
        <v>42735</v>
      </c>
      <c r="AL30" s="204"/>
    </row>
    <row r="31" spans="25:38" ht="15" customHeight="1">
      <c r="Y31" s="114" t="s">
        <v>720</v>
      </c>
      <c r="Z31" s="1020" t="s">
        <v>649</v>
      </c>
      <c r="AA31" s="1021"/>
      <c r="AB31" s="1021"/>
      <c r="AC31" s="1021"/>
      <c r="AD31" s="1021"/>
      <c r="AE31" s="1022"/>
      <c r="AF31" s="115" t="e">
        <f>#REF!</f>
        <v>#REF!</v>
      </c>
      <c r="AG31" s="113">
        <v>42370</v>
      </c>
      <c r="AH31" s="113">
        <v>42735</v>
      </c>
      <c r="AL31" s="204"/>
    </row>
    <row r="32" spans="25:38" ht="15" customHeight="1">
      <c r="Y32" s="114" t="s">
        <v>721</v>
      </c>
      <c r="Z32" s="1024" t="s">
        <v>651</v>
      </c>
      <c r="AA32" s="1024"/>
      <c r="AB32" s="1024"/>
      <c r="AC32" s="1024"/>
      <c r="AD32" s="1024"/>
      <c r="AE32" s="1024"/>
      <c r="AF32" s="69" t="e">
        <f>#REF!</f>
        <v>#REF!</v>
      </c>
      <c r="AG32" s="113">
        <v>42370</v>
      </c>
      <c r="AH32" s="113">
        <v>42735</v>
      </c>
      <c r="AL32" s="204"/>
    </row>
    <row r="33" spans="25:38" ht="15" customHeight="1">
      <c r="Y33" s="118">
        <v>2</v>
      </c>
      <c r="Z33" s="1023" t="s">
        <v>133</v>
      </c>
      <c r="AA33" s="1023"/>
      <c r="AB33" s="1023"/>
      <c r="AC33" s="1023"/>
      <c r="AD33" s="1023"/>
      <c r="AE33" s="1023"/>
      <c r="AF33" s="119" t="e">
        <f>#REF!</f>
        <v>#REF!</v>
      </c>
      <c r="AG33" s="120">
        <v>42370</v>
      </c>
      <c r="AH33" s="120">
        <v>42735</v>
      </c>
      <c r="AK33" s="204"/>
      <c r="AL33" s="204"/>
    </row>
    <row r="34" spans="25:38" ht="15" customHeight="1">
      <c r="Y34" s="121">
        <v>3</v>
      </c>
      <c r="Z34" s="1042" t="s">
        <v>134</v>
      </c>
      <c r="AA34" s="1042"/>
      <c r="AB34" s="1042"/>
      <c r="AC34" s="1042"/>
      <c r="AD34" s="1042"/>
      <c r="AE34" s="1042"/>
      <c r="AF34" s="119" t="e">
        <f>#REF!</f>
        <v>#REF!</v>
      </c>
      <c r="AG34" s="120">
        <v>42370</v>
      </c>
      <c r="AH34" s="120">
        <v>42735</v>
      </c>
      <c r="AK34" s="204"/>
      <c r="AL34" s="204"/>
    </row>
    <row r="35" spans="25:38" ht="18" customHeight="1">
      <c r="Y35" s="1043" t="s">
        <v>628</v>
      </c>
      <c r="Z35" s="1044"/>
      <c r="AA35" s="1044"/>
      <c r="AB35" s="1044"/>
      <c r="AC35" s="1044"/>
      <c r="AD35" s="1044"/>
      <c r="AE35" s="1044"/>
      <c r="AF35" s="122" t="e">
        <f>AF23+AF33+AF34</f>
        <v>#REF!</v>
      </c>
      <c r="AG35" s="110"/>
      <c r="AH35" s="110"/>
      <c r="AL35" s="204"/>
    </row>
    <row r="36" spans="25:38" ht="15" customHeight="1">
      <c r="Y36" s="1038" t="s">
        <v>320</v>
      </c>
      <c r="Z36" s="1038"/>
      <c r="AA36" s="1038"/>
      <c r="AB36" s="1038"/>
      <c r="AC36" s="1038"/>
      <c r="AD36" s="1038"/>
      <c r="AE36" s="1038"/>
      <c r="AF36" s="1038"/>
      <c r="AG36" s="1038"/>
      <c r="AH36" s="1038"/>
    </row>
    <row r="37" spans="25:38" ht="15.75" customHeight="1">
      <c r="Y37" s="55">
        <v>1</v>
      </c>
      <c r="Z37" s="1039" t="s">
        <v>633</v>
      </c>
      <c r="AA37" s="1040"/>
      <c r="AB37" s="1040"/>
      <c r="AC37" s="1040"/>
      <c r="AD37" s="1040"/>
      <c r="AE37" s="1041"/>
      <c r="AF37" s="56">
        <f>SUM(AF38:AF46)</f>
        <v>98793.24</v>
      </c>
      <c r="AG37" s="57"/>
      <c r="AH37" s="57"/>
    </row>
    <row r="38" spans="25:38" s="31" customFormat="1" ht="15" customHeight="1">
      <c r="Y38" s="58" t="s">
        <v>634</v>
      </c>
      <c r="Z38" s="1034" t="s">
        <v>635</v>
      </c>
      <c r="AA38" s="1034"/>
      <c r="AB38" s="1034"/>
      <c r="AC38" s="1034"/>
      <c r="AD38" s="1034"/>
      <c r="AE38" s="1034"/>
      <c r="AF38" s="67">
        <v>60580.21</v>
      </c>
      <c r="AG38" s="68">
        <v>42736</v>
      </c>
      <c r="AH38" s="68">
        <v>43100</v>
      </c>
    </row>
    <row r="39" spans="25:38" s="31" customFormat="1" ht="15" customHeight="1">
      <c r="Y39" s="59" t="s">
        <v>636</v>
      </c>
      <c r="Z39" s="1028" t="s">
        <v>637</v>
      </c>
      <c r="AA39" s="1028"/>
      <c r="AB39" s="1028"/>
      <c r="AC39" s="1028"/>
      <c r="AD39" s="1028"/>
      <c r="AE39" s="1028"/>
      <c r="AF39" s="69">
        <v>6444.03</v>
      </c>
      <c r="AG39" s="70">
        <v>42736</v>
      </c>
      <c r="AH39" s="70">
        <v>43100</v>
      </c>
    </row>
    <row r="40" spans="25:38" s="31" customFormat="1" ht="15" customHeight="1">
      <c r="Y40" s="59" t="s">
        <v>638</v>
      </c>
      <c r="Z40" s="1028" t="s">
        <v>639</v>
      </c>
      <c r="AA40" s="1028"/>
      <c r="AB40" s="1028"/>
      <c r="AC40" s="1028"/>
      <c r="AD40" s="1028"/>
      <c r="AE40" s="1028"/>
      <c r="AF40" s="71">
        <v>1748</v>
      </c>
      <c r="AG40" s="70">
        <v>42736</v>
      </c>
      <c r="AH40" s="70">
        <v>43100</v>
      </c>
    </row>
    <row r="41" spans="25:38" s="31" customFormat="1" ht="15" customHeight="1">
      <c r="Y41" s="59" t="s">
        <v>640</v>
      </c>
      <c r="Z41" s="1028" t="s">
        <v>641</v>
      </c>
      <c r="AA41" s="1028"/>
      <c r="AB41" s="1028"/>
      <c r="AC41" s="1028"/>
      <c r="AD41" s="1028"/>
      <c r="AE41" s="1028"/>
      <c r="AF41" s="72">
        <v>874</v>
      </c>
      <c r="AG41" s="70">
        <v>42736</v>
      </c>
      <c r="AH41" s="70">
        <v>43100</v>
      </c>
    </row>
    <row r="42" spans="25:38" s="31" customFormat="1" ht="15" customHeight="1">
      <c r="Y42" s="59" t="s">
        <v>642</v>
      </c>
      <c r="Z42" s="1028" t="s">
        <v>643</v>
      </c>
      <c r="AA42" s="1028"/>
      <c r="AB42" s="1028"/>
      <c r="AC42" s="1028"/>
      <c r="AD42" s="1028"/>
      <c r="AE42" s="1028"/>
      <c r="AF42" s="72">
        <v>1748</v>
      </c>
      <c r="AG42" s="70">
        <v>42736</v>
      </c>
      <c r="AH42" s="70">
        <v>43100</v>
      </c>
    </row>
    <row r="43" spans="25:38" s="31" customFormat="1" ht="15" customHeight="1">
      <c r="Y43" s="59" t="s">
        <v>644</v>
      </c>
      <c r="Z43" s="1028" t="s">
        <v>645</v>
      </c>
      <c r="AA43" s="1028"/>
      <c r="AB43" s="1028"/>
      <c r="AC43" s="1028"/>
      <c r="AD43" s="1028"/>
      <c r="AE43" s="1028"/>
      <c r="AF43" s="73">
        <v>6991</v>
      </c>
      <c r="AG43" s="70">
        <v>42736</v>
      </c>
      <c r="AH43" s="70">
        <v>43100</v>
      </c>
    </row>
    <row r="44" spans="25:38" s="31" customFormat="1" ht="15" customHeight="1">
      <c r="Y44" s="59" t="s">
        <v>646</v>
      </c>
      <c r="Z44" s="1028" t="s">
        <v>647</v>
      </c>
      <c r="AA44" s="1028"/>
      <c r="AB44" s="1028"/>
      <c r="AC44" s="1028"/>
      <c r="AD44" s="1028"/>
      <c r="AE44" s="1028"/>
      <c r="AF44" s="72">
        <v>2622</v>
      </c>
      <c r="AG44" s="70">
        <v>42736</v>
      </c>
      <c r="AH44" s="70">
        <v>43100</v>
      </c>
    </row>
    <row r="45" spans="25:38" s="31" customFormat="1" ht="15" customHeight="1">
      <c r="Y45" s="59" t="s">
        <v>648</v>
      </c>
      <c r="Z45" s="1028" t="s">
        <v>649</v>
      </c>
      <c r="AA45" s="1028"/>
      <c r="AB45" s="1028"/>
      <c r="AC45" s="1028"/>
      <c r="AD45" s="1028"/>
      <c r="AE45" s="1028"/>
      <c r="AF45" s="71">
        <v>16117</v>
      </c>
      <c r="AG45" s="70">
        <v>42736</v>
      </c>
      <c r="AH45" s="70">
        <v>43100</v>
      </c>
    </row>
    <row r="46" spans="25:38" s="31" customFormat="1" ht="15" customHeight="1">
      <c r="Y46" s="59" t="s">
        <v>650</v>
      </c>
      <c r="Z46" s="1028" t="s">
        <v>651</v>
      </c>
      <c r="AA46" s="1028"/>
      <c r="AB46" s="1028"/>
      <c r="AC46" s="1028"/>
      <c r="AD46" s="1028"/>
      <c r="AE46" s="1028"/>
      <c r="AF46" s="71">
        <v>1669</v>
      </c>
      <c r="AG46" s="70">
        <v>42736</v>
      </c>
      <c r="AH46" s="70">
        <v>43100</v>
      </c>
    </row>
    <row r="47" spans="25:38" s="31" customFormat="1" ht="15" customHeight="1">
      <c r="Y47" s="60">
        <v>2</v>
      </c>
      <c r="Z47" s="1032" t="s">
        <v>133</v>
      </c>
      <c r="AA47" s="1032"/>
      <c r="AB47" s="1032"/>
      <c r="AC47" s="1032"/>
      <c r="AD47" s="1032"/>
      <c r="AE47" s="1032"/>
      <c r="AF47" s="74">
        <f>4369</f>
        <v>4369</v>
      </c>
      <c r="AG47" s="75">
        <v>42736</v>
      </c>
      <c r="AH47" s="75">
        <v>43100</v>
      </c>
    </row>
    <row r="48" spans="25:38" s="31" customFormat="1" ht="15" customHeight="1">
      <c r="Y48" s="61">
        <v>3</v>
      </c>
      <c r="Z48" s="1033" t="s">
        <v>134</v>
      </c>
      <c r="AA48" s="1033"/>
      <c r="AB48" s="1033"/>
      <c r="AC48" s="1033"/>
      <c r="AD48" s="1033"/>
      <c r="AE48" s="1033"/>
      <c r="AF48" s="76">
        <v>28175.449999999997</v>
      </c>
      <c r="AG48" s="77">
        <v>42736</v>
      </c>
      <c r="AH48" s="77">
        <v>43100</v>
      </c>
    </row>
    <row r="49" spans="25:34" ht="16.5" customHeight="1">
      <c r="Y49" s="1029" t="s">
        <v>652</v>
      </c>
      <c r="Z49" s="1030"/>
      <c r="AA49" s="1030"/>
      <c r="AB49" s="1030"/>
      <c r="AC49" s="1030"/>
      <c r="AD49" s="1030"/>
      <c r="AE49" s="1030"/>
      <c r="AF49" s="65">
        <f>AF37+AF47+AF48</f>
        <v>131337.69</v>
      </c>
      <c r="AG49" s="62"/>
      <c r="AH49" s="62"/>
    </row>
    <row r="50" spans="25:34" ht="16.5" customHeight="1">
      <c r="Y50" s="1045" t="s">
        <v>321</v>
      </c>
      <c r="Z50" s="1045"/>
      <c r="AA50" s="1045"/>
      <c r="AB50" s="1045"/>
      <c r="AC50" s="1045"/>
      <c r="AD50" s="1045"/>
      <c r="AE50" s="1045"/>
      <c r="AF50" s="1045"/>
      <c r="AG50" s="1045"/>
      <c r="AH50" s="1045"/>
    </row>
    <row r="51" spans="25:34" ht="15.75">
      <c r="Y51" s="63">
        <v>1</v>
      </c>
      <c r="Z51" s="1046" t="s">
        <v>633</v>
      </c>
      <c r="AA51" s="1046"/>
      <c r="AB51" s="1046"/>
      <c r="AC51" s="1046"/>
      <c r="AD51" s="1046"/>
      <c r="AE51" s="1046"/>
      <c r="AF51" s="56" t="e">
        <f>SUM(AF52:AF60)</f>
        <v>#REF!</v>
      </c>
      <c r="AG51" s="64"/>
      <c r="AH51" s="64"/>
    </row>
    <row r="52" spans="25:34">
      <c r="Y52" s="58" t="s">
        <v>634</v>
      </c>
      <c r="Z52" s="1034" t="s">
        <v>653</v>
      </c>
      <c r="AA52" s="1034"/>
      <c r="AB52" s="1034"/>
      <c r="AC52" s="1034"/>
      <c r="AD52" s="1034"/>
      <c r="AE52" s="1034"/>
      <c r="AF52" s="67" t="e">
        <f>#REF!</f>
        <v>#REF!</v>
      </c>
      <c r="AG52" s="68">
        <v>43101</v>
      </c>
      <c r="AH52" s="68">
        <v>43465</v>
      </c>
    </row>
    <row r="53" spans="25:34">
      <c r="Y53" s="59" t="s">
        <v>636</v>
      </c>
      <c r="Z53" s="1028" t="s">
        <v>637</v>
      </c>
      <c r="AA53" s="1028"/>
      <c r="AB53" s="1028"/>
      <c r="AC53" s="1028"/>
      <c r="AD53" s="1028"/>
      <c r="AE53" s="1028"/>
      <c r="AF53" s="67" t="e">
        <f>#REF!</f>
        <v>#REF!</v>
      </c>
      <c r="AG53" s="70">
        <v>43101</v>
      </c>
      <c r="AH53" s="70">
        <v>43465</v>
      </c>
    </row>
    <row r="54" spans="25:34">
      <c r="Y54" s="59" t="s">
        <v>638</v>
      </c>
      <c r="Z54" s="1028" t="s">
        <v>639</v>
      </c>
      <c r="AA54" s="1028"/>
      <c r="AB54" s="1028"/>
      <c r="AC54" s="1028"/>
      <c r="AD54" s="1028"/>
      <c r="AE54" s="1028"/>
      <c r="AF54" s="67" t="e">
        <f>#REF!</f>
        <v>#REF!</v>
      </c>
      <c r="AG54" s="70">
        <v>43101</v>
      </c>
      <c r="AH54" s="70">
        <v>43465</v>
      </c>
    </row>
    <row r="55" spans="25:34">
      <c r="Y55" s="59" t="s">
        <v>640</v>
      </c>
      <c r="Z55" s="1028" t="s">
        <v>641</v>
      </c>
      <c r="AA55" s="1028"/>
      <c r="AB55" s="1028"/>
      <c r="AC55" s="1028"/>
      <c r="AD55" s="1028"/>
      <c r="AE55" s="1028"/>
      <c r="AF55" s="67" t="e">
        <f>#REF!</f>
        <v>#REF!</v>
      </c>
      <c r="AG55" s="70">
        <v>43101</v>
      </c>
      <c r="AH55" s="70">
        <v>43465</v>
      </c>
    </row>
    <row r="56" spans="25:34">
      <c r="Y56" s="59" t="s">
        <v>642</v>
      </c>
      <c r="Z56" s="1028" t="s">
        <v>643</v>
      </c>
      <c r="AA56" s="1028"/>
      <c r="AB56" s="1028"/>
      <c r="AC56" s="1028"/>
      <c r="AD56" s="1028"/>
      <c r="AE56" s="1028"/>
      <c r="AF56" s="67" t="e">
        <f>#REF!</f>
        <v>#REF!</v>
      </c>
      <c r="AG56" s="70">
        <v>43101</v>
      </c>
      <c r="AH56" s="70">
        <v>43465</v>
      </c>
    </row>
    <row r="57" spans="25:34">
      <c r="Y57" s="59" t="s">
        <v>644</v>
      </c>
      <c r="Z57" s="1028" t="s">
        <v>645</v>
      </c>
      <c r="AA57" s="1028"/>
      <c r="AB57" s="1028"/>
      <c r="AC57" s="1028"/>
      <c r="AD57" s="1028"/>
      <c r="AE57" s="1028"/>
      <c r="AF57" s="67" t="e">
        <f>#REF!</f>
        <v>#REF!</v>
      </c>
      <c r="AG57" s="70">
        <v>43101</v>
      </c>
      <c r="AH57" s="70">
        <v>43465</v>
      </c>
    </row>
    <row r="58" spans="25:34">
      <c r="Y58" s="59" t="s">
        <v>646</v>
      </c>
      <c r="Z58" s="1028" t="s">
        <v>647</v>
      </c>
      <c r="AA58" s="1028"/>
      <c r="AB58" s="1028"/>
      <c r="AC58" s="1028"/>
      <c r="AD58" s="1028"/>
      <c r="AE58" s="1028"/>
      <c r="AF58" s="67" t="e">
        <f>#REF!</f>
        <v>#REF!</v>
      </c>
      <c r="AG58" s="70">
        <v>43101</v>
      </c>
      <c r="AH58" s="70">
        <v>43465</v>
      </c>
    </row>
    <row r="59" spans="25:34">
      <c r="Y59" s="59" t="s">
        <v>648</v>
      </c>
      <c r="Z59" s="1047" t="s">
        <v>649</v>
      </c>
      <c r="AA59" s="1048"/>
      <c r="AB59" s="1048"/>
      <c r="AC59" s="1048"/>
      <c r="AD59" s="1048"/>
      <c r="AE59" s="1049"/>
      <c r="AF59" s="67" t="e">
        <f>#REF!</f>
        <v>#REF!</v>
      </c>
      <c r="AG59" s="70">
        <v>43101</v>
      </c>
      <c r="AH59" s="70">
        <v>43465</v>
      </c>
    </row>
    <row r="60" spans="25:34">
      <c r="Y60" s="59" t="s">
        <v>650</v>
      </c>
      <c r="Z60" s="1031" t="s">
        <v>651</v>
      </c>
      <c r="AA60" s="1031"/>
      <c r="AB60" s="1031"/>
      <c r="AC60" s="1031"/>
      <c r="AD60" s="1031"/>
      <c r="AE60" s="1031"/>
      <c r="AF60" s="67" t="e">
        <f>#REF!</f>
        <v>#REF!</v>
      </c>
      <c r="AG60" s="78">
        <v>43101</v>
      </c>
      <c r="AH60" s="78">
        <v>43465</v>
      </c>
    </row>
    <row r="61" spans="25:34">
      <c r="Y61" s="60">
        <v>2</v>
      </c>
      <c r="Z61" s="1032" t="s">
        <v>133</v>
      </c>
      <c r="AA61" s="1032"/>
      <c r="AB61" s="1032"/>
      <c r="AC61" s="1032"/>
      <c r="AD61" s="1032"/>
      <c r="AE61" s="1032"/>
      <c r="AF61" s="235" t="e">
        <f>#REF!</f>
        <v>#REF!</v>
      </c>
      <c r="AG61" s="75">
        <v>43101</v>
      </c>
      <c r="AH61" s="75">
        <v>43465</v>
      </c>
    </row>
    <row r="62" spans="25:34">
      <c r="Y62" s="60">
        <v>3</v>
      </c>
      <c r="Z62" s="1032" t="s">
        <v>134</v>
      </c>
      <c r="AA62" s="1032"/>
      <c r="AB62" s="1032"/>
      <c r="AC62" s="1032"/>
      <c r="AD62" s="1032"/>
      <c r="AE62" s="1032"/>
      <c r="AF62" s="79">
        <v>29093.124199999998</v>
      </c>
      <c r="AG62" s="75">
        <v>43101</v>
      </c>
      <c r="AH62" s="75">
        <v>43465</v>
      </c>
    </row>
    <row r="63" spans="25:34" ht="15.75">
      <c r="Y63" s="1029" t="s">
        <v>654</v>
      </c>
      <c r="Z63" s="1030"/>
      <c r="AA63" s="1030"/>
      <c r="AB63" s="1030"/>
      <c r="AC63" s="1030"/>
      <c r="AD63" s="1030"/>
      <c r="AE63" s="1030"/>
      <c r="AF63" s="65" t="e">
        <f>AF51+AF61+AF62</f>
        <v>#REF!</v>
      </c>
      <c r="AG63" s="62"/>
      <c r="AH63" s="62"/>
    </row>
    <row r="64" spans="25:34" ht="18.75">
      <c r="Y64" s="1050" t="s">
        <v>322</v>
      </c>
      <c r="Z64" s="1051"/>
      <c r="AA64" s="1051"/>
      <c r="AB64" s="1051"/>
      <c r="AC64" s="1051"/>
      <c r="AD64" s="1051"/>
      <c r="AE64" s="1051"/>
      <c r="AF64" s="1051"/>
      <c r="AG64" s="1051"/>
      <c r="AH64" s="1052"/>
    </row>
    <row r="65" spans="25:34" ht="15.75">
      <c r="Y65" s="55">
        <v>1</v>
      </c>
      <c r="Z65" s="1039" t="s">
        <v>633</v>
      </c>
      <c r="AA65" s="1040"/>
      <c r="AB65" s="1040"/>
      <c r="AC65" s="1040"/>
      <c r="AD65" s="1040"/>
      <c r="AE65" s="1041"/>
      <c r="AF65" s="56">
        <f>SUM(AF66:AF74)</f>
        <v>105574.45</v>
      </c>
      <c r="AG65" s="66"/>
      <c r="AH65" s="66"/>
    </row>
    <row r="66" spans="25:34">
      <c r="Y66" s="58" t="s">
        <v>634</v>
      </c>
      <c r="Z66" s="1034" t="s">
        <v>655</v>
      </c>
      <c r="AA66" s="1034"/>
      <c r="AB66" s="1034"/>
      <c r="AC66" s="1034"/>
      <c r="AD66" s="1034"/>
      <c r="AE66" s="1034"/>
      <c r="AF66" s="67">
        <v>62102.9</v>
      </c>
      <c r="AG66" s="68">
        <v>43466</v>
      </c>
      <c r="AH66" s="68">
        <v>43830</v>
      </c>
    </row>
    <row r="67" spans="25:34">
      <c r="Y67" s="59" t="s">
        <v>636</v>
      </c>
      <c r="Z67" s="1028" t="s">
        <v>637</v>
      </c>
      <c r="AA67" s="1028"/>
      <c r="AB67" s="1028"/>
      <c r="AC67" s="1028"/>
      <c r="AD67" s="1028"/>
      <c r="AE67" s="1028"/>
      <c r="AF67" s="69">
        <v>8944</v>
      </c>
      <c r="AG67" s="70">
        <v>43466</v>
      </c>
      <c r="AH67" s="70">
        <v>43830</v>
      </c>
    </row>
    <row r="68" spans="25:34">
      <c r="Y68" s="59" t="s">
        <v>638</v>
      </c>
      <c r="Z68" s="1028" t="s">
        <v>639</v>
      </c>
      <c r="AA68" s="1028"/>
      <c r="AB68" s="1028"/>
      <c r="AC68" s="1028"/>
      <c r="AD68" s="1028"/>
      <c r="AE68" s="1028"/>
      <c r="AF68" s="71">
        <v>1748</v>
      </c>
      <c r="AG68" s="70">
        <v>43466</v>
      </c>
      <c r="AH68" s="70">
        <v>43830</v>
      </c>
    </row>
    <row r="69" spans="25:34">
      <c r="Y69" s="59" t="s">
        <v>640</v>
      </c>
      <c r="Z69" s="1028" t="s">
        <v>641</v>
      </c>
      <c r="AA69" s="1028"/>
      <c r="AB69" s="1028"/>
      <c r="AC69" s="1028"/>
      <c r="AD69" s="1028"/>
      <c r="AE69" s="1028"/>
      <c r="AF69" s="72">
        <v>1274</v>
      </c>
      <c r="AG69" s="70">
        <v>43466</v>
      </c>
      <c r="AH69" s="70">
        <v>43830</v>
      </c>
    </row>
    <row r="70" spans="25:34">
      <c r="Y70" s="59" t="s">
        <v>642</v>
      </c>
      <c r="Z70" s="1028" t="s">
        <v>643</v>
      </c>
      <c r="AA70" s="1028"/>
      <c r="AB70" s="1028"/>
      <c r="AC70" s="1028"/>
      <c r="AD70" s="1028"/>
      <c r="AE70" s="1028"/>
      <c r="AF70" s="72">
        <v>2606.5500000000002</v>
      </c>
      <c r="AG70" s="70">
        <v>43466</v>
      </c>
      <c r="AH70" s="70">
        <v>43830</v>
      </c>
    </row>
    <row r="71" spans="25:34">
      <c r="Y71" s="59" t="s">
        <v>644</v>
      </c>
      <c r="Z71" s="1028" t="s">
        <v>645</v>
      </c>
      <c r="AA71" s="1028"/>
      <c r="AB71" s="1028"/>
      <c r="AC71" s="1028"/>
      <c r="AD71" s="1028"/>
      <c r="AE71" s="1028"/>
      <c r="AF71" s="73">
        <v>6991</v>
      </c>
      <c r="AG71" s="70">
        <v>43466</v>
      </c>
      <c r="AH71" s="70">
        <v>43830</v>
      </c>
    </row>
    <row r="72" spans="25:34">
      <c r="Y72" s="59" t="s">
        <v>646</v>
      </c>
      <c r="Z72" s="1028" t="s">
        <v>647</v>
      </c>
      <c r="AA72" s="1028"/>
      <c r="AB72" s="1028"/>
      <c r="AC72" s="1028"/>
      <c r="AD72" s="1028"/>
      <c r="AE72" s="1028"/>
      <c r="AF72" s="72">
        <v>2622</v>
      </c>
      <c r="AG72" s="70">
        <v>43466</v>
      </c>
      <c r="AH72" s="70">
        <v>43830</v>
      </c>
    </row>
    <row r="73" spans="25:34">
      <c r="Y73" s="59" t="s">
        <v>648</v>
      </c>
      <c r="Z73" s="1047" t="s">
        <v>649</v>
      </c>
      <c r="AA73" s="1048"/>
      <c r="AB73" s="1048"/>
      <c r="AC73" s="1048"/>
      <c r="AD73" s="1048"/>
      <c r="AE73" s="1049"/>
      <c r="AF73" s="71">
        <v>17617</v>
      </c>
      <c r="AG73" s="70">
        <v>43466</v>
      </c>
      <c r="AH73" s="70">
        <v>43830</v>
      </c>
    </row>
    <row r="74" spans="25:34">
      <c r="Y74" s="59" t="s">
        <v>650</v>
      </c>
      <c r="Z74" s="1031" t="s">
        <v>651</v>
      </c>
      <c r="AA74" s="1031"/>
      <c r="AB74" s="1031"/>
      <c r="AC74" s="1031"/>
      <c r="AD74" s="1031"/>
      <c r="AE74" s="1031"/>
      <c r="AF74" s="71">
        <v>1669</v>
      </c>
      <c r="AG74" s="70">
        <v>43466</v>
      </c>
      <c r="AH74" s="70">
        <v>43830</v>
      </c>
    </row>
    <row r="75" spans="25:34">
      <c r="Y75" s="60">
        <v>2</v>
      </c>
      <c r="Z75" s="1032" t="s">
        <v>133</v>
      </c>
      <c r="AA75" s="1032"/>
      <c r="AB75" s="1032"/>
      <c r="AC75" s="1032"/>
      <c r="AD75" s="1032"/>
      <c r="AE75" s="1032"/>
      <c r="AF75" s="74">
        <f>4369</f>
        <v>4369</v>
      </c>
      <c r="AG75" s="75">
        <v>43466</v>
      </c>
      <c r="AH75" s="75">
        <v>43830</v>
      </c>
    </row>
    <row r="76" spans="25:34">
      <c r="Y76" s="60">
        <v>3</v>
      </c>
      <c r="Z76" s="1032" t="s">
        <v>134</v>
      </c>
      <c r="AA76" s="1032"/>
      <c r="AB76" s="1032"/>
      <c r="AC76" s="1032"/>
      <c r="AD76" s="1032"/>
      <c r="AE76" s="1032"/>
      <c r="AF76" s="74">
        <v>30040.687799999996</v>
      </c>
      <c r="AG76" s="75">
        <v>43466</v>
      </c>
      <c r="AH76" s="75">
        <v>43830</v>
      </c>
    </row>
    <row r="77" spans="25:34" ht="15.75">
      <c r="Y77" s="1029" t="s">
        <v>656</v>
      </c>
      <c r="Z77" s="1030"/>
      <c r="AA77" s="1030"/>
      <c r="AB77" s="1030"/>
      <c r="AC77" s="1030"/>
      <c r="AD77" s="1030"/>
      <c r="AE77" s="1030"/>
      <c r="AF77" s="80">
        <f>AF65+AF75+AF76</f>
        <v>139984.1378</v>
      </c>
      <c r="AG77" s="62"/>
      <c r="AH77" s="62"/>
    </row>
  </sheetData>
  <mergeCells count="86">
    <mergeCell ref="Z76:AE76"/>
    <mergeCell ref="Z58:AE58"/>
    <mergeCell ref="Z59:AE59"/>
    <mergeCell ref="Z60:AE60"/>
    <mergeCell ref="Z61:AE61"/>
    <mergeCell ref="Z73:AE73"/>
    <mergeCell ref="Y63:AE63"/>
    <mergeCell ref="Y64:AH64"/>
    <mergeCell ref="Z65:AE65"/>
    <mergeCell ref="Z66:AE66"/>
    <mergeCell ref="Z67:AE67"/>
    <mergeCell ref="Z69:AE69"/>
    <mergeCell ref="Z70:AE70"/>
    <mergeCell ref="Z71:AE71"/>
    <mergeCell ref="Z72:AE72"/>
    <mergeCell ref="Z68:AE68"/>
    <mergeCell ref="Z40:AE40"/>
    <mergeCell ref="Z41:AE41"/>
    <mergeCell ref="Z44:AE44"/>
    <mergeCell ref="Z55:AE55"/>
    <mergeCell ref="Z57:AE57"/>
    <mergeCell ref="Z56:AE56"/>
    <mergeCell ref="Z42:AE42"/>
    <mergeCell ref="Z43:AE43"/>
    <mergeCell ref="Y50:AH50"/>
    <mergeCell ref="Z51:AE51"/>
    <mergeCell ref="Z52:AE52"/>
    <mergeCell ref="Z38:AE38"/>
    <mergeCell ref="Y22:AH22"/>
    <mergeCell ref="Z23:AE23"/>
    <mergeCell ref="Z24:AE24"/>
    <mergeCell ref="Z26:AE26"/>
    <mergeCell ref="Z28:AE28"/>
    <mergeCell ref="Z32:AE32"/>
    <mergeCell ref="Y36:AH36"/>
    <mergeCell ref="Z37:AE37"/>
    <mergeCell ref="Z34:AE34"/>
    <mergeCell ref="Y35:AE35"/>
    <mergeCell ref="Z39:AE39"/>
    <mergeCell ref="Z17:AE17"/>
    <mergeCell ref="Z18:AE18"/>
    <mergeCell ref="Z19:AE19"/>
    <mergeCell ref="Y77:AE77"/>
    <mergeCell ref="Z74:AE74"/>
    <mergeCell ref="Z75:AE75"/>
    <mergeCell ref="Y49:AE49"/>
    <mergeCell ref="Z62:AE62"/>
    <mergeCell ref="Z30:AE30"/>
    <mergeCell ref="Z54:AE54"/>
    <mergeCell ref="Z45:AE45"/>
    <mergeCell ref="Z46:AE46"/>
    <mergeCell ref="Z47:AE47"/>
    <mergeCell ref="Z48:AE48"/>
    <mergeCell ref="Z53:AE53"/>
    <mergeCell ref="Y8:AH8"/>
    <mergeCell ref="Z9:AE9"/>
    <mergeCell ref="Z31:AE31"/>
    <mergeCell ref="Z33:AE33"/>
    <mergeCell ref="Z27:AE27"/>
    <mergeCell ref="Z29:AE29"/>
    <mergeCell ref="Z25:AE25"/>
    <mergeCell ref="Z10:AE10"/>
    <mergeCell ref="Z11:AE11"/>
    <mergeCell ref="Z12:AE12"/>
    <mergeCell ref="Z13:AE13"/>
    <mergeCell ref="Z20:AE20"/>
    <mergeCell ref="Y21:AE21"/>
    <mergeCell ref="Z14:AE14"/>
    <mergeCell ref="Z15:AE15"/>
    <mergeCell ref="Z16:AE16"/>
    <mergeCell ref="AF5:AF6"/>
    <mergeCell ref="AG5:AH5"/>
    <mergeCell ref="B7:G7"/>
    <mergeCell ref="Z7:AE7"/>
    <mergeCell ref="A5:A6"/>
    <mergeCell ref="B5:G6"/>
    <mergeCell ref="H5:H6"/>
    <mergeCell ref="I5:J5"/>
    <mergeCell ref="Y5:Y6"/>
    <mergeCell ref="Z5:AE6"/>
    <mergeCell ref="A1:K1"/>
    <mergeCell ref="Y1:AI1"/>
    <mergeCell ref="A2:K2"/>
    <mergeCell ref="Y2:AI2"/>
    <mergeCell ref="A3:K3"/>
    <mergeCell ref="Y3:AI3"/>
  </mergeCells>
  <pageMargins left="0.98425196850393704" right="0.39370078740157483" top="0.39370078740157483" bottom="0.39370078740157483" header="0.31496062992125984" footer="0.31496062992125984"/>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dimension ref="A1:AH734"/>
  <sheetViews>
    <sheetView view="pageBreakPreview" topLeftCell="Y674" zoomScale="90" zoomScaleSheetLayoutView="90" workbookViewId="0">
      <selection activeCell="AF712" sqref="AF712"/>
    </sheetView>
  </sheetViews>
  <sheetFormatPr defaultColWidth="1.140625" defaultRowHeight="15"/>
  <cols>
    <col min="1" max="21" width="1.140625" hidden="1" customWidth="1"/>
    <col min="22" max="22" width="11.28515625" hidden="1" customWidth="1"/>
    <col min="23" max="23" width="13.140625" hidden="1" customWidth="1"/>
    <col min="24" max="24" width="12.85546875" hidden="1" customWidth="1"/>
    <col min="25" max="25" width="6" style="4" customWidth="1"/>
    <col min="26" max="26" width="3" style="4" customWidth="1"/>
    <col min="27" max="27" width="3.5703125" style="4" customWidth="1"/>
    <col min="28" max="28" width="5.42578125" style="4" customWidth="1"/>
    <col min="29" max="29" width="5" style="4" customWidth="1"/>
    <col min="30" max="30" width="6.140625" style="4" customWidth="1"/>
    <col min="31" max="31" width="27.140625" customWidth="1"/>
    <col min="32" max="32" width="13.140625" customWidth="1"/>
    <col min="33" max="33" width="10.140625" style="31" customWidth="1"/>
    <col min="34" max="34" width="10.7109375" style="31" customWidth="1"/>
  </cols>
  <sheetData>
    <row r="1" spans="1:34" s="577" customFormat="1" ht="46.5" customHeight="1">
      <c r="A1" s="988" t="s">
        <v>486</v>
      </c>
      <c r="B1" s="989"/>
      <c r="C1" s="989"/>
      <c r="D1" s="989"/>
      <c r="E1" s="989"/>
      <c r="F1" s="989"/>
      <c r="G1" s="989"/>
      <c r="H1" s="989"/>
      <c r="I1" s="989"/>
      <c r="J1" s="989"/>
      <c r="K1" s="989"/>
      <c r="L1" s="576"/>
      <c r="M1" s="576"/>
      <c r="N1" s="576"/>
      <c r="O1" s="576"/>
      <c r="P1" s="576"/>
      <c r="Q1" s="23"/>
      <c r="Y1" s="1285" t="s">
        <v>1961</v>
      </c>
      <c r="Z1" s="1285"/>
      <c r="AA1" s="1285"/>
      <c r="AB1" s="1285"/>
      <c r="AC1" s="1285"/>
      <c r="AD1" s="1285"/>
      <c r="AE1" s="1285"/>
      <c r="AF1" s="1285"/>
      <c r="AG1" s="1285"/>
      <c r="AH1" s="1285"/>
    </row>
    <row r="2" spans="1:34" s="577" customFormat="1">
      <c r="A2" s="24"/>
      <c r="B2" s="24"/>
      <c r="C2" s="24"/>
      <c r="D2" s="24"/>
      <c r="E2" s="24"/>
      <c r="F2" s="24"/>
      <c r="G2" s="24"/>
      <c r="H2" s="25"/>
      <c r="I2" s="26"/>
      <c r="J2" s="26"/>
      <c r="L2" s="576"/>
      <c r="M2" s="576"/>
      <c r="N2" s="576"/>
      <c r="O2" s="576"/>
      <c r="P2" s="576"/>
      <c r="Q2" s="23"/>
      <c r="Y2" s="24"/>
      <c r="Z2" s="24"/>
      <c r="AA2" s="24"/>
      <c r="AB2" s="24"/>
      <c r="AC2" s="24"/>
      <c r="AD2" s="24"/>
      <c r="AE2" s="24"/>
      <c r="AF2" s="25"/>
      <c r="AG2" s="26"/>
      <c r="AH2" s="26"/>
    </row>
    <row r="3" spans="1:34" s="577" customFormat="1" ht="15.75">
      <c r="A3" s="997" t="s">
        <v>7</v>
      </c>
      <c r="B3" s="999" t="s">
        <v>8</v>
      </c>
      <c r="C3" s="1000"/>
      <c r="D3" s="1000"/>
      <c r="E3" s="1000"/>
      <c r="F3" s="1000"/>
      <c r="G3" s="1001"/>
      <c r="H3" s="1005" t="s">
        <v>489</v>
      </c>
      <c r="I3" s="1007" t="s">
        <v>490</v>
      </c>
      <c r="J3" s="1008"/>
      <c r="L3" s="576"/>
      <c r="M3" s="576"/>
      <c r="N3" s="576"/>
      <c r="O3" s="576"/>
      <c r="P3" s="576"/>
      <c r="Q3" s="23"/>
      <c r="Y3" s="997" t="s">
        <v>7</v>
      </c>
      <c r="Z3" s="999" t="s">
        <v>8</v>
      </c>
      <c r="AA3" s="1000"/>
      <c r="AB3" s="1000"/>
      <c r="AC3" s="1000"/>
      <c r="AD3" s="1000"/>
      <c r="AE3" s="1001"/>
      <c r="AF3" s="1005" t="s">
        <v>1962</v>
      </c>
      <c r="AG3" s="1007" t="s">
        <v>490</v>
      </c>
      <c r="AH3" s="1008"/>
    </row>
    <row r="4" spans="1:34" s="577" customFormat="1" ht="74.25">
      <c r="A4" s="998"/>
      <c r="B4" s="1002"/>
      <c r="C4" s="1003"/>
      <c r="D4" s="1003"/>
      <c r="E4" s="1003"/>
      <c r="F4" s="1003"/>
      <c r="G4" s="1004"/>
      <c r="H4" s="1006"/>
      <c r="I4" s="27" t="s">
        <v>491</v>
      </c>
      <c r="J4" s="27" t="s">
        <v>492</v>
      </c>
      <c r="L4" s="576"/>
      <c r="M4" s="576"/>
      <c r="N4" s="576"/>
      <c r="O4" s="576"/>
      <c r="P4" s="576"/>
      <c r="Q4" s="23"/>
      <c r="Y4" s="998"/>
      <c r="Z4" s="1002"/>
      <c r="AA4" s="1003"/>
      <c r="AB4" s="1003"/>
      <c r="AC4" s="1003"/>
      <c r="AD4" s="1003"/>
      <c r="AE4" s="1004"/>
      <c r="AF4" s="1006"/>
      <c r="AG4" s="27" t="s">
        <v>491</v>
      </c>
      <c r="AH4" s="27" t="s">
        <v>492</v>
      </c>
    </row>
    <row r="5" spans="1:34" s="577" customFormat="1" ht="15.75">
      <c r="A5" s="28">
        <v>1</v>
      </c>
      <c r="B5" s="996">
        <v>2</v>
      </c>
      <c r="C5" s="996"/>
      <c r="D5" s="996"/>
      <c r="E5" s="996"/>
      <c r="F5" s="996"/>
      <c r="G5" s="996"/>
      <c r="H5" s="28">
        <v>4</v>
      </c>
      <c r="I5" s="29">
        <v>5</v>
      </c>
      <c r="J5" s="30">
        <v>6</v>
      </c>
      <c r="L5" s="576"/>
      <c r="M5" s="576"/>
      <c r="N5" s="576"/>
      <c r="O5" s="576"/>
      <c r="P5" s="576"/>
      <c r="Q5" s="23"/>
      <c r="Y5" s="380">
        <v>1</v>
      </c>
      <c r="Z5" s="1286">
        <v>2</v>
      </c>
      <c r="AA5" s="1286"/>
      <c r="AB5" s="1286"/>
      <c r="AC5" s="1286"/>
      <c r="AD5" s="1286"/>
      <c r="AE5" s="1286"/>
      <c r="AF5" s="380">
        <v>4</v>
      </c>
      <c r="AG5" s="33">
        <v>5</v>
      </c>
      <c r="AH5" s="34">
        <v>6</v>
      </c>
    </row>
    <row r="6" spans="1:34" s="577" customFormat="1" ht="18.75">
      <c r="A6" s="48"/>
      <c r="B6" s="49"/>
      <c r="C6" s="49"/>
      <c r="D6" s="49"/>
      <c r="E6" s="49"/>
      <c r="F6" s="49"/>
      <c r="G6" s="49"/>
      <c r="H6" s="48"/>
      <c r="I6" s="50"/>
      <c r="J6" s="49"/>
      <c r="L6" s="576"/>
      <c r="M6" s="576"/>
      <c r="N6" s="576"/>
      <c r="O6" s="576"/>
      <c r="P6" s="576"/>
      <c r="Q6" s="23"/>
      <c r="Y6" s="1287" t="s">
        <v>318</v>
      </c>
      <c r="Z6" s="1288"/>
      <c r="AA6" s="1288"/>
      <c r="AB6" s="1288"/>
      <c r="AC6" s="1288"/>
      <c r="AD6" s="1288"/>
      <c r="AE6" s="1288"/>
      <c r="AF6" s="1288"/>
      <c r="AG6" s="1288"/>
      <c r="AH6" s="1289"/>
    </row>
    <row r="7" spans="1:34" ht="15.75">
      <c r="Y7" s="1290" t="s">
        <v>11</v>
      </c>
      <c r="Z7" s="1291"/>
      <c r="AA7" s="1291"/>
      <c r="AB7" s="1291"/>
      <c r="AC7" s="1291"/>
      <c r="AD7" s="1291"/>
      <c r="AE7" s="1292"/>
      <c r="AF7" s="10">
        <f>AF8+AF112+AF129+AF188+AF241+AF248+AF279+AF286+AF297</f>
        <v>69356.969999999987</v>
      </c>
      <c r="AG7" s="578"/>
      <c r="AH7" s="372"/>
    </row>
    <row r="8" spans="1:34" ht="15.75">
      <c r="Y8" s="1221" t="s">
        <v>12</v>
      </c>
      <c r="Z8" s="1222"/>
      <c r="AA8" s="1222"/>
      <c r="AB8" s="1222"/>
      <c r="AC8" s="1222"/>
      <c r="AD8" s="1222"/>
      <c r="AE8" s="1223"/>
      <c r="AF8" s="370">
        <f>SUM(AF9:AF111)</f>
        <v>25067.529999999995</v>
      </c>
      <c r="AG8" s="559"/>
      <c r="AH8" s="559"/>
    </row>
    <row r="9" spans="1:34">
      <c r="Y9" s="1210" t="s">
        <v>137</v>
      </c>
      <c r="Z9" s="1243" t="s">
        <v>13</v>
      </c>
      <c r="AA9" s="1244"/>
      <c r="AB9" s="1244"/>
      <c r="AC9" s="1244"/>
      <c r="AD9" s="1244"/>
      <c r="AE9" s="1245"/>
      <c r="AF9" s="1229">
        <v>2500</v>
      </c>
      <c r="AG9" s="1220" t="s">
        <v>1327</v>
      </c>
      <c r="AH9" s="1220" t="s">
        <v>1328</v>
      </c>
    </row>
    <row r="10" spans="1:34">
      <c r="Y10" s="1280"/>
      <c r="Z10" s="579" t="s">
        <v>438</v>
      </c>
      <c r="AA10" s="580" t="s">
        <v>441</v>
      </c>
      <c r="AB10" s="580" t="s">
        <v>439</v>
      </c>
      <c r="AC10" s="580" t="s">
        <v>1228</v>
      </c>
      <c r="AD10" s="580" t="s">
        <v>440</v>
      </c>
      <c r="AE10" s="581"/>
      <c r="AF10" s="1293"/>
      <c r="AG10" s="1220"/>
      <c r="AH10" s="1220"/>
    </row>
    <row r="11" spans="1:34">
      <c r="Y11" s="1211"/>
      <c r="Z11" s="560" t="s">
        <v>438</v>
      </c>
      <c r="AA11" s="561" t="s">
        <v>458</v>
      </c>
      <c r="AB11" s="561" t="s">
        <v>439</v>
      </c>
      <c r="AC11" s="561" t="s">
        <v>460</v>
      </c>
      <c r="AD11" s="561" t="s">
        <v>440</v>
      </c>
      <c r="AE11" s="582"/>
      <c r="AF11" s="1230"/>
      <c r="AG11" s="1220"/>
      <c r="AH11" s="1220"/>
    </row>
    <row r="12" spans="1:34">
      <c r="Y12" s="1210" t="s">
        <v>138</v>
      </c>
      <c r="Z12" s="1243" t="s">
        <v>14</v>
      </c>
      <c r="AA12" s="1244"/>
      <c r="AB12" s="1244"/>
      <c r="AC12" s="1244"/>
      <c r="AD12" s="1244"/>
      <c r="AE12" s="1245"/>
      <c r="AF12" s="1218">
        <v>119.41</v>
      </c>
      <c r="AG12" s="1220" t="s">
        <v>1327</v>
      </c>
      <c r="AH12" s="1220" t="s">
        <v>1328</v>
      </c>
    </row>
    <row r="13" spans="1:34">
      <c r="Y13" s="1211"/>
      <c r="Z13" s="560" t="s">
        <v>438</v>
      </c>
      <c r="AA13" s="561" t="s">
        <v>444</v>
      </c>
      <c r="AB13" s="561" t="s">
        <v>439</v>
      </c>
      <c r="AC13" s="561" t="s">
        <v>445</v>
      </c>
      <c r="AD13" s="561" t="s">
        <v>440</v>
      </c>
      <c r="AE13" s="583"/>
      <c r="AF13" s="1219"/>
      <c r="AG13" s="1220"/>
      <c r="AH13" s="1220"/>
    </row>
    <row r="14" spans="1:34">
      <c r="Y14" s="1210" t="s">
        <v>139</v>
      </c>
      <c r="Z14" s="1212" t="s">
        <v>15</v>
      </c>
      <c r="AA14" s="1213"/>
      <c r="AB14" s="1213"/>
      <c r="AC14" s="1213"/>
      <c r="AD14" s="1213"/>
      <c r="AE14" s="1214"/>
      <c r="AF14" s="1229">
        <v>168.61</v>
      </c>
      <c r="AG14" s="1220" t="s">
        <v>1327</v>
      </c>
      <c r="AH14" s="1220" t="s">
        <v>1328</v>
      </c>
    </row>
    <row r="15" spans="1:34">
      <c r="Y15" s="1211"/>
      <c r="Z15" s="560" t="s">
        <v>438</v>
      </c>
      <c r="AA15" s="561" t="s">
        <v>444</v>
      </c>
      <c r="AB15" s="561" t="s">
        <v>439</v>
      </c>
      <c r="AC15" s="561" t="s">
        <v>446</v>
      </c>
      <c r="AD15" s="561" t="s">
        <v>440</v>
      </c>
      <c r="AE15" s="584"/>
      <c r="AF15" s="1230"/>
      <c r="AG15" s="1220"/>
      <c r="AH15" s="1220"/>
    </row>
    <row r="16" spans="1:34">
      <c r="Y16" s="1210" t="s">
        <v>136</v>
      </c>
      <c r="Z16" s="1212" t="s">
        <v>1229</v>
      </c>
      <c r="AA16" s="1213"/>
      <c r="AB16" s="1213"/>
      <c r="AC16" s="1213"/>
      <c r="AD16" s="1213"/>
      <c r="AE16" s="1214"/>
      <c r="AF16" s="1229">
        <v>82.04</v>
      </c>
      <c r="AG16" s="1220" t="s">
        <v>1327</v>
      </c>
      <c r="AH16" s="1220" t="s">
        <v>1328</v>
      </c>
    </row>
    <row r="17" spans="25:34">
      <c r="Y17" s="1211"/>
      <c r="Z17" s="560" t="s">
        <v>438</v>
      </c>
      <c r="AA17" s="561" t="s">
        <v>446</v>
      </c>
      <c r="AB17" s="561" t="s">
        <v>439</v>
      </c>
      <c r="AC17" s="561" t="s">
        <v>447</v>
      </c>
      <c r="AD17" s="561" t="s">
        <v>440</v>
      </c>
      <c r="AE17" s="585"/>
      <c r="AF17" s="1230"/>
      <c r="AG17" s="1220"/>
      <c r="AH17" s="1220"/>
    </row>
    <row r="18" spans="25:34">
      <c r="Y18" s="1210" t="s">
        <v>140</v>
      </c>
      <c r="Z18" s="1282" t="s">
        <v>1230</v>
      </c>
      <c r="AA18" s="1283"/>
      <c r="AB18" s="1283"/>
      <c r="AC18" s="1283"/>
      <c r="AD18" s="1283"/>
      <c r="AE18" s="1284"/>
      <c r="AF18" s="1229">
        <v>79.569999999999993</v>
      </c>
      <c r="AG18" s="1220" t="s">
        <v>1327</v>
      </c>
      <c r="AH18" s="1220" t="s">
        <v>1328</v>
      </c>
    </row>
    <row r="19" spans="25:34">
      <c r="Y19" s="1211"/>
      <c r="Z19" s="403" t="s">
        <v>438</v>
      </c>
      <c r="AA19" s="404" t="s">
        <v>442</v>
      </c>
      <c r="AB19" s="404" t="s">
        <v>439</v>
      </c>
      <c r="AC19" s="404" t="s">
        <v>448</v>
      </c>
      <c r="AD19" s="404" t="s">
        <v>440</v>
      </c>
      <c r="AE19" s="405"/>
      <c r="AF19" s="1230"/>
      <c r="AG19" s="1220"/>
      <c r="AH19" s="1220"/>
    </row>
    <row r="20" spans="25:34">
      <c r="Y20" s="1210" t="s">
        <v>141</v>
      </c>
      <c r="Z20" s="1212" t="s">
        <v>16</v>
      </c>
      <c r="AA20" s="1213"/>
      <c r="AB20" s="1213"/>
      <c r="AC20" s="1213"/>
      <c r="AD20" s="1213"/>
      <c r="AE20" s="1214"/>
      <c r="AF20" s="1229">
        <v>110.51</v>
      </c>
      <c r="AG20" s="1220" t="s">
        <v>1327</v>
      </c>
      <c r="AH20" s="1220" t="s">
        <v>1328</v>
      </c>
    </row>
    <row r="21" spans="25:34">
      <c r="Y21" s="1211"/>
      <c r="Z21" s="560" t="s">
        <v>438</v>
      </c>
      <c r="AA21" s="561" t="s">
        <v>442</v>
      </c>
      <c r="AB21" s="561" t="s">
        <v>439</v>
      </c>
      <c r="AC21" s="561" t="s">
        <v>447</v>
      </c>
      <c r="AD21" s="561" t="s">
        <v>440</v>
      </c>
      <c r="AE21" s="584"/>
      <c r="AF21" s="1230"/>
      <c r="AG21" s="1220"/>
      <c r="AH21" s="1220"/>
    </row>
    <row r="22" spans="25:34">
      <c r="Y22" s="1210" t="s">
        <v>142</v>
      </c>
      <c r="Z22" s="1212" t="s">
        <v>17</v>
      </c>
      <c r="AA22" s="1213"/>
      <c r="AB22" s="1213"/>
      <c r="AC22" s="1213"/>
      <c r="AD22" s="1213"/>
      <c r="AE22" s="1214"/>
      <c r="AF22" s="1229">
        <v>1001.6</v>
      </c>
      <c r="AG22" s="1220" t="s">
        <v>1327</v>
      </c>
      <c r="AH22" s="1220" t="s">
        <v>1328</v>
      </c>
    </row>
    <row r="23" spans="25:34">
      <c r="Y23" s="1211"/>
      <c r="Z23" s="560" t="s">
        <v>438</v>
      </c>
      <c r="AA23" s="561" t="s">
        <v>449</v>
      </c>
      <c r="AB23" s="561" t="s">
        <v>439</v>
      </c>
      <c r="AC23" s="561" t="s">
        <v>443</v>
      </c>
      <c r="AD23" s="561" t="s">
        <v>440</v>
      </c>
      <c r="AE23" s="584"/>
      <c r="AF23" s="1230"/>
      <c r="AG23" s="1220"/>
      <c r="AH23" s="1220"/>
    </row>
    <row r="24" spans="25:34">
      <c r="Y24" s="1210" t="s">
        <v>143</v>
      </c>
      <c r="Z24" s="1212" t="s">
        <v>18</v>
      </c>
      <c r="AA24" s="1213"/>
      <c r="AB24" s="1213"/>
      <c r="AC24" s="1213"/>
      <c r="AD24" s="1213"/>
      <c r="AE24" s="1214"/>
      <c r="AF24" s="1229">
        <v>33.64</v>
      </c>
      <c r="AG24" s="1220" t="s">
        <v>1327</v>
      </c>
      <c r="AH24" s="1220" t="s">
        <v>1328</v>
      </c>
    </row>
    <row r="25" spans="25:34">
      <c r="Y25" s="1211"/>
      <c r="Z25" s="560" t="s">
        <v>438</v>
      </c>
      <c r="AA25" s="561" t="s">
        <v>442</v>
      </c>
      <c r="AB25" s="561" t="s">
        <v>439</v>
      </c>
      <c r="AC25" s="561" t="s">
        <v>450</v>
      </c>
      <c r="AD25" s="561" t="s">
        <v>440</v>
      </c>
      <c r="AE25" s="584"/>
      <c r="AF25" s="1230"/>
      <c r="AG25" s="1220"/>
      <c r="AH25" s="1220"/>
    </row>
    <row r="26" spans="25:34">
      <c r="Y26" s="1210" t="s">
        <v>144</v>
      </c>
      <c r="Z26" s="1212" t="s">
        <v>19</v>
      </c>
      <c r="AA26" s="1213"/>
      <c r="AB26" s="1213"/>
      <c r="AC26" s="1213"/>
      <c r="AD26" s="1213"/>
      <c r="AE26" s="1214"/>
      <c r="AF26" s="1218">
        <v>157.88</v>
      </c>
      <c r="AG26" s="1220" t="s">
        <v>1327</v>
      </c>
      <c r="AH26" s="1220" t="s">
        <v>1328</v>
      </c>
    </row>
    <row r="27" spans="25:34">
      <c r="Y27" s="1211"/>
      <c r="Z27" s="560" t="s">
        <v>438</v>
      </c>
      <c r="AA27" s="561" t="s">
        <v>442</v>
      </c>
      <c r="AB27" s="561" t="s">
        <v>439</v>
      </c>
      <c r="AC27" s="561" t="s">
        <v>451</v>
      </c>
      <c r="AD27" s="561" t="s">
        <v>440</v>
      </c>
      <c r="AE27" s="584"/>
      <c r="AF27" s="1219"/>
      <c r="AG27" s="1220"/>
      <c r="AH27" s="1220"/>
    </row>
    <row r="28" spans="25:34">
      <c r="Y28" s="1210" t="s">
        <v>145</v>
      </c>
      <c r="Z28" s="1212" t="s">
        <v>20</v>
      </c>
      <c r="AA28" s="1213"/>
      <c r="AB28" s="1213"/>
      <c r="AC28" s="1213"/>
      <c r="AD28" s="1213"/>
      <c r="AE28" s="1214"/>
      <c r="AF28" s="1229">
        <v>152.54</v>
      </c>
      <c r="AG28" s="1220" t="s">
        <v>1327</v>
      </c>
      <c r="AH28" s="1220" t="s">
        <v>1328</v>
      </c>
    </row>
    <row r="29" spans="25:34">
      <c r="Y29" s="1211"/>
      <c r="Z29" s="560" t="s">
        <v>438</v>
      </c>
      <c r="AA29" s="561" t="s">
        <v>449</v>
      </c>
      <c r="AB29" s="561" t="s">
        <v>439</v>
      </c>
      <c r="AC29" s="561" t="s">
        <v>452</v>
      </c>
      <c r="AD29" s="561" t="s">
        <v>440</v>
      </c>
      <c r="AE29" s="584"/>
      <c r="AF29" s="1230"/>
      <c r="AG29" s="1220"/>
      <c r="AH29" s="1220"/>
    </row>
    <row r="30" spans="25:34">
      <c r="Y30" s="1210" t="s">
        <v>146</v>
      </c>
      <c r="Z30" s="1212" t="s">
        <v>21</v>
      </c>
      <c r="AA30" s="1213"/>
      <c r="AB30" s="1213"/>
      <c r="AC30" s="1213"/>
      <c r="AD30" s="1213"/>
      <c r="AE30" s="1214"/>
      <c r="AF30" s="1218">
        <v>15.89</v>
      </c>
      <c r="AG30" s="1220" t="s">
        <v>1327</v>
      </c>
      <c r="AH30" s="1220" t="s">
        <v>1328</v>
      </c>
    </row>
    <row r="31" spans="25:34">
      <c r="Y31" s="1211"/>
      <c r="Z31" s="560" t="s">
        <v>438</v>
      </c>
      <c r="AA31" s="561" t="s">
        <v>442</v>
      </c>
      <c r="AB31" s="561" t="s">
        <v>439</v>
      </c>
      <c r="AC31" s="561" t="s">
        <v>689</v>
      </c>
      <c r="AD31" s="561" t="s">
        <v>440</v>
      </c>
      <c r="AE31" s="584"/>
      <c r="AF31" s="1219"/>
      <c r="AG31" s="1220"/>
      <c r="AH31" s="1220"/>
    </row>
    <row r="32" spans="25:34">
      <c r="Y32" s="1210" t="s">
        <v>147</v>
      </c>
      <c r="Z32" s="1212" t="s">
        <v>22</v>
      </c>
      <c r="AA32" s="1213"/>
      <c r="AB32" s="1213"/>
      <c r="AC32" s="1213"/>
      <c r="AD32" s="1213"/>
      <c r="AE32" s="1214"/>
      <c r="AF32" s="1218">
        <v>199.02</v>
      </c>
      <c r="AG32" s="1220" t="s">
        <v>1327</v>
      </c>
      <c r="AH32" s="1220" t="s">
        <v>1328</v>
      </c>
    </row>
    <row r="33" spans="25:34">
      <c r="Y33" s="1211"/>
      <c r="Z33" s="560" t="s">
        <v>438</v>
      </c>
      <c r="AA33" s="561" t="s">
        <v>454</v>
      </c>
      <c r="AB33" s="561" t="s">
        <v>439</v>
      </c>
      <c r="AC33" s="561" t="s">
        <v>455</v>
      </c>
      <c r="AD33" s="561" t="s">
        <v>440</v>
      </c>
      <c r="AE33" s="584"/>
      <c r="AF33" s="1219"/>
      <c r="AG33" s="1220"/>
      <c r="AH33" s="1220"/>
    </row>
    <row r="34" spans="25:34">
      <c r="Y34" s="1210" t="s">
        <v>148</v>
      </c>
      <c r="Z34" s="1243" t="s">
        <v>23</v>
      </c>
      <c r="AA34" s="1244"/>
      <c r="AB34" s="1244"/>
      <c r="AC34" s="1244"/>
      <c r="AD34" s="1244"/>
      <c r="AE34" s="1245"/>
      <c r="AF34" s="1218">
        <v>183.45</v>
      </c>
      <c r="AG34" s="1220" t="s">
        <v>1327</v>
      </c>
      <c r="AH34" s="1220" t="s">
        <v>1328</v>
      </c>
    </row>
    <row r="35" spans="25:34">
      <c r="Y35" s="1211"/>
      <c r="Z35" s="560" t="s">
        <v>438</v>
      </c>
      <c r="AA35" s="561" t="s">
        <v>456</v>
      </c>
      <c r="AB35" s="561" t="s">
        <v>439</v>
      </c>
      <c r="AC35" s="561" t="s">
        <v>1231</v>
      </c>
      <c r="AD35" s="561" t="s">
        <v>440</v>
      </c>
      <c r="AE35" s="583"/>
      <c r="AF35" s="1219"/>
      <c r="AG35" s="1220"/>
      <c r="AH35" s="1220"/>
    </row>
    <row r="36" spans="25:34">
      <c r="Y36" s="1210" t="s">
        <v>149</v>
      </c>
      <c r="Z36" s="1243" t="s">
        <v>24</v>
      </c>
      <c r="AA36" s="1244"/>
      <c r="AB36" s="1244"/>
      <c r="AC36" s="1244"/>
      <c r="AD36" s="1244"/>
      <c r="AE36" s="1245"/>
      <c r="AF36" s="1229">
        <v>58.21</v>
      </c>
      <c r="AG36" s="1220" t="s">
        <v>1327</v>
      </c>
      <c r="AH36" s="1220" t="s">
        <v>1328</v>
      </c>
    </row>
    <row r="37" spans="25:34">
      <c r="Y37" s="1211"/>
      <c r="Z37" s="560" t="s">
        <v>438</v>
      </c>
      <c r="AA37" s="561" t="s">
        <v>456</v>
      </c>
      <c r="AB37" s="561" t="s">
        <v>439</v>
      </c>
      <c r="AC37" s="561" t="s">
        <v>450</v>
      </c>
      <c r="AD37" s="561" t="s">
        <v>440</v>
      </c>
      <c r="AE37" s="583"/>
      <c r="AF37" s="1230"/>
      <c r="AG37" s="1220"/>
      <c r="AH37" s="1220"/>
    </row>
    <row r="38" spans="25:34">
      <c r="Y38" s="1210" t="s">
        <v>150</v>
      </c>
      <c r="Z38" s="1243" t="s">
        <v>25</v>
      </c>
      <c r="AA38" s="1244"/>
      <c r="AB38" s="1244"/>
      <c r="AC38" s="1244"/>
      <c r="AD38" s="1244"/>
      <c r="AE38" s="1245"/>
      <c r="AF38" s="1218">
        <v>146.69</v>
      </c>
      <c r="AG38" s="1220" t="s">
        <v>1327</v>
      </c>
      <c r="AH38" s="1220" t="s">
        <v>1328</v>
      </c>
    </row>
    <row r="39" spans="25:34">
      <c r="Y39" s="1211"/>
      <c r="Z39" s="560" t="s">
        <v>438</v>
      </c>
      <c r="AA39" s="561" t="s">
        <v>456</v>
      </c>
      <c r="AB39" s="561" t="s">
        <v>439</v>
      </c>
      <c r="AC39" s="561" t="s">
        <v>442</v>
      </c>
      <c r="AD39" s="561" t="s">
        <v>440</v>
      </c>
      <c r="AE39" s="583"/>
      <c r="AF39" s="1219"/>
      <c r="AG39" s="1220"/>
      <c r="AH39" s="1220"/>
    </row>
    <row r="40" spans="25:34">
      <c r="Y40" s="1210" t="s">
        <v>151</v>
      </c>
      <c r="Z40" s="1243" t="s">
        <v>1232</v>
      </c>
      <c r="AA40" s="1244"/>
      <c r="AB40" s="1244"/>
      <c r="AC40" s="1244"/>
      <c r="AD40" s="1244"/>
      <c r="AE40" s="1245"/>
      <c r="AF40" s="1229">
        <v>600.09</v>
      </c>
      <c r="AG40" s="1220" t="s">
        <v>1327</v>
      </c>
      <c r="AH40" s="1220" t="s">
        <v>1328</v>
      </c>
    </row>
    <row r="41" spans="25:34">
      <c r="Y41" s="1211"/>
      <c r="Z41" s="560" t="s">
        <v>438</v>
      </c>
      <c r="AA41" s="561" t="s">
        <v>441</v>
      </c>
      <c r="AB41" s="561" t="s">
        <v>439</v>
      </c>
      <c r="AC41" s="561" t="s">
        <v>458</v>
      </c>
      <c r="AD41" s="561" t="s">
        <v>440</v>
      </c>
      <c r="AE41" s="583"/>
      <c r="AF41" s="1230"/>
      <c r="AG41" s="1220"/>
      <c r="AH41" s="1220"/>
    </row>
    <row r="42" spans="25:34">
      <c r="Y42" s="1210" t="s">
        <v>152</v>
      </c>
      <c r="Z42" s="1243" t="s">
        <v>26</v>
      </c>
      <c r="AA42" s="1244"/>
      <c r="AB42" s="1244"/>
      <c r="AC42" s="1244"/>
      <c r="AD42" s="1244"/>
      <c r="AE42" s="1245"/>
      <c r="AF42" s="1218">
        <v>316.62</v>
      </c>
      <c r="AG42" s="1220" t="s">
        <v>1327</v>
      </c>
      <c r="AH42" s="1220" t="s">
        <v>1328</v>
      </c>
    </row>
    <row r="43" spans="25:34">
      <c r="Y43" s="1280"/>
      <c r="Z43" s="579" t="s">
        <v>438</v>
      </c>
      <c r="AA43" s="580" t="s">
        <v>454</v>
      </c>
      <c r="AB43" s="580" t="s">
        <v>439</v>
      </c>
      <c r="AC43" s="580" t="s">
        <v>1233</v>
      </c>
      <c r="AD43" s="580" t="s">
        <v>440</v>
      </c>
      <c r="AE43" s="581"/>
      <c r="AF43" s="1281"/>
      <c r="AG43" s="1220"/>
      <c r="AH43" s="1220"/>
    </row>
    <row r="44" spans="25:34">
      <c r="Y44" s="1211"/>
      <c r="Z44" s="560" t="s">
        <v>438</v>
      </c>
      <c r="AA44" s="561" t="s">
        <v>442</v>
      </c>
      <c r="AB44" s="561" t="s">
        <v>439</v>
      </c>
      <c r="AC44" s="561" t="s">
        <v>697</v>
      </c>
      <c r="AD44" s="561" t="s">
        <v>440</v>
      </c>
      <c r="AE44" s="583"/>
      <c r="AF44" s="1219"/>
      <c r="AG44" s="1220"/>
      <c r="AH44" s="1220"/>
    </row>
    <row r="45" spans="25:34">
      <c r="Y45" s="1210" t="s">
        <v>153</v>
      </c>
      <c r="Z45" s="1243" t="s">
        <v>27</v>
      </c>
      <c r="AA45" s="1244"/>
      <c r="AB45" s="1244"/>
      <c r="AC45" s="1244"/>
      <c r="AD45" s="1244"/>
      <c r="AE45" s="1245"/>
      <c r="AF45" s="1218">
        <v>142.53</v>
      </c>
      <c r="AG45" s="1220" t="s">
        <v>1327</v>
      </c>
      <c r="AH45" s="1220" t="s">
        <v>1328</v>
      </c>
    </row>
    <row r="46" spans="25:34">
      <c r="Y46" s="1211"/>
      <c r="Z46" s="560" t="s">
        <v>438</v>
      </c>
      <c r="AA46" s="561" t="s">
        <v>456</v>
      </c>
      <c r="AB46" s="561" t="s">
        <v>439</v>
      </c>
      <c r="AC46" s="561" t="s">
        <v>1234</v>
      </c>
      <c r="AD46" s="561" t="s">
        <v>440</v>
      </c>
      <c r="AE46" s="583"/>
      <c r="AF46" s="1219"/>
      <c r="AG46" s="1220"/>
      <c r="AH46" s="1220"/>
    </row>
    <row r="47" spans="25:34">
      <c r="Y47" s="1210" t="s">
        <v>154</v>
      </c>
      <c r="Z47" s="1243" t="s">
        <v>28</v>
      </c>
      <c r="AA47" s="1244"/>
      <c r="AB47" s="1244"/>
      <c r="AC47" s="1244"/>
      <c r="AD47" s="1244"/>
      <c r="AE47" s="1245"/>
      <c r="AF47" s="1218">
        <v>153.19</v>
      </c>
      <c r="AG47" s="1220" t="s">
        <v>1327</v>
      </c>
      <c r="AH47" s="1220" t="s">
        <v>1328</v>
      </c>
    </row>
    <row r="48" spans="25:34">
      <c r="Y48" s="1211"/>
      <c r="Z48" s="560" t="s">
        <v>438</v>
      </c>
      <c r="AA48" s="561" t="s">
        <v>456</v>
      </c>
      <c r="AB48" s="561" t="s">
        <v>439</v>
      </c>
      <c r="AC48" s="561" t="s">
        <v>445</v>
      </c>
      <c r="AD48" s="561" t="s">
        <v>440</v>
      </c>
      <c r="AE48" s="583"/>
      <c r="AF48" s="1219"/>
      <c r="AG48" s="1220"/>
      <c r="AH48" s="1220"/>
    </row>
    <row r="49" spans="25:34">
      <c r="Y49" s="1210" t="s">
        <v>155</v>
      </c>
      <c r="Z49" s="1243" t="s">
        <v>29</v>
      </c>
      <c r="AA49" s="1244"/>
      <c r="AB49" s="1244"/>
      <c r="AC49" s="1244"/>
      <c r="AD49" s="1244"/>
      <c r="AE49" s="1245"/>
      <c r="AF49" s="1229">
        <v>55.48</v>
      </c>
      <c r="AG49" s="1220" t="s">
        <v>1327</v>
      </c>
      <c r="AH49" s="1220" t="s">
        <v>1328</v>
      </c>
    </row>
    <row r="50" spans="25:34">
      <c r="Y50" s="1211"/>
      <c r="Z50" s="560" t="s">
        <v>438</v>
      </c>
      <c r="AA50" s="561" t="s">
        <v>442</v>
      </c>
      <c r="AB50" s="561" t="s">
        <v>439</v>
      </c>
      <c r="AC50" s="561" t="s">
        <v>453</v>
      </c>
      <c r="AD50" s="561" t="s">
        <v>440</v>
      </c>
      <c r="AE50" s="582"/>
      <c r="AF50" s="1230"/>
      <c r="AG50" s="1220"/>
      <c r="AH50" s="1220"/>
    </row>
    <row r="51" spans="25:34">
      <c r="Y51" s="1210" t="s">
        <v>156</v>
      </c>
      <c r="Z51" s="1243" t="s">
        <v>30</v>
      </c>
      <c r="AA51" s="1244"/>
      <c r="AB51" s="1244"/>
      <c r="AC51" s="1244"/>
      <c r="AD51" s="1244"/>
      <c r="AE51" s="1245"/>
      <c r="AF51" s="1218">
        <v>168.23</v>
      </c>
      <c r="AG51" s="1220" t="s">
        <v>1327</v>
      </c>
      <c r="AH51" s="1220" t="s">
        <v>1328</v>
      </c>
    </row>
    <row r="52" spans="25:34">
      <c r="Y52" s="1211"/>
      <c r="Z52" s="560" t="s">
        <v>438</v>
      </c>
      <c r="AA52" s="561" t="s">
        <v>456</v>
      </c>
      <c r="AB52" s="561" t="s">
        <v>439</v>
      </c>
      <c r="AC52" s="561" t="s">
        <v>1235</v>
      </c>
      <c r="AD52" s="561" t="s">
        <v>440</v>
      </c>
      <c r="AE52" s="583"/>
      <c r="AF52" s="1219"/>
      <c r="AG52" s="1220"/>
      <c r="AH52" s="1220"/>
    </row>
    <row r="53" spans="25:34">
      <c r="Y53" s="1210" t="s">
        <v>157</v>
      </c>
      <c r="Z53" s="1243" t="s">
        <v>31</v>
      </c>
      <c r="AA53" s="1244"/>
      <c r="AB53" s="1244"/>
      <c r="AC53" s="1244"/>
      <c r="AD53" s="1244"/>
      <c r="AE53" s="1245"/>
      <c r="AF53" s="1218">
        <v>81.650000000000006</v>
      </c>
      <c r="AG53" s="1220" t="s">
        <v>1327</v>
      </c>
      <c r="AH53" s="1220" t="s">
        <v>1328</v>
      </c>
    </row>
    <row r="54" spans="25:34">
      <c r="Y54" s="1211"/>
      <c r="Z54" s="560" t="s">
        <v>438</v>
      </c>
      <c r="AA54" s="561" t="s">
        <v>456</v>
      </c>
      <c r="AB54" s="561" t="s">
        <v>439</v>
      </c>
      <c r="AC54" s="561" t="s">
        <v>1236</v>
      </c>
      <c r="AD54" s="561" t="s">
        <v>440</v>
      </c>
      <c r="AE54" s="583"/>
      <c r="AF54" s="1219"/>
      <c r="AG54" s="1220"/>
      <c r="AH54" s="1220"/>
    </row>
    <row r="55" spans="25:34">
      <c r="Y55" s="1210" t="s">
        <v>158</v>
      </c>
      <c r="Z55" s="1243" t="s">
        <v>32</v>
      </c>
      <c r="AA55" s="1244"/>
      <c r="AB55" s="1244"/>
      <c r="AC55" s="1244"/>
      <c r="AD55" s="1244"/>
      <c r="AE55" s="1245"/>
      <c r="AF55" s="1218">
        <v>460.48</v>
      </c>
      <c r="AG55" s="1220" t="s">
        <v>1327</v>
      </c>
      <c r="AH55" s="1220" t="s">
        <v>1328</v>
      </c>
    </row>
    <row r="56" spans="25:34">
      <c r="Y56" s="1211"/>
      <c r="Z56" s="560" t="s">
        <v>438</v>
      </c>
      <c r="AA56" s="561" t="s">
        <v>456</v>
      </c>
      <c r="AB56" s="561" t="s">
        <v>439</v>
      </c>
      <c r="AC56" s="561" t="s">
        <v>1237</v>
      </c>
      <c r="AD56" s="561" t="s">
        <v>440</v>
      </c>
      <c r="AE56" s="583"/>
      <c r="AF56" s="1219"/>
      <c r="AG56" s="1220"/>
      <c r="AH56" s="1220"/>
    </row>
    <row r="57" spans="25:34">
      <c r="Y57" s="1210" t="s">
        <v>159</v>
      </c>
      <c r="Z57" s="1243" t="s">
        <v>33</v>
      </c>
      <c r="AA57" s="1244"/>
      <c r="AB57" s="1244"/>
      <c r="AC57" s="1244"/>
      <c r="AD57" s="1244"/>
      <c r="AE57" s="1245"/>
      <c r="AF57" s="1218">
        <v>89.38</v>
      </c>
      <c r="AG57" s="1220" t="s">
        <v>1327</v>
      </c>
      <c r="AH57" s="1220" t="s">
        <v>1328</v>
      </c>
    </row>
    <row r="58" spans="25:34">
      <c r="Y58" s="1211"/>
      <c r="Z58" s="560" t="s">
        <v>438</v>
      </c>
      <c r="AA58" s="561" t="s">
        <v>446</v>
      </c>
      <c r="AB58" s="561" t="s">
        <v>439</v>
      </c>
      <c r="AC58" s="561" t="s">
        <v>448</v>
      </c>
      <c r="AD58" s="561" t="s">
        <v>440</v>
      </c>
      <c r="AE58" s="583"/>
      <c r="AF58" s="1219"/>
      <c r="AG58" s="1220"/>
      <c r="AH58" s="1220"/>
    </row>
    <row r="59" spans="25:34">
      <c r="Y59" s="1210" t="s">
        <v>160</v>
      </c>
      <c r="Z59" s="1243" t="s">
        <v>34</v>
      </c>
      <c r="AA59" s="1244"/>
      <c r="AB59" s="1244"/>
      <c r="AC59" s="1244"/>
      <c r="AD59" s="1244"/>
      <c r="AE59" s="1245"/>
      <c r="AF59" s="1218">
        <v>217.79</v>
      </c>
      <c r="AG59" s="1220" t="s">
        <v>1327</v>
      </c>
      <c r="AH59" s="1220" t="s">
        <v>1328</v>
      </c>
    </row>
    <row r="60" spans="25:34">
      <c r="Y60" s="1211"/>
      <c r="Z60" s="586" t="s">
        <v>438</v>
      </c>
      <c r="AA60" s="587" t="s">
        <v>446</v>
      </c>
      <c r="AB60" s="587" t="s">
        <v>439</v>
      </c>
      <c r="AC60" s="587" t="s">
        <v>446</v>
      </c>
      <c r="AD60" s="587" t="s">
        <v>440</v>
      </c>
      <c r="AE60" s="583"/>
      <c r="AF60" s="1219"/>
      <c r="AG60" s="1220"/>
      <c r="AH60" s="1220"/>
    </row>
    <row r="61" spans="25:34">
      <c r="Y61" s="1210" t="s">
        <v>161</v>
      </c>
      <c r="Z61" s="1243" t="s">
        <v>1238</v>
      </c>
      <c r="AA61" s="1244"/>
      <c r="AB61" s="1244"/>
      <c r="AC61" s="1244"/>
      <c r="AD61" s="1244"/>
      <c r="AE61" s="1245"/>
      <c r="AF61" s="1218">
        <v>50</v>
      </c>
      <c r="AG61" s="1220" t="s">
        <v>1327</v>
      </c>
      <c r="AH61" s="1220" t="s">
        <v>1328</v>
      </c>
    </row>
    <row r="62" spans="25:34">
      <c r="Y62" s="1211"/>
      <c r="Z62" s="560" t="s">
        <v>438</v>
      </c>
      <c r="AA62" s="561" t="s">
        <v>446</v>
      </c>
      <c r="AB62" s="561" t="s">
        <v>439</v>
      </c>
      <c r="AC62" s="561" t="s">
        <v>457</v>
      </c>
      <c r="AD62" s="561" t="s">
        <v>440</v>
      </c>
      <c r="AE62" s="583"/>
      <c r="AF62" s="1219"/>
      <c r="AG62" s="1220"/>
      <c r="AH62" s="1220"/>
    </row>
    <row r="63" spans="25:34">
      <c r="Y63" s="1210" t="s">
        <v>162</v>
      </c>
      <c r="Z63" s="1243" t="s">
        <v>35</v>
      </c>
      <c r="AA63" s="1244"/>
      <c r="AB63" s="1244"/>
      <c r="AC63" s="1244"/>
      <c r="AD63" s="1244"/>
      <c r="AE63" s="1245"/>
      <c r="AF63" s="1218">
        <v>232.53</v>
      </c>
      <c r="AG63" s="1220" t="s">
        <v>1327</v>
      </c>
      <c r="AH63" s="1220" t="s">
        <v>1328</v>
      </c>
    </row>
    <row r="64" spans="25:34">
      <c r="Y64" s="1211"/>
      <c r="Z64" s="560" t="s">
        <v>438</v>
      </c>
      <c r="AA64" s="561" t="s">
        <v>446</v>
      </c>
      <c r="AB64" s="561" t="s">
        <v>439</v>
      </c>
      <c r="AC64" s="561" t="s">
        <v>460</v>
      </c>
      <c r="AD64" s="561" t="s">
        <v>440</v>
      </c>
      <c r="AE64" s="583"/>
      <c r="AF64" s="1219"/>
      <c r="AG64" s="1220"/>
      <c r="AH64" s="1220"/>
    </row>
    <row r="65" spans="25:34">
      <c r="Y65" s="1210" t="s">
        <v>163</v>
      </c>
      <c r="Z65" s="1243" t="s">
        <v>36</v>
      </c>
      <c r="AA65" s="1244"/>
      <c r="AB65" s="1244"/>
      <c r="AC65" s="1244"/>
      <c r="AD65" s="1244"/>
      <c r="AE65" s="1245"/>
      <c r="AF65" s="1218">
        <v>179.25</v>
      </c>
      <c r="AG65" s="1220" t="s">
        <v>1327</v>
      </c>
      <c r="AH65" s="1220" t="s">
        <v>1328</v>
      </c>
    </row>
    <row r="66" spans="25:34">
      <c r="Y66" s="1211"/>
      <c r="Z66" s="560" t="s">
        <v>438</v>
      </c>
      <c r="AA66" s="561" t="s">
        <v>446</v>
      </c>
      <c r="AB66" s="561" t="s">
        <v>439</v>
      </c>
      <c r="AC66" s="561" t="s">
        <v>460</v>
      </c>
      <c r="AD66" s="561" t="s">
        <v>440</v>
      </c>
      <c r="AE66" s="583"/>
      <c r="AF66" s="1219"/>
      <c r="AG66" s="1220"/>
      <c r="AH66" s="1220"/>
    </row>
    <row r="67" spans="25:34">
      <c r="Y67" s="1210" t="s">
        <v>164</v>
      </c>
      <c r="Z67" s="1243" t="s">
        <v>37</v>
      </c>
      <c r="AA67" s="1244"/>
      <c r="AB67" s="1244"/>
      <c r="AC67" s="1244"/>
      <c r="AD67" s="1244"/>
      <c r="AE67" s="1245"/>
      <c r="AF67" s="1218">
        <v>110.32</v>
      </c>
      <c r="AG67" s="1220" t="s">
        <v>1327</v>
      </c>
      <c r="AH67" s="1220" t="s">
        <v>1328</v>
      </c>
    </row>
    <row r="68" spans="25:34">
      <c r="Y68" s="1211"/>
      <c r="Z68" s="560" t="s">
        <v>438</v>
      </c>
      <c r="AA68" s="561" t="s">
        <v>446</v>
      </c>
      <c r="AB68" s="561" t="s">
        <v>439</v>
      </c>
      <c r="AC68" s="561" t="s">
        <v>1236</v>
      </c>
      <c r="AD68" s="561" t="s">
        <v>440</v>
      </c>
      <c r="AE68" s="583"/>
      <c r="AF68" s="1219"/>
      <c r="AG68" s="1220"/>
      <c r="AH68" s="1220"/>
    </row>
    <row r="69" spans="25:34">
      <c r="Y69" s="1210" t="s">
        <v>165</v>
      </c>
      <c r="Z69" s="1243" t="s">
        <v>38</v>
      </c>
      <c r="AA69" s="1244"/>
      <c r="AB69" s="1244"/>
      <c r="AC69" s="1244"/>
      <c r="AD69" s="1244"/>
      <c r="AE69" s="1245"/>
      <c r="AF69" s="1218">
        <v>104.32</v>
      </c>
      <c r="AG69" s="1220" t="s">
        <v>1327</v>
      </c>
      <c r="AH69" s="1220" t="s">
        <v>1328</v>
      </c>
    </row>
    <row r="70" spans="25:34">
      <c r="Y70" s="1211"/>
      <c r="Z70" s="560" t="s">
        <v>438</v>
      </c>
      <c r="AA70" s="561" t="s">
        <v>446</v>
      </c>
      <c r="AB70" s="561" t="s">
        <v>439</v>
      </c>
      <c r="AC70" s="561" t="s">
        <v>457</v>
      </c>
      <c r="AD70" s="561" t="s">
        <v>440</v>
      </c>
      <c r="AE70" s="583"/>
      <c r="AF70" s="1219"/>
      <c r="AG70" s="1220"/>
      <c r="AH70" s="1220"/>
    </row>
    <row r="71" spans="25:34">
      <c r="Y71" s="1210" t="s">
        <v>166</v>
      </c>
      <c r="Z71" s="1243" t="s">
        <v>39</v>
      </c>
      <c r="AA71" s="1244"/>
      <c r="AB71" s="1244"/>
      <c r="AC71" s="1244"/>
      <c r="AD71" s="1244"/>
      <c r="AE71" s="1245"/>
      <c r="AF71" s="1218">
        <v>140.25</v>
      </c>
      <c r="AG71" s="1220" t="s">
        <v>1327</v>
      </c>
      <c r="AH71" s="1220" t="s">
        <v>1328</v>
      </c>
    </row>
    <row r="72" spans="25:34">
      <c r="Y72" s="1211"/>
      <c r="Z72" s="560" t="s">
        <v>438</v>
      </c>
      <c r="AA72" s="561" t="s">
        <v>446</v>
      </c>
      <c r="AB72" s="561" t="s">
        <v>439</v>
      </c>
      <c r="AC72" s="561" t="s">
        <v>460</v>
      </c>
      <c r="AD72" s="561" t="s">
        <v>440</v>
      </c>
      <c r="AE72" s="583"/>
      <c r="AF72" s="1219"/>
      <c r="AG72" s="1220"/>
      <c r="AH72" s="1220"/>
    </row>
    <row r="73" spans="25:34">
      <c r="Y73" s="1210" t="s">
        <v>167</v>
      </c>
      <c r="Z73" s="1243" t="s">
        <v>40</v>
      </c>
      <c r="AA73" s="1244"/>
      <c r="AB73" s="1244"/>
      <c r="AC73" s="1244"/>
      <c r="AD73" s="1244"/>
      <c r="AE73" s="1245"/>
      <c r="AF73" s="1218">
        <v>132.94</v>
      </c>
      <c r="AG73" s="1220" t="s">
        <v>1327</v>
      </c>
      <c r="AH73" s="1220" t="s">
        <v>1328</v>
      </c>
    </row>
    <row r="74" spans="25:34">
      <c r="Y74" s="1211"/>
      <c r="Z74" s="560" t="s">
        <v>438</v>
      </c>
      <c r="AA74" s="561" t="s">
        <v>446</v>
      </c>
      <c r="AB74" s="561" t="s">
        <v>439</v>
      </c>
      <c r="AC74" s="561" t="s">
        <v>455</v>
      </c>
      <c r="AD74" s="561" t="s">
        <v>440</v>
      </c>
      <c r="AE74" s="583"/>
      <c r="AF74" s="1219"/>
      <c r="AG74" s="1220"/>
      <c r="AH74" s="1220"/>
    </row>
    <row r="75" spans="25:34">
      <c r="Y75" s="1268" t="s">
        <v>168</v>
      </c>
      <c r="Z75" s="1271" t="s">
        <v>41</v>
      </c>
      <c r="AA75" s="1272"/>
      <c r="AB75" s="1272"/>
      <c r="AC75" s="1272"/>
      <c r="AD75" s="1272"/>
      <c r="AE75" s="1273"/>
      <c r="AF75" s="1274">
        <v>348.81</v>
      </c>
      <c r="AG75" s="1220" t="s">
        <v>1327</v>
      </c>
      <c r="AH75" s="1220" t="s">
        <v>1328</v>
      </c>
    </row>
    <row r="76" spans="25:34">
      <c r="Y76" s="1269"/>
      <c r="Z76" s="579" t="s">
        <v>438</v>
      </c>
      <c r="AA76" s="580" t="s">
        <v>444</v>
      </c>
      <c r="AB76" s="580" t="s">
        <v>439</v>
      </c>
      <c r="AC76" s="580" t="s">
        <v>447</v>
      </c>
      <c r="AD76" s="580" t="s">
        <v>440</v>
      </c>
      <c r="AE76" s="371"/>
      <c r="AF76" s="1275"/>
      <c r="AG76" s="1220"/>
      <c r="AH76" s="1220"/>
    </row>
    <row r="77" spans="25:34">
      <c r="Y77" s="1270"/>
      <c r="Z77" s="560" t="s">
        <v>438</v>
      </c>
      <c r="AA77" s="561" t="s">
        <v>450</v>
      </c>
      <c r="AB77" s="561" t="s">
        <v>439</v>
      </c>
      <c r="AC77" s="561" t="s">
        <v>446</v>
      </c>
      <c r="AD77" s="561" t="s">
        <v>440</v>
      </c>
      <c r="AE77" s="406"/>
      <c r="AF77" s="1276"/>
      <c r="AG77" s="1220"/>
      <c r="AH77" s="1220"/>
    </row>
    <row r="78" spans="25:34">
      <c r="Y78" s="1210" t="s">
        <v>169</v>
      </c>
      <c r="Z78" s="1277" t="s">
        <v>42</v>
      </c>
      <c r="AA78" s="1278"/>
      <c r="AB78" s="1278"/>
      <c r="AC78" s="1278"/>
      <c r="AD78" s="1278"/>
      <c r="AE78" s="1279"/>
      <c r="AF78" s="1229">
        <v>138.31</v>
      </c>
      <c r="AG78" s="1220" t="s">
        <v>1327</v>
      </c>
      <c r="AH78" s="1220" t="s">
        <v>1328</v>
      </c>
    </row>
    <row r="79" spans="25:34">
      <c r="Y79" s="1211"/>
      <c r="Z79" s="560" t="s">
        <v>438</v>
      </c>
      <c r="AA79" s="561" t="s">
        <v>446</v>
      </c>
      <c r="AB79" s="561" t="s">
        <v>439</v>
      </c>
      <c r="AC79" s="561" t="s">
        <v>456</v>
      </c>
      <c r="AD79" s="561" t="s">
        <v>440</v>
      </c>
      <c r="AE79" s="584"/>
      <c r="AF79" s="1230"/>
      <c r="AG79" s="1220"/>
      <c r="AH79" s="1220"/>
    </row>
    <row r="80" spans="25:34">
      <c r="Y80" s="1210" t="s">
        <v>170</v>
      </c>
      <c r="Z80" s="1212" t="s">
        <v>43</v>
      </c>
      <c r="AA80" s="1213"/>
      <c r="AB80" s="1213"/>
      <c r="AC80" s="1213"/>
      <c r="AD80" s="1213"/>
      <c r="AE80" s="1214"/>
      <c r="AF80" s="1260">
        <v>48.99</v>
      </c>
      <c r="AG80" s="1220" t="s">
        <v>1327</v>
      </c>
      <c r="AH80" s="1220" t="s">
        <v>1328</v>
      </c>
    </row>
    <row r="81" spans="25:34">
      <c r="Y81" s="1211"/>
      <c r="Z81" s="560" t="s">
        <v>438</v>
      </c>
      <c r="AA81" s="561" t="s">
        <v>442</v>
      </c>
      <c r="AB81" s="561" t="s">
        <v>439</v>
      </c>
      <c r="AC81" s="561" t="s">
        <v>1239</v>
      </c>
      <c r="AD81" s="561" t="s">
        <v>440</v>
      </c>
      <c r="AE81" s="588"/>
      <c r="AF81" s="1261"/>
      <c r="AG81" s="1220"/>
      <c r="AH81" s="1220"/>
    </row>
    <row r="82" spans="25:34">
      <c r="Y82" s="1210" t="s">
        <v>171</v>
      </c>
      <c r="Z82" s="1212" t="s">
        <v>1240</v>
      </c>
      <c r="AA82" s="1213"/>
      <c r="AB82" s="1213"/>
      <c r="AC82" s="1213"/>
      <c r="AD82" s="1213"/>
      <c r="AE82" s="1214"/>
      <c r="AF82" s="1260">
        <v>711.86</v>
      </c>
      <c r="AG82" s="1220" t="s">
        <v>1327</v>
      </c>
      <c r="AH82" s="1220" t="s">
        <v>1328</v>
      </c>
    </row>
    <row r="83" spans="25:34">
      <c r="Y83" s="1211"/>
      <c r="Z83" s="560" t="s">
        <v>438</v>
      </c>
      <c r="AA83" s="561" t="s">
        <v>449</v>
      </c>
      <c r="AB83" s="561" t="s">
        <v>439</v>
      </c>
      <c r="AC83" s="561" t="s">
        <v>1241</v>
      </c>
      <c r="AD83" s="561" t="s">
        <v>440</v>
      </c>
      <c r="AE83" s="588"/>
      <c r="AF83" s="1261"/>
      <c r="AG83" s="1220"/>
      <c r="AH83" s="1220"/>
    </row>
    <row r="84" spans="25:34">
      <c r="Y84" s="1255" t="s">
        <v>172</v>
      </c>
      <c r="Z84" s="1212" t="s">
        <v>1242</v>
      </c>
      <c r="AA84" s="1213"/>
      <c r="AB84" s="1213"/>
      <c r="AC84" s="1213"/>
      <c r="AD84" s="1213"/>
      <c r="AE84" s="1214"/>
      <c r="AF84" s="1264">
        <v>204.05</v>
      </c>
      <c r="AG84" s="1220" t="s">
        <v>1327</v>
      </c>
      <c r="AH84" s="1220" t="s">
        <v>1328</v>
      </c>
    </row>
    <row r="85" spans="25:34">
      <c r="Y85" s="1263"/>
      <c r="Z85" s="579" t="s">
        <v>438</v>
      </c>
      <c r="AA85" s="580" t="s">
        <v>446</v>
      </c>
      <c r="AB85" s="580" t="s">
        <v>439</v>
      </c>
      <c r="AC85" s="580" t="s">
        <v>1231</v>
      </c>
      <c r="AD85" s="580" t="s">
        <v>440</v>
      </c>
      <c r="AE85" s="589"/>
      <c r="AF85" s="1265"/>
      <c r="AG85" s="1220"/>
      <c r="AH85" s="1220"/>
    </row>
    <row r="86" spans="25:34">
      <c r="Y86" s="1256"/>
      <c r="Z86" s="579" t="s">
        <v>438</v>
      </c>
      <c r="AA86" s="580" t="s">
        <v>1243</v>
      </c>
      <c r="AB86" s="580" t="s">
        <v>439</v>
      </c>
      <c r="AC86" s="580" t="s">
        <v>685</v>
      </c>
      <c r="AD86" s="580" t="s">
        <v>440</v>
      </c>
      <c r="AE86" s="589"/>
      <c r="AF86" s="1266"/>
      <c r="AG86" s="1220"/>
      <c r="AH86" s="1220"/>
    </row>
    <row r="87" spans="25:34">
      <c r="Y87" s="1255" t="s">
        <v>173</v>
      </c>
      <c r="Z87" s="1212" t="s">
        <v>1244</v>
      </c>
      <c r="AA87" s="1213"/>
      <c r="AB87" s="1213"/>
      <c r="AC87" s="1213"/>
      <c r="AD87" s="1213"/>
      <c r="AE87" s="1214"/>
      <c r="AF87" s="1264">
        <v>325.08999999999997</v>
      </c>
      <c r="AG87" s="1220" t="s">
        <v>1327</v>
      </c>
      <c r="AH87" s="1220" t="s">
        <v>1328</v>
      </c>
    </row>
    <row r="88" spans="25:34">
      <c r="Y88" s="1263"/>
      <c r="Z88" s="579" t="s">
        <v>438</v>
      </c>
      <c r="AA88" s="580" t="s">
        <v>450</v>
      </c>
      <c r="AB88" s="580" t="s">
        <v>439</v>
      </c>
      <c r="AC88" s="580" t="s">
        <v>1231</v>
      </c>
      <c r="AD88" s="580" t="s">
        <v>440</v>
      </c>
      <c r="AE88" s="589"/>
      <c r="AF88" s="1265"/>
      <c r="AG88" s="1220"/>
      <c r="AH88" s="1220"/>
    </row>
    <row r="89" spans="25:34">
      <c r="Y89" s="1256"/>
      <c r="Z89" s="579" t="s">
        <v>438</v>
      </c>
      <c r="AA89" s="580" t="s">
        <v>444</v>
      </c>
      <c r="AB89" s="580" t="s">
        <v>439</v>
      </c>
      <c r="AC89" s="580" t="s">
        <v>1231</v>
      </c>
      <c r="AD89" s="580" t="s">
        <v>440</v>
      </c>
      <c r="AE89" s="589"/>
      <c r="AF89" s="1267"/>
      <c r="AG89" s="1220"/>
      <c r="AH89" s="1220"/>
    </row>
    <row r="90" spans="25:34">
      <c r="Y90" s="1255" t="s">
        <v>1316</v>
      </c>
      <c r="Z90" s="1212" t="s">
        <v>1245</v>
      </c>
      <c r="AA90" s="1213"/>
      <c r="AB90" s="1213"/>
      <c r="AC90" s="1213"/>
      <c r="AD90" s="1213"/>
      <c r="AE90" s="1214"/>
      <c r="AF90" s="1260">
        <v>187.36</v>
      </c>
      <c r="AG90" s="1220" t="s">
        <v>1327</v>
      </c>
      <c r="AH90" s="1220" t="s">
        <v>1328</v>
      </c>
    </row>
    <row r="91" spans="25:34">
      <c r="Y91" s="1256"/>
      <c r="Z91" s="560" t="s">
        <v>438</v>
      </c>
      <c r="AA91" s="561" t="s">
        <v>446</v>
      </c>
      <c r="AB91" s="561" t="s">
        <v>439</v>
      </c>
      <c r="AC91" s="590">
        <v>80</v>
      </c>
      <c r="AD91" s="561" t="s">
        <v>440</v>
      </c>
      <c r="AE91" s="588"/>
      <c r="AF91" s="1261"/>
      <c r="AG91" s="1220"/>
      <c r="AH91" s="1220"/>
    </row>
    <row r="92" spans="25:34">
      <c r="Y92" s="1255" t="s">
        <v>1317</v>
      </c>
      <c r="Z92" s="1212" t="s">
        <v>1246</v>
      </c>
      <c r="AA92" s="1213"/>
      <c r="AB92" s="1213"/>
      <c r="AC92" s="1213"/>
      <c r="AD92" s="1213"/>
      <c r="AE92" s="1214"/>
      <c r="AF92" s="1260">
        <v>84.75</v>
      </c>
      <c r="AG92" s="1220" t="s">
        <v>1327</v>
      </c>
      <c r="AH92" s="1220" t="s">
        <v>1328</v>
      </c>
    </row>
    <row r="93" spans="25:34">
      <c r="Y93" s="1256"/>
      <c r="Z93" s="560"/>
      <c r="AA93" s="561"/>
      <c r="AB93" s="561"/>
      <c r="AC93" s="561"/>
      <c r="AD93" s="561"/>
      <c r="AE93" s="588"/>
      <c r="AF93" s="1261"/>
      <c r="AG93" s="1220"/>
      <c r="AH93" s="1220"/>
    </row>
    <row r="94" spans="25:34">
      <c r="Y94" s="1255" t="s">
        <v>1318</v>
      </c>
      <c r="Z94" s="1212" t="s">
        <v>1247</v>
      </c>
      <c r="AA94" s="1213"/>
      <c r="AB94" s="1213"/>
      <c r="AC94" s="1213"/>
      <c r="AD94" s="1213"/>
      <c r="AE94" s="1214"/>
      <c r="AF94" s="1260">
        <v>304.58999999999997</v>
      </c>
      <c r="AG94" s="1220" t="s">
        <v>1327</v>
      </c>
      <c r="AH94" s="1220" t="s">
        <v>1328</v>
      </c>
    </row>
    <row r="95" spans="25:34">
      <c r="Y95" s="1256"/>
      <c r="Z95" s="560"/>
      <c r="AA95" s="561"/>
      <c r="AB95" s="561"/>
      <c r="AC95" s="561"/>
      <c r="AD95" s="561"/>
      <c r="AE95" s="588"/>
      <c r="AF95" s="1261"/>
      <c r="AG95" s="1220"/>
      <c r="AH95" s="1220"/>
    </row>
    <row r="96" spans="25:34">
      <c r="Y96" s="1255" t="s">
        <v>1319</v>
      </c>
      <c r="Z96" s="1212" t="s">
        <v>1248</v>
      </c>
      <c r="AA96" s="1213"/>
      <c r="AB96" s="1213"/>
      <c r="AC96" s="1213"/>
      <c r="AD96" s="1213"/>
      <c r="AE96" s="1214"/>
      <c r="AF96" s="1260">
        <v>147.12</v>
      </c>
      <c r="AG96" s="1220" t="s">
        <v>1327</v>
      </c>
      <c r="AH96" s="1220" t="s">
        <v>1328</v>
      </c>
    </row>
    <row r="97" spans="25:34">
      <c r="Y97" s="1256"/>
      <c r="Z97" s="560"/>
      <c r="AA97" s="561"/>
      <c r="AB97" s="561"/>
      <c r="AC97" s="561"/>
      <c r="AD97" s="561"/>
      <c r="AE97" s="588"/>
      <c r="AF97" s="1261"/>
      <c r="AG97" s="1220"/>
      <c r="AH97" s="1220"/>
    </row>
    <row r="98" spans="25:34">
      <c r="Y98" s="1255" t="s">
        <v>1320</v>
      </c>
      <c r="Z98" s="1212" t="s">
        <v>1249</v>
      </c>
      <c r="AA98" s="1213"/>
      <c r="AB98" s="1213"/>
      <c r="AC98" s="1213"/>
      <c r="AD98" s="1213"/>
      <c r="AE98" s="1214"/>
      <c r="AF98" s="1260">
        <v>4406.78</v>
      </c>
      <c r="AG98" s="1220" t="s">
        <v>1327</v>
      </c>
      <c r="AH98" s="1220" t="s">
        <v>1328</v>
      </c>
    </row>
    <row r="99" spans="25:34">
      <c r="Y99" s="1256"/>
      <c r="Z99" s="560" t="s">
        <v>438</v>
      </c>
      <c r="AA99" s="561" t="s">
        <v>1250</v>
      </c>
      <c r="AB99" s="561" t="s">
        <v>439</v>
      </c>
      <c r="AC99" s="561" t="s">
        <v>441</v>
      </c>
      <c r="AD99" s="561" t="s">
        <v>440</v>
      </c>
      <c r="AE99" s="588"/>
      <c r="AF99" s="1261"/>
      <c r="AG99" s="1220"/>
      <c r="AH99" s="1220"/>
    </row>
    <row r="100" spans="25:34">
      <c r="Y100" s="1255" t="s">
        <v>1321</v>
      </c>
      <c r="Z100" s="1257" t="s">
        <v>1251</v>
      </c>
      <c r="AA100" s="1258"/>
      <c r="AB100" s="1258"/>
      <c r="AC100" s="1258"/>
      <c r="AD100" s="1258"/>
      <c r="AE100" s="1259"/>
      <c r="AF100" s="1260">
        <f>4053.79-0.59</f>
        <v>4053.2</v>
      </c>
      <c r="AG100" s="1220" t="s">
        <v>1327</v>
      </c>
      <c r="AH100" s="1220" t="s">
        <v>1328</v>
      </c>
    </row>
    <row r="101" spans="25:34">
      <c r="Y101" s="1256"/>
      <c r="Z101" s="560" t="s">
        <v>438</v>
      </c>
      <c r="AA101" s="561" t="s">
        <v>1295</v>
      </c>
      <c r="AB101" s="561" t="s">
        <v>439</v>
      </c>
      <c r="AC101" s="561" t="s">
        <v>1294</v>
      </c>
      <c r="AD101" s="561" t="s">
        <v>440</v>
      </c>
      <c r="AE101" s="588"/>
      <c r="AF101" s="1262"/>
      <c r="AG101" s="1220"/>
      <c r="AH101" s="1220"/>
    </row>
    <row r="102" spans="25:34">
      <c r="Y102" s="1255" t="s">
        <v>1322</v>
      </c>
      <c r="Z102" s="1257" t="s">
        <v>1252</v>
      </c>
      <c r="AA102" s="1258"/>
      <c r="AB102" s="1258"/>
      <c r="AC102" s="1258"/>
      <c r="AD102" s="1258"/>
      <c r="AE102" s="1259"/>
      <c r="AF102" s="1260">
        <v>1885.26</v>
      </c>
      <c r="AG102" s="1220" t="s">
        <v>1327</v>
      </c>
      <c r="AH102" s="1220" t="s">
        <v>1328</v>
      </c>
    </row>
    <row r="103" spans="25:34">
      <c r="Y103" s="1256"/>
      <c r="Z103" s="560" t="s">
        <v>438</v>
      </c>
      <c r="AA103" s="561" t="s">
        <v>459</v>
      </c>
      <c r="AB103" s="561" t="s">
        <v>439</v>
      </c>
      <c r="AC103" s="561" t="s">
        <v>464</v>
      </c>
      <c r="AD103" s="561" t="s">
        <v>440</v>
      </c>
      <c r="AE103" s="588"/>
      <c r="AF103" s="1262"/>
      <c r="AG103" s="1220"/>
      <c r="AH103" s="1220"/>
    </row>
    <row r="104" spans="25:34">
      <c r="Y104" s="1255" t="s">
        <v>1323</v>
      </c>
      <c r="Z104" s="1257" t="s">
        <v>1253</v>
      </c>
      <c r="AA104" s="1258"/>
      <c r="AB104" s="1258"/>
      <c r="AC104" s="1258"/>
      <c r="AD104" s="1258"/>
      <c r="AE104" s="1259"/>
      <c r="AF104" s="1260">
        <v>3042.54</v>
      </c>
      <c r="AG104" s="1220" t="s">
        <v>1327</v>
      </c>
      <c r="AH104" s="1220" t="s">
        <v>1328</v>
      </c>
    </row>
    <row r="105" spans="25:34">
      <c r="Y105" s="1256"/>
      <c r="Z105" s="560" t="s">
        <v>438</v>
      </c>
      <c r="AA105" s="561" t="s">
        <v>441</v>
      </c>
      <c r="AB105" s="561" t="s">
        <v>439</v>
      </c>
      <c r="AC105" s="561" t="s">
        <v>1296</v>
      </c>
      <c r="AD105" s="561" t="s">
        <v>440</v>
      </c>
      <c r="AE105" s="588"/>
      <c r="AF105" s="1262"/>
      <c r="AG105" s="1220"/>
      <c r="AH105" s="1220"/>
    </row>
    <row r="106" spans="25:34">
      <c r="Y106" s="1255" t="s">
        <v>1324</v>
      </c>
      <c r="Z106" s="1257" t="s">
        <v>1254</v>
      </c>
      <c r="AA106" s="1258"/>
      <c r="AB106" s="1258"/>
      <c r="AC106" s="1258"/>
      <c r="AD106" s="1258"/>
      <c r="AE106" s="1259"/>
      <c r="AF106" s="1260">
        <v>469.02</v>
      </c>
      <c r="AG106" s="1220" t="s">
        <v>1327</v>
      </c>
      <c r="AH106" s="1220" t="s">
        <v>1328</v>
      </c>
    </row>
    <row r="107" spans="25:34">
      <c r="Y107" s="1256"/>
      <c r="Z107" s="560"/>
      <c r="AA107" s="561"/>
      <c r="AB107" s="561"/>
      <c r="AC107" s="561"/>
      <c r="AD107" s="561"/>
      <c r="AE107" s="588"/>
      <c r="AF107" s="1262"/>
      <c r="AG107" s="1220"/>
      <c r="AH107" s="1220"/>
    </row>
    <row r="108" spans="25:34">
      <c r="Y108" s="1255" t="s">
        <v>1325</v>
      </c>
      <c r="Z108" s="1257" t="s">
        <v>1255</v>
      </c>
      <c r="AA108" s="1258"/>
      <c r="AB108" s="1258"/>
      <c r="AC108" s="1258"/>
      <c r="AD108" s="1258"/>
      <c r="AE108" s="1259"/>
      <c r="AF108" s="1260">
        <v>103.98</v>
      </c>
      <c r="AG108" s="1220" t="s">
        <v>1327</v>
      </c>
      <c r="AH108" s="1220" t="s">
        <v>1328</v>
      </c>
    </row>
    <row r="109" spans="25:34">
      <c r="Y109" s="1256"/>
      <c r="Z109" s="560"/>
      <c r="AA109" s="561"/>
      <c r="AB109" s="561"/>
      <c r="AC109" s="561"/>
      <c r="AD109" s="561"/>
      <c r="AE109" s="588"/>
      <c r="AF109" s="1261"/>
      <c r="AG109" s="1220"/>
      <c r="AH109" s="1220"/>
    </row>
    <row r="110" spans="25:34">
      <c r="Y110" s="1255" t="s">
        <v>1326</v>
      </c>
      <c r="Z110" s="1257" t="s">
        <v>1256</v>
      </c>
      <c r="AA110" s="1258"/>
      <c r="AB110" s="1258"/>
      <c r="AC110" s="1258"/>
      <c r="AD110" s="1258"/>
      <c r="AE110" s="1259"/>
      <c r="AF110" s="1260">
        <v>361.71</v>
      </c>
      <c r="AG110" s="1220" t="s">
        <v>1327</v>
      </c>
      <c r="AH110" s="1220" t="s">
        <v>1328</v>
      </c>
    </row>
    <row r="111" spans="25:34">
      <c r="Y111" s="1256"/>
      <c r="Z111" s="560"/>
      <c r="AA111" s="561"/>
      <c r="AB111" s="561"/>
      <c r="AC111" s="561"/>
      <c r="AD111" s="561"/>
      <c r="AE111" s="588"/>
      <c r="AF111" s="1261"/>
      <c r="AG111" s="1220"/>
      <c r="AH111" s="1220"/>
    </row>
    <row r="112" spans="25:34" ht="15.75">
      <c r="Y112" s="1221" t="s">
        <v>1257</v>
      </c>
      <c r="Z112" s="1222"/>
      <c r="AA112" s="1222"/>
      <c r="AB112" s="1222"/>
      <c r="AC112" s="1222"/>
      <c r="AD112" s="1222"/>
      <c r="AE112" s="1223"/>
      <c r="AF112" s="370">
        <f>SUM(AF113:AF128)</f>
        <v>3277.7000000000003</v>
      </c>
      <c r="AG112" s="559"/>
      <c r="AH112" s="559"/>
    </row>
    <row r="113" spans="25:34" s="198" customFormat="1">
      <c r="Y113" s="1210" t="s">
        <v>176</v>
      </c>
      <c r="Z113" s="1243" t="s">
        <v>44</v>
      </c>
      <c r="AA113" s="1244"/>
      <c r="AB113" s="1244"/>
      <c r="AC113" s="1244"/>
      <c r="AD113" s="1244"/>
      <c r="AE113" s="1245"/>
      <c r="AF113" s="1229">
        <v>126.79</v>
      </c>
      <c r="AG113" s="1220" t="s">
        <v>1327</v>
      </c>
      <c r="AH113" s="1220" t="s">
        <v>1328</v>
      </c>
    </row>
    <row r="114" spans="25:34" s="198" customFormat="1">
      <c r="Y114" s="1211"/>
      <c r="Z114" s="1251"/>
      <c r="AA114" s="1252"/>
      <c r="AB114" s="1252"/>
      <c r="AC114" s="1252"/>
      <c r="AD114" s="1252"/>
      <c r="AE114" s="1253"/>
      <c r="AF114" s="1254"/>
      <c r="AG114" s="1220"/>
      <c r="AH114" s="1220"/>
    </row>
    <row r="115" spans="25:34" s="198" customFormat="1">
      <c r="Y115" s="1210" t="s">
        <v>177</v>
      </c>
      <c r="Z115" s="1243" t="s">
        <v>45</v>
      </c>
      <c r="AA115" s="1244"/>
      <c r="AB115" s="1244"/>
      <c r="AC115" s="1244"/>
      <c r="AD115" s="1244"/>
      <c r="AE115" s="1245"/>
      <c r="AF115" s="1229">
        <v>106.77</v>
      </c>
      <c r="AG115" s="1220" t="s">
        <v>1327</v>
      </c>
      <c r="AH115" s="1220" t="s">
        <v>1328</v>
      </c>
    </row>
    <row r="116" spans="25:34" s="198" customFormat="1">
      <c r="Y116" s="1211"/>
      <c r="Z116" s="1251"/>
      <c r="AA116" s="1252"/>
      <c r="AB116" s="1252"/>
      <c r="AC116" s="1252"/>
      <c r="AD116" s="1252"/>
      <c r="AE116" s="1253"/>
      <c r="AF116" s="1254"/>
      <c r="AG116" s="1220"/>
      <c r="AH116" s="1220"/>
    </row>
    <row r="117" spans="25:34" s="198" customFormat="1">
      <c r="Y117" s="1210" t="s">
        <v>178</v>
      </c>
      <c r="Z117" s="1243" t="s">
        <v>46</v>
      </c>
      <c r="AA117" s="1244"/>
      <c r="AB117" s="1244"/>
      <c r="AC117" s="1244"/>
      <c r="AD117" s="1244"/>
      <c r="AE117" s="1245"/>
      <c r="AF117" s="1229">
        <v>63.42</v>
      </c>
      <c r="AG117" s="1220" t="s">
        <v>1327</v>
      </c>
      <c r="AH117" s="1220" t="s">
        <v>1328</v>
      </c>
    </row>
    <row r="118" spans="25:34" s="198" customFormat="1">
      <c r="Y118" s="1211"/>
      <c r="Z118" s="1251"/>
      <c r="AA118" s="1252"/>
      <c r="AB118" s="1252"/>
      <c r="AC118" s="1252"/>
      <c r="AD118" s="1252"/>
      <c r="AE118" s="1253"/>
      <c r="AF118" s="1254"/>
      <c r="AG118" s="1220"/>
      <c r="AH118" s="1220"/>
    </row>
    <row r="119" spans="25:34" s="198" customFormat="1">
      <c r="Y119" s="1210" t="s">
        <v>179</v>
      </c>
      <c r="Z119" s="1243" t="s">
        <v>47</v>
      </c>
      <c r="AA119" s="1244"/>
      <c r="AB119" s="1244"/>
      <c r="AC119" s="1244"/>
      <c r="AD119" s="1244"/>
      <c r="AE119" s="1245"/>
      <c r="AF119" s="1229">
        <v>950.19</v>
      </c>
      <c r="AG119" s="1220" t="s">
        <v>1327</v>
      </c>
      <c r="AH119" s="1220" t="s">
        <v>1328</v>
      </c>
    </row>
    <row r="120" spans="25:34" s="198" customFormat="1">
      <c r="Y120" s="1211"/>
      <c r="Z120" s="1251"/>
      <c r="AA120" s="1252"/>
      <c r="AB120" s="1252"/>
      <c r="AC120" s="1252"/>
      <c r="AD120" s="1252"/>
      <c r="AE120" s="1253"/>
      <c r="AF120" s="1254"/>
      <c r="AG120" s="1220"/>
      <c r="AH120" s="1220"/>
    </row>
    <row r="121" spans="25:34" s="198" customFormat="1">
      <c r="Y121" s="1210" t="s">
        <v>180</v>
      </c>
      <c r="Z121" s="1243" t="s">
        <v>48</v>
      </c>
      <c r="AA121" s="1244"/>
      <c r="AB121" s="1244"/>
      <c r="AC121" s="1244"/>
      <c r="AD121" s="1244"/>
      <c r="AE121" s="1245"/>
      <c r="AF121" s="1229">
        <v>123.64</v>
      </c>
      <c r="AG121" s="1220" t="s">
        <v>1327</v>
      </c>
      <c r="AH121" s="1220" t="s">
        <v>1328</v>
      </c>
    </row>
    <row r="122" spans="25:34" s="198" customFormat="1">
      <c r="Y122" s="1211"/>
      <c r="Z122" s="1251"/>
      <c r="AA122" s="1252"/>
      <c r="AB122" s="1252"/>
      <c r="AC122" s="1252"/>
      <c r="AD122" s="1252"/>
      <c r="AE122" s="1253"/>
      <c r="AF122" s="1254"/>
      <c r="AG122" s="1220"/>
      <c r="AH122" s="1220"/>
    </row>
    <row r="123" spans="25:34" s="198" customFormat="1">
      <c r="Y123" s="1210" t="s">
        <v>181</v>
      </c>
      <c r="Z123" s="1243" t="s">
        <v>49</v>
      </c>
      <c r="AA123" s="1244"/>
      <c r="AB123" s="1244"/>
      <c r="AC123" s="1244"/>
      <c r="AD123" s="1244"/>
      <c r="AE123" s="1245"/>
      <c r="AF123" s="1229">
        <v>419.78</v>
      </c>
      <c r="AG123" s="1220" t="s">
        <v>1327</v>
      </c>
      <c r="AH123" s="1220" t="s">
        <v>1328</v>
      </c>
    </row>
    <row r="124" spans="25:34" s="198" customFormat="1">
      <c r="Y124" s="1211"/>
      <c r="Z124" s="1251"/>
      <c r="AA124" s="1252"/>
      <c r="AB124" s="1252"/>
      <c r="AC124" s="1252"/>
      <c r="AD124" s="1252"/>
      <c r="AE124" s="1253"/>
      <c r="AF124" s="1254"/>
      <c r="AG124" s="1220"/>
      <c r="AH124" s="1220"/>
    </row>
    <row r="125" spans="25:34" s="198" customFormat="1">
      <c r="Y125" s="1210" t="s">
        <v>182</v>
      </c>
      <c r="Z125" s="1243" t="s">
        <v>50</v>
      </c>
      <c r="AA125" s="1244"/>
      <c r="AB125" s="1244"/>
      <c r="AC125" s="1244"/>
      <c r="AD125" s="1244"/>
      <c r="AE125" s="1245"/>
      <c r="AF125" s="1229">
        <v>1015.09</v>
      </c>
      <c r="AG125" s="1220" t="s">
        <v>1327</v>
      </c>
      <c r="AH125" s="1220" t="s">
        <v>1328</v>
      </c>
    </row>
    <row r="126" spans="25:34" s="198" customFormat="1">
      <c r="Y126" s="1211"/>
      <c r="Z126" s="1251"/>
      <c r="AA126" s="1252"/>
      <c r="AB126" s="1252"/>
      <c r="AC126" s="1252"/>
      <c r="AD126" s="1252"/>
      <c r="AE126" s="1253"/>
      <c r="AF126" s="1254"/>
      <c r="AG126" s="1220"/>
      <c r="AH126" s="1220"/>
    </row>
    <row r="127" spans="25:34" s="198" customFormat="1">
      <c r="Y127" s="1210" t="s">
        <v>183</v>
      </c>
      <c r="Z127" s="1243" t="s">
        <v>1258</v>
      </c>
      <c r="AA127" s="1244"/>
      <c r="AB127" s="1244"/>
      <c r="AC127" s="1244"/>
      <c r="AD127" s="1244"/>
      <c r="AE127" s="1245"/>
      <c r="AF127" s="1229">
        <v>472.02</v>
      </c>
      <c r="AG127" s="1220" t="s">
        <v>1327</v>
      </c>
      <c r="AH127" s="1220" t="s">
        <v>1328</v>
      </c>
    </row>
    <row r="128" spans="25:34" s="198" customFormat="1">
      <c r="Y128" s="1211"/>
      <c r="Z128" s="1251"/>
      <c r="AA128" s="1252"/>
      <c r="AB128" s="1252"/>
      <c r="AC128" s="1252"/>
      <c r="AD128" s="1252"/>
      <c r="AE128" s="1253"/>
      <c r="AF128" s="1254"/>
      <c r="AG128" s="1220"/>
      <c r="AH128" s="1220"/>
    </row>
    <row r="129" spans="25:34" ht="15.75">
      <c r="Y129" s="1231" t="s">
        <v>51</v>
      </c>
      <c r="Z129" s="1232"/>
      <c r="AA129" s="1232"/>
      <c r="AB129" s="1232"/>
      <c r="AC129" s="1232"/>
      <c r="AD129" s="1232"/>
      <c r="AE129" s="1233"/>
      <c r="AF129" s="370">
        <f>SUM(AF130:AF187)</f>
        <v>14109.079999999996</v>
      </c>
      <c r="AG129" s="559"/>
      <c r="AH129" s="559"/>
    </row>
    <row r="130" spans="25:34" s="198" customFormat="1">
      <c r="Y130" s="1210" t="s">
        <v>185</v>
      </c>
      <c r="Z130" s="1243" t="s">
        <v>1259</v>
      </c>
      <c r="AA130" s="1244"/>
      <c r="AB130" s="1244"/>
      <c r="AC130" s="1244"/>
      <c r="AD130" s="1244"/>
      <c r="AE130" s="1245"/>
      <c r="AF130" s="1218">
        <v>785.5</v>
      </c>
      <c r="AG130" s="1220" t="s">
        <v>1327</v>
      </c>
      <c r="AH130" s="1220" t="s">
        <v>1328</v>
      </c>
    </row>
    <row r="131" spans="25:34" s="198" customFormat="1">
      <c r="Y131" s="1211"/>
      <c r="Z131" s="1251"/>
      <c r="AA131" s="1252"/>
      <c r="AB131" s="1252"/>
      <c r="AC131" s="1252"/>
      <c r="AD131" s="1252"/>
      <c r="AE131" s="1253"/>
      <c r="AF131" s="1219"/>
      <c r="AG131" s="1220"/>
      <c r="AH131" s="1220"/>
    </row>
    <row r="132" spans="25:34" s="198" customFormat="1">
      <c r="Y132" s="1210" t="s">
        <v>186</v>
      </c>
      <c r="Z132" s="1243" t="s">
        <v>52</v>
      </c>
      <c r="AA132" s="1244"/>
      <c r="AB132" s="1244"/>
      <c r="AC132" s="1244"/>
      <c r="AD132" s="1244"/>
      <c r="AE132" s="1245"/>
      <c r="AF132" s="1218">
        <v>593.25</v>
      </c>
      <c r="AG132" s="1220" t="s">
        <v>1327</v>
      </c>
      <c r="AH132" s="1220" t="s">
        <v>1328</v>
      </c>
    </row>
    <row r="133" spans="25:34" s="198" customFormat="1">
      <c r="Y133" s="1211"/>
      <c r="Z133" s="1251"/>
      <c r="AA133" s="1252"/>
      <c r="AB133" s="1252"/>
      <c r="AC133" s="1252"/>
      <c r="AD133" s="1252"/>
      <c r="AE133" s="1253"/>
      <c r="AF133" s="1219"/>
      <c r="AG133" s="1220"/>
      <c r="AH133" s="1220"/>
    </row>
    <row r="134" spans="25:34" s="198" customFormat="1">
      <c r="Y134" s="1210" t="s">
        <v>187</v>
      </c>
      <c r="Z134" s="1243" t="s">
        <v>53</v>
      </c>
      <c r="AA134" s="1244"/>
      <c r="AB134" s="1244"/>
      <c r="AC134" s="1244"/>
      <c r="AD134" s="1244"/>
      <c r="AE134" s="1245"/>
      <c r="AF134" s="1229">
        <v>799.12</v>
      </c>
      <c r="AG134" s="1220" t="s">
        <v>1327</v>
      </c>
      <c r="AH134" s="1220" t="s">
        <v>1328</v>
      </c>
    </row>
    <row r="135" spans="25:34" s="198" customFormat="1">
      <c r="Y135" s="1211"/>
      <c r="Z135" s="1251"/>
      <c r="AA135" s="1252"/>
      <c r="AB135" s="1252"/>
      <c r="AC135" s="1252"/>
      <c r="AD135" s="1252"/>
      <c r="AE135" s="1253"/>
      <c r="AF135" s="1230"/>
      <c r="AG135" s="1220"/>
      <c r="AH135" s="1220"/>
    </row>
    <row r="136" spans="25:34" s="198" customFormat="1">
      <c r="Y136" s="1210" t="s">
        <v>188</v>
      </c>
      <c r="Z136" s="1243" t="s">
        <v>54</v>
      </c>
      <c r="AA136" s="1244"/>
      <c r="AB136" s="1244"/>
      <c r="AC136" s="1244"/>
      <c r="AD136" s="1244"/>
      <c r="AE136" s="1245"/>
      <c r="AF136" s="1229">
        <v>815.25</v>
      </c>
      <c r="AG136" s="1220" t="s">
        <v>1327</v>
      </c>
      <c r="AH136" s="1220" t="s">
        <v>1328</v>
      </c>
    </row>
    <row r="137" spans="25:34" s="198" customFormat="1">
      <c r="Y137" s="1211"/>
      <c r="Z137" s="1251"/>
      <c r="AA137" s="1252"/>
      <c r="AB137" s="1252"/>
      <c r="AC137" s="1252"/>
      <c r="AD137" s="1252"/>
      <c r="AE137" s="1253"/>
      <c r="AF137" s="1230"/>
      <c r="AG137" s="1220"/>
      <c r="AH137" s="1220"/>
    </row>
    <row r="138" spans="25:34" s="198" customFormat="1">
      <c r="Y138" s="1210" t="s">
        <v>189</v>
      </c>
      <c r="Z138" s="1243" t="s">
        <v>55</v>
      </c>
      <c r="AA138" s="1244"/>
      <c r="AB138" s="1244"/>
      <c r="AC138" s="1244"/>
      <c r="AD138" s="1244"/>
      <c r="AE138" s="1245"/>
      <c r="AF138" s="1229">
        <v>307.54000000000002</v>
      </c>
      <c r="AG138" s="1220" t="s">
        <v>1327</v>
      </c>
      <c r="AH138" s="1220" t="s">
        <v>1328</v>
      </c>
    </row>
    <row r="139" spans="25:34" s="198" customFormat="1">
      <c r="Y139" s="1211"/>
      <c r="Z139" s="1251"/>
      <c r="AA139" s="1252"/>
      <c r="AB139" s="1252"/>
      <c r="AC139" s="1252"/>
      <c r="AD139" s="1252"/>
      <c r="AE139" s="1253"/>
      <c r="AF139" s="1230"/>
      <c r="AG139" s="1220"/>
      <c r="AH139" s="1220"/>
    </row>
    <row r="140" spans="25:34" s="198" customFormat="1">
      <c r="Y140" s="1210" t="s">
        <v>190</v>
      </c>
      <c r="Z140" s="1243" t="s">
        <v>56</v>
      </c>
      <c r="AA140" s="1244"/>
      <c r="AB140" s="1244"/>
      <c r="AC140" s="1244"/>
      <c r="AD140" s="1244"/>
      <c r="AE140" s="1245"/>
      <c r="AF140" s="1229">
        <v>500.27</v>
      </c>
      <c r="AG140" s="1220" t="s">
        <v>1327</v>
      </c>
      <c r="AH140" s="1220" t="s">
        <v>1328</v>
      </c>
    </row>
    <row r="141" spans="25:34" s="198" customFormat="1">
      <c r="Y141" s="1211"/>
      <c r="Z141" s="1251"/>
      <c r="AA141" s="1252"/>
      <c r="AB141" s="1252"/>
      <c r="AC141" s="1252"/>
      <c r="AD141" s="1252"/>
      <c r="AE141" s="1253"/>
      <c r="AF141" s="1230"/>
      <c r="AG141" s="1220"/>
      <c r="AH141" s="1220"/>
    </row>
    <row r="142" spans="25:34" s="198" customFormat="1">
      <c r="Y142" s="1210" t="s">
        <v>191</v>
      </c>
      <c r="Z142" s="1243" t="s">
        <v>57</v>
      </c>
      <c r="AA142" s="1244"/>
      <c r="AB142" s="1244"/>
      <c r="AC142" s="1244"/>
      <c r="AD142" s="1244"/>
      <c r="AE142" s="1245"/>
      <c r="AF142" s="1229">
        <v>576.74</v>
      </c>
      <c r="AG142" s="1220" t="s">
        <v>1327</v>
      </c>
      <c r="AH142" s="1220" t="s">
        <v>1328</v>
      </c>
    </row>
    <row r="143" spans="25:34" s="198" customFormat="1">
      <c r="Y143" s="1211"/>
      <c r="Z143" s="1251"/>
      <c r="AA143" s="1252"/>
      <c r="AB143" s="1252"/>
      <c r="AC143" s="1252"/>
      <c r="AD143" s="1252"/>
      <c r="AE143" s="1253"/>
      <c r="AF143" s="1230"/>
      <c r="AG143" s="1220"/>
      <c r="AH143" s="1220"/>
    </row>
    <row r="144" spans="25:34" s="198" customFormat="1">
      <c r="Y144" s="1210" t="s">
        <v>192</v>
      </c>
      <c r="Z144" s="1243" t="s">
        <v>58</v>
      </c>
      <c r="AA144" s="1244"/>
      <c r="AB144" s="1244"/>
      <c r="AC144" s="1244"/>
      <c r="AD144" s="1244"/>
      <c r="AE144" s="1245"/>
      <c r="AF144" s="1229">
        <v>198.95</v>
      </c>
      <c r="AG144" s="1220" t="s">
        <v>1327</v>
      </c>
      <c r="AH144" s="1220" t="s">
        <v>1328</v>
      </c>
    </row>
    <row r="145" spans="25:34" s="198" customFormat="1">
      <c r="Y145" s="1211"/>
      <c r="Z145" s="1251"/>
      <c r="AA145" s="1252"/>
      <c r="AB145" s="1252"/>
      <c r="AC145" s="1252"/>
      <c r="AD145" s="1252"/>
      <c r="AE145" s="1253"/>
      <c r="AF145" s="1230"/>
      <c r="AG145" s="1220"/>
      <c r="AH145" s="1220"/>
    </row>
    <row r="146" spans="25:34" s="198" customFormat="1">
      <c r="Y146" s="1210" t="s">
        <v>193</v>
      </c>
      <c r="Z146" s="1243" t="s">
        <v>1260</v>
      </c>
      <c r="AA146" s="1244"/>
      <c r="AB146" s="1244"/>
      <c r="AC146" s="1244"/>
      <c r="AD146" s="1244"/>
      <c r="AE146" s="1245"/>
      <c r="AF146" s="1229">
        <v>829.82</v>
      </c>
      <c r="AG146" s="1220" t="s">
        <v>1327</v>
      </c>
      <c r="AH146" s="1220" t="s">
        <v>1328</v>
      </c>
    </row>
    <row r="147" spans="25:34" s="198" customFormat="1">
      <c r="Y147" s="1211"/>
      <c r="Z147" s="1251"/>
      <c r="AA147" s="1252"/>
      <c r="AB147" s="1252"/>
      <c r="AC147" s="1252"/>
      <c r="AD147" s="1252"/>
      <c r="AE147" s="1253"/>
      <c r="AF147" s="1230"/>
      <c r="AG147" s="1220"/>
      <c r="AH147" s="1220"/>
    </row>
    <row r="148" spans="25:34" s="198" customFormat="1">
      <c r="Y148" s="1210" t="s">
        <v>194</v>
      </c>
      <c r="Z148" s="1243" t="s">
        <v>59</v>
      </c>
      <c r="AA148" s="1244"/>
      <c r="AB148" s="1244"/>
      <c r="AC148" s="1244"/>
      <c r="AD148" s="1244"/>
      <c r="AE148" s="1245"/>
      <c r="AF148" s="1218">
        <v>1752.29</v>
      </c>
      <c r="AG148" s="1220" t="s">
        <v>1327</v>
      </c>
      <c r="AH148" s="1220" t="s">
        <v>1328</v>
      </c>
    </row>
    <row r="149" spans="25:34" s="198" customFormat="1">
      <c r="Y149" s="1211"/>
      <c r="Z149" s="1251"/>
      <c r="AA149" s="1252"/>
      <c r="AB149" s="1252"/>
      <c r="AC149" s="1252"/>
      <c r="AD149" s="1252"/>
      <c r="AE149" s="1253"/>
      <c r="AF149" s="1219"/>
      <c r="AG149" s="1220"/>
      <c r="AH149" s="1220"/>
    </row>
    <row r="150" spans="25:34" s="198" customFormat="1">
      <c r="Y150" s="1210" t="s">
        <v>195</v>
      </c>
      <c r="Z150" s="1243" t="s">
        <v>60</v>
      </c>
      <c r="AA150" s="1244"/>
      <c r="AB150" s="1244"/>
      <c r="AC150" s="1244"/>
      <c r="AD150" s="1244"/>
      <c r="AE150" s="1245"/>
      <c r="AF150" s="1218">
        <v>1779.66</v>
      </c>
      <c r="AG150" s="1220" t="s">
        <v>1327</v>
      </c>
      <c r="AH150" s="1220" t="s">
        <v>1328</v>
      </c>
    </row>
    <row r="151" spans="25:34" s="198" customFormat="1">
      <c r="Y151" s="1211"/>
      <c r="Z151" s="1251"/>
      <c r="AA151" s="1252"/>
      <c r="AB151" s="1252"/>
      <c r="AC151" s="1252"/>
      <c r="AD151" s="1252"/>
      <c r="AE151" s="1253"/>
      <c r="AF151" s="1219"/>
      <c r="AG151" s="1220"/>
      <c r="AH151" s="1220"/>
    </row>
    <row r="152" spans="25:34" s="198" customFormat="1">
      <c r="Y152" s="1210" t="s">
        <v>196</v>
      </c>
      <c r="Z152" s="1243" t="s">
        <v>1261</v>
      </c>
      <c r="AA152" s="1244"/>
      <c r="AB152" s="1244"/>
      <c r="AC152" s="1244"/>
      <c r="AD152" s="1244"/>
      <c r="AE152" s="1245"/>
      <c r="AF152" s="1218">
        <v>464.65</v>
      </c>
      <c r="AG152" s="1220" t="s">
        <v>1327</v>
      </c>
      <c r="AH152" s="1220" t="s">
        <v>1328</v>
      </c>
    </row>
    <row r="153" spans="25:34" s="198" customFormat="1">
      <c r="Y153" s="1211"/>
      <c r="Z153" s="1251"/>
      <c r="AA153" s="1252"/>
      <c r="AB153" s="1252"/>
      <c r="AC153" s="1252"/>
      <c r="AD153" s="1252"/>
      <c r="AE153" s="1253"/>
      <c r="AF153" s="1219"/>
      <c r="AG153" s="1220"/>
      <c r="AH153" s="1220"/>
    </row>
    <row r="154" spans="25:34" s="198" customFormat="1">
      <c r="Y154" s="1210" t="s">
        <v>197</v>
      </c>
      <c r="Z154" s="1243" t="s">
        <v>1262</v>
      </c>
      <c r="AA154" s="1244"/>
      <c r="AB154" s="1244"/>
      <c r="AC154" s="1244"/>
      <c r="AD154" s="1244"/>
      <c r="AE154" s="1245"/>
      <c r="AF154" s="1218">
        <v>97.46</v>
      </c>
      <c r="AG154" s="1220" t="s">
        <v>1327</v>
      </c>
      <c r="AH154" s="1220" t="s">
        <v>1328</v>
      </c>
    </row>
    <row r="155" spans="25:34" s="198" customFormat="1">
      <c r="Y155" s="1211"/>
      <c r="Z155" s="1251"/>
      <c r="AA155" s="1252"/>
      <c r="AB155" s="1252"/>
      <c r="AC155" s="1252"/>
      <c r="AD155" s="1252"/>
      <c r="AE155" s="1253"/>
      <c r="AF155" s="1219"/>
      <c r="AG155" s="1220"/>
      <c r="AH155" s="1220"/>
    </row>
    <row r="156" spans="25:34" s="198" customFormat="1">
      <c r="Y156" s="1210" t="s">
        <v>1300</v>
      </c>
      <c r="Z156" s="1243" t="s">
        <v>1263</v>
      </c>
      <c r="AA156" s="1244"/>
      <c r="AB156" s="1244"/>
      <c r="AC156" s="1244"/>
      <c r="AD156" s="1244"/>
      <c r="AE156" s="1245"/>
      <c r="AF156" s="1218">
        <v>252.76</v>
      </c>
      <c r="AG156" s="1220" t="s">
        <v>1327</v>
      </c>
      <c r="AH156" s="1220" t="s">
        <v>1328</v>
      </c>
    </row>
    <row r="157" spans="25:34" s="198" customFormat="1">
      <c r="Y157" s="1211"/>
      <c r="Z157" s="1251"/>
      <c r="AA157" s="1252"/>
      <c r="AB157" s="1252"/>
      <c r="AC157" s="1252"/>
      <c r="AD157" s="1252"/>
      <c r="AE157" s="1253"/>
      <c r="AF157" s="1219"/>
      <c r="AG157" s="1220"/>
      <c r="AH157" s="1220"/>
    </row>
    <row r="158" spans="25:34" s="198" customFormat="1">
      <c r="Y158" s="1210" t="s">
        <v>1301</v>
      </c>
      <c r="Z158" s="1243" t="s">
        <v>1264</v>
      </c>
      <c r="AA158" s="1244"/>
      <c r="AB158" s="1244"/>
      <c r="AC158" s="1244"/>
      <c r="AD158" s="1244"/>
      <c r="AE158" s="1245"/>
      <c r="AF158" s="1218">
        <v>230.56</v>
      </c>
      <c r="AG158" s="1220" t="s">
        <v>1327</v>
      </c>
      <c r="AH158" s="1220" t="s">
        <v>1328</v>
      </c>
    </row>
    <row r="159" spans="25:34" s="198" customFormat="1">
      <c r="Y159" s="1211"/>
      <c r="Z159" s="1251"/>
      <c r="AA159" s="1252"/>
      <c r="AB159" s="1252"/>
      <c r="AC159" s="1252"/>
      <c r="AD159" s="1252"/>
      <c r="AE159" s="1253"/>
      <c r="AF159" s="1219"/>
      <c r="AG159" s="1220"/>
      <c r="AH159" s="1220"/>
    </row>
    <row r="160" spans="25:34" s="198" customFormat="1">
      <c r="Y160" s="1210" t="s">
        <v>1302</v>
      </c>
      <c r="Z160" s="1243" t="s">
        <v>1265</v>
      </c>
      <c r="AA160" s="1244"/>
      <c r="AB160" s="1244"/>
      <c r="AC160" s="1244"/>
      <c r="AD160" s="1244"/>
      <c r="AE160" s="1245"/>
      <c r="AF160" s="1229">
        <v>402.23</v>
      </c>
      <c r="AG160" s="1220" t="s">
        <v>1327</v>
      </c>
      <c r="AH160" s="1220" t="s">
        <v>1328</v>
      </c>
    </row>
    <row r="161" spans="25:34" s="198" customFormat="1">
      <c r="Y161" s="1211"/>
      <c r="Z161" s="1251"/>
      <c r="AA161" s="1252"/>
      <c r="AB161" s="1252"/>
      <c r="AC161" s="1252"/>
      <c r="AD161" s="1252"/>
      <c r="AE161" s="1253"/>
      <c r="AF161" s="1230"/>
      <c r="AG161" s="1220"/>
      <c r="AH161" s="1220"/>
    </row>
    <row r="162" spans="25:34" s="198" customFormat="1">
      <c r="Y162" s="1210" t="s">
        <v>1303</v>
      </c>
      <c r="Z162" s="1243" t="s">
        <v>1266</v>
      </c>
      <c r="AA162" s="1244"/>
      <c r="AB162" s="1244"/>
      <c r="AC162" s="1244"/>
      <c r="AD162" s="1244"/>
      <c r="AE162" s="1245"/>
      <c r="AF162" s="1229">
        <v>226.58</v>
      </c>
      <c r="AG162" s="1220" t="s">
        <v>1327</v>
      </c>
      <c r="AH162" s="1220" t="s">
        <v>1328</v>
      </c>
    </row>
    <row r="163" spans="25:34" s="198" customFormat="1">
      <c r="Y163" s="1211"/>
      <c r="Z163" s="1251"/>
      <c r="AA163" s="1252"/>
      <c r="AB163" s="1252"/>
      <c r="AC163" s="1252"/>
      <c r="AD163" s="1252"/>
      <c r="AE163" s="1253"/>
      <c r="AF163" s="1230"/>
      <c r="AG163" s="1220"/>
      <c r="AH163" s="1220"/>
    </row>
    <row r="164" spans="25:34" s="198" customFormat="1">
      <c r="Y164" s="1210" t="s">
        <v>1304</v>
      </c>
      <c r="Z164" s="1243" t="s">
        <v>1267</v>
      </c>
      <c r="AA164" s="1244"/>
      <c r="AB164" s="1244"/>
      <c r="AC164" s="1244"/>
      <c r="AD164" s="1244"/>
      <c r="AE164" s="1245"/>
      <c r="AF164" s="1229">
        <f>270.66-0.01</f>
        <v>270.65000000000003</v>
      </c>
      <c r="AG164" s="1220" t="s">
        <v>1327</v>
      </c>
      <c r="AH164" s="1220" t="s">
        <v>1328</v>
      </c>
    </row>
    <row r="165" spans="25:34" s="198" customFormat="1">
      <c r="Y165" s="1211"/>
      <c r="Z165" s="1246"/>
      <c r="AA165" s="1247"/>
      <c r="AB165" s="1247"/>
      <c r="AC165" s="1247"/>
      <c r="AD165" s="1247"/>
      <c r="AE165" s="1248"/>
      <c r="AF165" s="1230"/>
      <c r="AG165" s="1220"/>
      <c r="AH165" s="1220"/>
    </row>
    <row r="166" spans="25:34" s="198" customFormat="1">
      <c r="Y166" s="1210" t="s">
        <v>1305</v>
      </c>
      <c r="Z166" s="1243" t="s">
        <v>1268</v>
      </c>
      <c r="AA166" s="1244"/>
      <c r="AB166" s="1244"/>
      <c r="AC166" s="1244"/>
      <c r="AD166" s="1244"/>
      <c r="AE166" s="1245"/>
      <c r="AF166" s="1229">
        <v>169.49</v>
      </c>
      <c r="AG166" s="1220" t="s">
        <v>1327</v>
      </c>
      <c r="AH166" s="1220" t="s">
        <v>1328</v>
      </c>
    </row>
    <row r="167" spans="25:34" s="198" customFormat="1">
      <c r="Y167" s="1211"/>
      <c r="Z167" s="1246"/>
      <c r="AA167" s="1247"/>
      <c r="AB167" s="1247"/>
      <c r="AC167" s="1247"/>
      <c r="AD167" s="1247"/>
      <c r="AE167" s="1248"/>
      <c r="AF167" s="1230"/>
      <c r="AG167" s="1220"/>
      <c r="AH167" s="1220"/>
    </row>
    <row r="168" spans="25:34" s="198" customFormat="1">
      <c r="Y168" s="1210" t="s">
        <v>1306</v>
      </c>
      <c r="Z168" s="1243" t="s">
        <v>1269</v>
      </c>
      <c r="AA168" s="1244"/>
      <c r="AB168" s="1244"/>
      <c r="AC168" s="1244"/>
      <c r="AD168" s="1244"/>
      <c r="AE168" s="1245"/>
      <c r="AF168" s="1249">
        <v>265.58</v>
      </c>
      <c r="AG168" s="1220" t="s">
        <v>1327</v>
      </c>
      <c r="AH168" s="1220" t="s">
        <v>1328</v>
      </c>
    </row>
    <row r="169" spans="25:34" s="198" customFormat="1">
      <c r="Y169" s="1211"/>
      <c r="Z169" s="1246"/>
      <c r="AA169" s="1247"/>
      <c r="AB169" s="1247"/>
      <c r="AC169" s="1247"/>
      <c r="AD169" s="1247"/>
      <c r="AE169" s="1248"/>
      <c r="AF169" s="1250"/>
      <c r="AG169" s="1220"/>
      <c r="AH169" s="1220"/>
    </row>
    <row r="170" spans="25:34" s="198" customFormat="1">
      <c r="Y170" s="1210" t="s">
        <v>1307</v>
      </c>
      <c r="Z170" s="1243" t="s">
        <v>1270</v>
      </c>
      <c r="AA170" s="1244"/>
      <c r="AB170" s="1244"/>
      <c r="AC170" s="1244"/>
      <c r="AD170" s="1244"/>
      <c r="AE170" s="1245"/>
      <c r="AF170" s="1229">
        <v>448.6</v>
      </c>
      <c r="AG170" s="1220" t="s">
        <v>1327</v>
      </c>
      <c r="AH170" s="1220" t="s">
        <v>1328</v>
      </c>
    </row>
    <row r="171" spans="25:34" s="198" customFormat="1">
      <c r="Y171" s="1211"/>
      <c r="Z171" s="1246"/>
      <c r="AA171" s="1247"/>
      <c r="AB171" s="1247"/>
      <c r="AC171" s="1247"/>
      <c r="AD171" s="1247"/>
      <c r="AE171" s="1248"/>
      <c r="AF171" s="1230"/>
      <c r="AG171" s="1220"/>
      <c r="AH171" s="1220"/>
    </row>
    <row r="172" spans="25:34" s="198" customFormat="1">
      <c r="Y172" s="1210" t="s">
        <v>1308</v>
      </c>
      <c r="Z172" s="1243" t="s">
        <v>1271</v>
      </c>
      <c r="AA172" s="1244"/>
      <c r="AB172" s="1244"/>
      <c r="AC172" s="1244"/>
      <c r="AD172" s="1244"/>
      <c r="AE172" s="1245"/>
      <c r="AF172" s="1229">
        <v>130.13</v>
      </c>
      <c r="AG172" s="1220" t="s">
        <v>1327</v>
      </c>
      <c r="AH172" s="1220" t="s">
        <v>1328</v>
      </c>
    </row>
    <row r="173" spans="25:34" s="198" customFormat="1">
      <c r="Y173" s="1211"/>
      <c r="Z173" s="1246"/>
      <c r="AA173" s="1247"/>
      <c r="AB173" s="1247"/>
      <c r="AC173" s="1247"/>
      <c r="AD173" s="1247"/>
      <c r="AE173" s="1248"/>
      <c r="AF173" s="1230"/>
      <c r="AG173" s="1220"/>
      <c r="AH173" s="1220"/>
    </row>
    <row r="174" spans="25:34" s="198" customFormat="1">
      <c r="Y174" s="1210" t="s">
        <v>1309</v>
      </c>
      <c r="Z174" s="1243" t="s">
        <v>1272</v>
      </c>
      <c r="AA174" s="1244"/>
      <c r="AB174" s="1244"/>
      <c r="AC174" s="1244"/>
      <c r="AD174" s="1244"/>
      <c r="AE174" s="1245"/>
      <c r="AF174" s="1229">
        <v>133.19999999999999</v>
      </c>
      <c r="AG174" s="1220" t="s">
        <v>1327</v>
      </c>
      <c r="AH174" s="1220" t="s">
        <v>1328</v>
      </c>
    </row>
    <row r="175" spans="25:34" s="198" customFormat="1">
      <c r="Y175" s="1211"/>
      <c r="Z175" s="1246"/>
      <c r="AA175" s="1247"/>
      <c r="AB175" s="1247"/>
      <c r="AC175" s="1247"/>
      <c r="AD175" s="1247"/>
      <c r="AE175" s="1248"/>
      <c r="AF175" s="1230"/>
      <c r="AG175" s="1220"/>
      <c r="AH175" s="1220"/>
    </row>
    <row r="176" spans="25:34" s="198" customFormat="1">
      <c r="Y176" s="1210" t="s">
        <v>1310</v>
      </c>
      <c r="Z176" s="1243" t="s">
        <v>1273</v>
      </c>
      <c r="AA176" s="1244"/>
      <c r="AB176" s="1244"/>
      <c r="AC176" s="1244"/>
      <c r="AD176" s="1244"/>
      <c r="AE176" s="1245"/>
      <c r="AF176" s="1229">
        <v>58.39</v>
      </c>
      <c r="AG176" s="1220" t="s">
        <v>1327</v>
      </c>
      <c r="AH176" s="1220" t="s">
        <v>1328</v>
      </c>
    </row>
    <row r="177" spans="25:34" s="198" customFormat="1">
      <c r="Y177" s="1211"/>
      <c r="Z177" s="1246"/>
      <c r="AA177" s="1247"/>
      <c r="AB177" s="1247"/>
      <c r="AC177" s="1247"/>
      <c r="AD177" s="1247"/>
      <c r="AE177" s="1248"/>
      <c r="AF177" s="1230"/>
      <c r="AG177" s="1220"/>
      <c r="AH177" s="1220"/>
    </row>
    <row r="178" spans="25:34" s="198" customFormat="1">
      <c r="Y178" s="1210" t="s">
        <v>1311</v>
      </c>
      <c r="Z178" s="1243" t="s">
        <v>1274</v>
      </c>
      <c r="AA178" s="1244"/>
      <c r="AB178" s="1244"/>
      <c r="AC178" s="1244"/>
      <c r="AD178" s="1244"/>
      <c r="AE178" s="1245"/>
      <c r="AF178" s="1229">
        <v>562.84</v>
      </c>
      <c r="AG178" s="1220" t="s">
        <v>1327</v>
      </c>
      <c r="AH178" s="1220" t="s">
        <v>1328</v>
      </c>
    </row>
    <row r="179" spans="25:34" s="198" customFormat="1">
      <c r="Y179" s="1211"/>
      <c r="Z179" s="1246"/>
      <c r="AA179" s="1247"/>
      <c r="AB179" s="1247"/>
      <c r="AC179" s="1247"/>
      <c r="AD179" s="1247"/>
      <c r="AE179" s="1248"/>
      <c r="AF179" s="1230"/>
      <c r="AG179" s="1220"/>
      <c r="AH179" s="1220"/>
    </row>
    <row r="180" spans="25:34" s="198" customFormat="1">
      <c r="Y180" s="1210" t="s">
        <v>1312</v>
      </c>
      <c r="Z180" s="1243" t="s">
        <v>1275</v>
      </c>
      <c r="AA180" s="1244"/>
      <c r="AB180" s="1244"/>
      <c r="AC180" s="1244"/>
      <c r="AD180" s="1244"/>
      <c r="AE180" s="1245"/>
      <c r="AF180" s="1229">
        <v>164.99</v>
      </c>
      <c r="AG180" s="1220" t="s">
        <v>1327</v>
      </c>
      <c r="AH180" s="1220" t="s">
        <v>1328</v>
      </c>
    </row>
    <row r="181" spans="25:34" s="198" customFormat="1">
      <c r="Y181" s="1211"/>
      <c r="Z181" s="1246"/>
      <c r="AA181" s="1247"/>
      <c r="AB181" s="1247"/>
      <c r="AC181" s="1247"/>
      <c r="AD181" s="1247"/>
      <c r="AE181" s="1248"/>
      <c r="AF181" s="1230"/>
      <c r="AG181" s="1220"/>
      <c r="AH181" s="1220"/>
    </row>
    <row r="182" spans="25:34" s="198" customFormat="1">
      <c r="Y182" s="1210" t="s">
        <v>1313</v>
      </c>
      <c r="Z182" s="1243" t="s">
        <v>94</v>
      </c>
      <c r="AA182" s="1244"/>
      <c r="AB182" s="1244"/>
      <c r="AC182" s="1244"/>
      <c r="AD182" s="1244"/>
      <c r="AE182" s="1245"/>
      <c r="AF182" s="1229">
        <v>186.87</v>
      </c>
      <c r="AG182" s="1220" t="s">
        <v>1327</v>
      </c>
      <c r="AH182" s="1220" t="s">
        <v>1328</v>
      </c>
    </row>
    <row r="183" spans="25:34" s="198" customFormat="1">
      <c r="Y183" s="1211"/>
      <c r="Z183" s="1246"/>
      <c r="AA183" s="1247"/>
      <c r="AB183" s="1247"/>
      <c r="AC183" s="1247"/>
      <c r="AD183" s="1247"/>
      <c r="AE183" s="1248"/>
      <c r="AF183" s="1230"/>
      <c r="AG183" s="1220"/>
      <c r="AH183" s="1220"/>
    </row>
    <row r="184" spans="25:34" s="198" customFormat="1">
      <c r="Y184" s="1210" t="s">
        <v>1314</v>
      </c>
      <c r="Z184" s="1243" t="s">
        <v>1276</v>
      </c>
      <c r="AA184" s="1244"/>
      <c r="AB184" s="1244"/>
      <c r="AC184" s="1244"/>
      <c r="AD184" s="1244"/>
      <c r="AE184" s="1245"/>
      <c r="AF184" s="1229">
        <v>597.54</v>
      </c>
      <c r="AG184" s="1220" t="s">
        <v>1327</v>
      </c>
      <c r="AH184" s="1220" t="s">
        <v>1328</v>
      </c>
    </row>
    <row r="185" spans="25:34" s="198" customFormat="1">
      <c r="Y185" s="1211"/>
      <c r="Z185" s="1246"/>
      <c r="AA185" s="1247"/>
      <c r="AB185" s="1247"/>
      <c r="AC185" s="1247"/>
      <c r="AD185" s="1247"/>
      <c r="AE185" s="1248"/>
      <c r="AF185" s="1230"/>
      <c r="AG185" s="1220"/>
      <c r="AH185" s="1220"/>
    </row>
    <row r="186" spans="25:34" s="198" customFormat="1">
      <c r="Y186" s="1210" t="s">
        <v>1315</v>
      </c>
      <c r="Z186" s="1243" t="s">
        <v>1122</v>
      </c>
      <c r="AA186" s="1244"/>
      <c r="AB186" s="1244"/>
      <c r="AC186" s="1244"/>
      <c r="AD186" s="1244"/>
      <c r="AE186" s="1245"/>
      <c r="AF186" s="1229">
        <v>508.17</v>
      </c>
      <c r="AG186" s="1220" t="s">
        <v>1327</v>
      </c>
      <c r="AH186" s="1220" t="s">
        <v>1328</v>
      </c>
    </row>
    <row r="187" spans="25:34" s="198" customFormat="1">
      <c r="Y187" s="1211"/>
      <c r="Z187" s="1246"/>
      <c r="AA187" s="1247"/>
      <c r="AB187" s="1247"/>
      <c r="AC187" s="1247"/>
      <c r="AD187" s="1247"/>
      <c r="AE187" s="1248"/>
      <c r="AF187" s="1230"/>
      <c r="AG187" s="1220"/>
      <c r="AH187" s="1220"/>
    </row>
    <row r="188" spans="25:34" ht="15.75">
      <c r="Y188" s="1231" t="s">
        <v>61</v>
      </c>
      <c r="Z188" s="1232"/>
      <c r="AA188" s="1232"/>
      <c r="AB188" s="1232"/>
      <c r="AC188" s="1232"/>
      <c r="AD188" s="1232"/>
      <c r="AE188" s="1233"/>
      <c r="AF188" s="370">
        <f>SUM(AF189:AF240)</f>
        <v>753.97000000000094</v>
      </c>
      <c r="AG188" s="559"/>
      <c r="AH188" s="559"/>
    </row>
    <row r="189" spans="25:34">
      <c r="Y189" s="1210" t="s">
        <v>198</v>
      </c>
      <c r="Z189" s="1212" t="s">
        <v>63</v>
      </c>
      <c r="AA189" s="1213"/>
      <c r="AB189" s="1213"/>
      <c r="AC189" s="1213"/>
      <c r="AD189" s="1213"/>
      <c r="AE189" s="1214"/>
      <c r="AF189" s="1218">
        <v>115.17</v>
      </c>
      <c r="AG189" s="1220" t="s">
        <v>1327</v>
      </c>
      <c r="AH189" s="1220" t="s">
        <v>1328</v>
      </c>
    </row>
    <row r="190" spans="25:34">
      <c r="Y190" s="1211"/>
      <c r="Z190" s="1234"/>
      <c r="AA190" s="1235"/>
      <c r="AB190" s="1235"/>
      <c r="AC190" s="1235"/>
      <c r="AD190" s="1235"/>
      <c r="AE190" s="1236"/>
      <c r="AF190" s="1219"/>
      <c r="AG190" s="1220"/>
      <c r="AH190" s="1220"/>
    </row>
    <row r="191" spans="25:34">
      <c r="Y191" s="1210" t="s">
        <v>199</v>
      </c>
      <c r="Z191" s="1212" t="s">
        <v>64</v>
      </c>
      <c r="AA191" s="1213"/>
      <c r="AB191" s="1213"/>
      <c r="AC191" s="1213"/>
      <c r="AD191" s="1213"/>
      <c r="AE191" s="1214"/>
      <c r="AF191" s="1218">
        <v>167.2</v>
      </c>
      <c r="AG191" s="1220" t="s">
        <v>1327</v>
      </c>
      <c r="AH191" s="1220" t="s">
        <v>1328</v>
      </c>
    </row>
    <row r="192" spans="25:34">
      <c r="Y192" s="1211"/>
      <c r="Z192" s="1234"/>
      <c r="AA192" s="1235"/>
      <c r="AB192" s="1235"/>
      <c r="AC192" s="1235"/>
      <c r="AD192" s="1235"/>
      <c r="AE192" s="1236"/>
      <c r="AF192" s="1219"/>
      <c r="AG192" s="1220"/>
      <c r="AH192" s="1220"/>
    </row>
    <row r="193" spans="25:34">
      <c r="Y193" s="1210" t="s">
        <v>200</v>
      </c>
      <c r="Z193" s="1212" t="s">
        <v>65</v>
      </c>
      <c r="AA193" s="1213"/>
      <c r="AB193" s="1213"/>
      <c r="AC193" s="1213"/>
      <c r="AD193" s="1213"/>
      <c r="AE193" s="1214"/>
      <c r="AF193" s="1218">
        <v>138</v>
      </c>
      <c r="AG193" s="1220" t="s">
        <v>1327</v>
      </c>
      <c r="AH193" s="1220" t="s">
        <v>1328</v>
      </c>
    </row>
    <row r="194" spans="25:34">
      <c r="Y194" s="1211"/>
      <c r="Z194" s="1234"/>
      <c r="AA194" s="1235"/>
      <c r="AB194" s="1235"/>
      <c r="AC194" s="1235"/>
      <c r="AD194" s="1235"/>
      <c r="AE194" s="1236"/>
      <c r="AF194" s="1219"/>
      <c r="AG194" s="1220"/>
      <c r="AH194" s="1220"/>
    </row>
    <row r="195" spans="25:34">
      <c r="Y195" s="1210" t="s">
        <v>201</v>
      </c>
      <c r="Z195" s="1212" t="s">
        <v>66</v>
      </c>
      <c r="AA195" s="1213"/>
      <c r="AB195" s="1213"/>
      <c r="AC195" s="1213"/>
      <c r="AD195" s="1213"/>
      <c r="AE195" s="1214"/>
      <c r="AF195" s="1218">
        <v>138</v>
      </c>
      <c r="AG195" s="1220" t="s">
        <v>1327</v>
      </c>
      <c r="AH195" s="1220" t="s">
        <v>1328</v>
      </c>
    </row>
    <row r="196" spans="25:34">
      <c r="Y196" s="1211"/>
      <c r="Z196" s="1234"/>
      <c r="AA196" s="1235"/>
      <c r="AB196" s="1235"/>
      <c r="AC196" s="1235"/>
      <c r="AD196" s="1235"/>
      <c r="AE196" s="1236"/>
      <c r="AF196" s="1219"/>
      <c r="AG196" s="1220"/>
      <c r="AH196" s="1220"/>
    </row>
    <row r="197" spans="25:34">
      <c r="Y197" s="1210" t="s">
        <v>202</v>
      </c>
      <c r="Z197" s="1212" t="s">
        <v>67</v>
      </c>
      <c r="AA197" s="1213"/>
      <c r="AB197" s="1213"/>
      <c r="AC197" s="1213"/>
      <c r="AD197" s="1213"/>
      <c r="AE197" s="1214"/>
      <c r="AF197" s="1218">
        <f>29.75-0.02</f>
        <v>29.73</v>
      </c>
      <c r="AG197" s="1220" t="s">
        <v>1327</v>
      </c>
      <c r="AH197" s="1220" t="s">
        <v>1328</v>
      </c>
    </row>
    <row r="198" spans="25:34">
      <c r="Y198" s="1211"/>
      <c r="Z198" s="1234"/>
      <c r="AA198" s="1235"/>
      <c r="AB198" s="1235"/>
      <c r="AC198" s="1235"/>
      <c r="AD198" s="1235"/>
      <c r="AE198" s="1236"/>
      <c r="AF198" s="1219"/>
      <c r="AG198" s="1220"/>
      <c r="AH198" s="1220"/>
    </row>
    <row r="199" spans="25:34">
      <c r="Y199" s="1210" t="s">
        <v>203</v>
      </c>
      <c r="Z199" s="1212" t="s">
        <v>68</v>
      </c>
      <c r="AA199" s="1213"/>
      <c r="AB199" s="1213"/>
      <c r="AC199" s="1213"/>
      <c r="AD199" s="1213"/>
      <c r="AE199" s="1214"/>
      <c r="AF199" s="1218">
        <v>8.57</v>
      </c>
      <c r="AG199" s="1220" t="s">
        <v>1327</v>
      </c>
      <c r="AH199" s="1220" t="s">
        <v>1328</v>
      </c>
    </row>
    <row r="200" spans="25:34">
      <c r="Y200" s="1211"/>
      <c r="Z200" s="1234"/>
      <c r="AA200" s="1235"/>
      <c r="AB200" s="1235"/>
      <c r="AC200" s="1235"/>
      <c r="AD200" s="1235"/>
      <c r="AE200" s="1236"/>
      <c r="AF200" s="1219"/>
      <c r="AG200" s="1220"/>
      <c r="AH200" s="1220"/>
    </row>
    <row r="201" spans="25:34">
      <c r="Y201" s="1210" t="s">
        <v>204</v>
      </c>
      <c r="Z201" s="1212" t="s">
        <v>69</v>
      </c>
      <c r="AA201" s="1213"/>
      <c r="AB201" s="1213"/>
      <c r="AC201" s="1213"/>
      <c r="AD201" s="1213"/>
      <c r="AE201" s="1214"/>
      <c r="AF201" s="1218">
        <v>8.57</v>
      </c>
      <c r="AG201" s="1220" t="s">
        <v>1327</v>
      </c>
      <c r="AH201" s="1220" t="s">
        <v>1328</v>
      </c>
    </row>
    <row r="202" spans="25:34">
      <c r="Y202" s="1211"/>
      <c r="Z202" s="1234"/>
      <c r="AA202" s="1235"/>
      <c r="AB202" s="1235"/>
      <c r="AC202" s="1235"/>
      <c r="AD202" s="1235"/>
      <c r="AE202" s="1236"/>
      <c r="AF202" s="1219"/>
      <c r="AG202" s="1220"/>
      <c r="AH202" s="1220"/>
    </row>
    <row r="203" spans="25:34">
      <c r="Y203" s="1210" t="s">
        <v>205</v>
      </c>
      <c r="Z203" s="1212" t="s">
        <v>1277</v>
      </c>
      <c r="AA203" s="1213"/>
      <c r="AB203" s="1213"/>
      <c r="AC203" s="1213"/>
      <c r="AD203" s="1213"/>
      <c r="AE203" s="1214"/>
      <c r="AF203" s="1218">
        <v>8.57</v>
      </c>
      <c r="AG203" s="1220" t="s">
        <v>1327</v>
      </c>
      <c r="AH203" s="1220" t="s">
        <v>1328</v>
      </c>
    </row>
    <row r="204" spans="25:34">
      <c r="Y204" s="1211"/>
      <c r="Z204" s="1234"/>
      <c r="AA204" s="1235"/>
      <c r="AB204" s="1235"/>
      <c r="AC204" s="1235"/>
      <c r="AD204" s="1235"/>
      <c r="AE204" s="1236"/>
      <c r="AF204" s="1219"/>
      <c r="AG204" s="1220"/>
      <c r="AH204" s="1220"/>
    </row>
    <row r="205" spans="25:34">
      <c r="Y205" s="1210" t="s">
        <v>206</v>
      </c>
      <c r="Z205" s="1212" t="s">
        <v>70</v>
      </c>
      <c r="AA205" s="1213"/>
      <c r="AB205" s="1213"/>
      <c r="AC205" s="1213"/>
      <c r="AD205" s="1213"/>
      <c r="AE205" s="1214"/>
      <c r="AF205" s="1218">
        <v>8.57</v>
      </c>
      <c r="AG205" s="1220" t="s">
        <v>1327</v>
      </c>
      <c r="AH205" s="1220" t="s">
        <v>1328</v>
      </c>
    </row>
    <row r="206" spans="25:34">
      <c r="Y206" s="1211"/>
      <c r="Z206" s="1234"/>
      <c r="AA206" s="1235"/>
      <c r="AB206" s="1235"/>
      <c r="AC206" s="1235"/>
      <c r="AD206" s="1235"/>
      <c r="AE206" s="1236"/>
      <c r="AF206" s="1219"/>
      <c r="AG206" s="1220"/>
      <c r="AH206" s="1220"/>
    </row>
    <row r="207" spans="25:34">
      <c r="Y207" s="1210" t="s">
        <v>207</v>
      </c>
      <c r="Z207" s="1212" t="s">
        <v>71</v>
      </c>
      <c r="AA207" s="1213"/>
      <c r="AB207" s="1213"/>
      <c r="AC207" s="1213"/>
      <c r="AD207" s="1213"/>
      <c r="AE207" s="1214"/>
      <c r="AF207" s="1218">
        <v>8.57</v>
      </c>
      <c r="AG207" s="1220" t="s">
        <v>1327</v>
      </c>
      <c r="AH207" s="1220" t="s">
        <v>1328</v>
      </c>
    </row>
    <row r="208" spans="25:34">
      <c r="Y208" s="1211"/>
      <c r="Z208" s="1234"/>
      <c r="AA208" s="1235"/>
      <c r="AB208" s="1235"/>
      <c r="AC208" s="1235"/>
      <c r="AD208" s="1235"/>
      <c r="AE208" s="1236"/>
      <c r="AF208" s="1219"/>
      <c r="AG208" s="1220"/>
      <c r="AH208" s="1220"/>
    </row>
    <row r="209" spans="25:34">
      <c r="Y209" s="1210" t="s">
        <v>208</v>
      </c>
      <c r="Z209" s="1212" t="s">
        <v>72</v>
      </c>
      <c r="AA209" s="1213"/>
      <c r="AB209" s="1213"/>
      <c r="AC209" s="1213"/>
      <c r="AD209" s="1213"/>
      <c r="AE209" s="1214"/>
      <c r="AF209" s="1218">
        <v>8.57</v>
      </c>
      <c r="AG209" s="1220" t="s">
        <v>1327</v>
      </c>
      <c r="AH209" s="1220" t="s">
        <v>1328</v>
      </c>
    </row>
    <row r="210" spans="25:34">
      <c r="Y210" s="1211"/>
      <c r="Z210" s="1234"/>
      <c r="AA210" s="1235"/>
      <c r="AB210" s="1235"/>
      <c r="AC210" s="1235"/>
      <c r="AD210" s="1235"/>
      <c r="AE210" s="1236"/>
      <c r="AF210" s="1219"/>
      <c r="AG210" s="1220"/>
      <c r="AH210" s="1220"/>
    </row>
    <row r="211" spans="25:34">
      <c r="Y211" s="1210" t="s">
        <v>209</v>
      </c>
      <c r="Z211" s="1212" t="s">
        <v>73</v>
      </c>
      <c r="AA211" s="1213"/>
      <c r="AB211" s="1213"/>
      <c r="AC211" s="1213"/>
      <c r="AD211" s="1213"/>
      <c r="AE211" s="1214"/>
      <c r="AF211" s="1218">
        <v>8.57</v>
      </c>
      <c r="AG211" s="1220" t="s">
        <v>1327</v>
      </c>
      <c r="AH211" s="1220" t="s">
        <v>1328</v>
      </c>
    </row>
    <row r="212" spans="25:34">
      <c r="Y212" s="1211"/>
      <c r="Z212" s="1234"/>
      <c r="AA212" s="1235"/>
      <c r="AB212" s="1235"/>
      <c r="AC212" s="1235"/>
      <c r="AD212" s="1235"/>
      <c r="AE212" s="1236"/>
      <c r="AF212" s="1219"/>
      <c r="AG212" s="1220"/>
      <c r="AH212" s="1220"/>
    </row>
    <row r="213" spans="25:34">
      <c r="Y213" s="1210" t="s">
        <v>210</v>
      </c>
      <c r="Z213" s="1212" t="s">
        <v>74</v>
      </c>
      <c r="AA213" s="1213"/>
      <c r="AB213" s="1213"/>
      <c r="AC213" s="1213"/>
      <c r="AD213" s="1213"/>
      <c r="AE213" s="1214"/>
      <c r="AF213" s="1218">
        <v>8.57</v>
      </c>
      <c r="AG213" s="1220" t="s">
        <v>1327</v>
      </c>
      <c r="AH213" s="1220" t="s">
        <v>1328</v>
      </c>
    </row>
    <row r="214" spans="25:34">
      <c r="Y214" s="1211"/>
      <c r="Z214" s="1234"/>
      <c r="AA214" s="1235"/>
      <c r="AB214" s="1235"/>
      <c r="AC214" s="1235"/>
      <c r="AD214" s="1235"/>
      <c r="AE214" s="1236"/>
      <c r="AF214" s="1219"/>
      <c r="AG214" s="1220"/>
      <c r="AH214" s="1220"/>
    </row>
    <row r="215" spans="25:34">
      <c r="Y215" s="1210" t="s">
        <v>211</v>
      </c>
      <c r="Z215" s="1212" t="s">
        <v>75</v>
      </c>
      <c r="AA215" s="1213"/>
      <c r="AB215" s="1213"/>
      <c r="AC215" s="1213"/>
      <c r="AD215" s="1213"/>
      <c r="AE215" s="1214"/>
      <c r="AF215" s="1218">
        <v>8.57</v>
      </c>
      <c r="AG215" s="1220" t="s">
        <v>1327</v>
      </c>
      <c r="AH215" s="1220" t="s">
        <v>1328</v>
      </c>
    </row>
    <row r="216" spans="25:34">
      <c r="Y216" s="1211"/>
      <c r="Z216" s="1234"/>
      <c r="AA216" s="1235"/>
      <c r="AB216" s="1235"/>
      <c r="AC216" s="1235"/>
      <c r="AD216" s="1235"/>
      <c r="AE216" s="1236"/>
      <c r="AF216" s="1219"/>
      <c r="AG216" s="1220"/>
      <c r="AH216" s="1220"/>
    </row>
    <row r="217" spans="25:34">
      <c r="Y217" s="1210" t="s">
        <v>212</v>
      </c>
      <c r="Z217" s="1212" t="s">
        <v>76</v>
      </c>
      <c r="AA217" s="1213"/>
      <c r="AB217" s="1213"/>
      <c r="AC217" s="1213"/>
      <c r="AD217" s="1213"/>
      <c r="AE217" s="1214"/>
      <c r="AF217" s="1218">
        <v>8.57</v>
      </c>
      <c r="AG217" s="1220" t="s">
        <v>1327</v>
      </c>
      <c r="AH217" s="1220" t="s">
        <v>1328</v>
      </c>
    </row>
    <row r="218" spans="25:34">
      <c r="Y218" s="1211"/>
      <c r="Z218" s="1234"/>
      <c r="AA218" s="1235"/>
      <c r="AB218" s="1235"/>
      <c r="AC218" s="1235"/>
      <c r="AD218" s="1235"/>
      <c r="AE218" s="1236"/>
      <c r="AF218" s="1219"/>
      <c r="AG218" s="1220"/>
      <c r="AH218" s="1220"/>
    </row>
    <row r="219" spans="25:34">
      <c r="Y219" s="1210" t="s">
        <v>213</v>
      </c>
      <c r="Z219" s="1212" t="s">
        <v>77</v>
      </c>
      <c r="AA219" s="1213"/>
      <c r="AB219" s="1213"/>
      <c r="AC219" s="1213"/>
      <c r="AD219" s="1213"/>
      <c r="AE219" s="1214"/>
      <c r="AF219" s="1218">
        <v>8.57</v>
      </c>
      <c r="AG219" s="1220" t="s">
        <v>1327</v>
      </c>
      <c r="AH219" s="1220" t="s">
        <v>1328</v>
      </c>
    </row>
    <row r="220" spans="25:34">
      <c r="Y220" s="1211"/>
      <c r="Z220" s="1234"/>
      <c r="AA220" s="1235"/>
      <c r="AB220" s="1235"/>
      <c r="AC220" s="1235"/>
      <c r="AD220" s="1235"/>
      <c r="AE220" s="1236"/>
      <c r="AF220" s="1219"/>
      <c r="AG220" s="1220"/>
      <c r="AH220" s="1220"/>
    </row>
    <row r="221" spans="25:34">
      <c r="Y221" s="1210" t="s">
        <v>214</v>
      </c>
      <c r="Z221" s="1212" t="s">
        <v>78</v>
      </c>
      <c r="AA221" s="1213"/>
      <c r="AB221" s="1213"/>
      <c r="AC221" s="1213"/>
      <c r="AD221" s="1213"/>
      <c r="AE221" s="1214"/>
      <c r="AF221" s="1218">
        <v>8.57</v>
      </c>
      <c r="AG221" s="1220" t="s">
        <v>1327</v>
      </c>
      <c r="AH221" s="1220" t="s">
        <v>1328</v>
      </c>
    </row>
    <row r="222" spans="25:34">
      <c r="Y222" s="1211"/>
      <c r="Z222" s="1234"/>
      <c r="AA222" s="1235"/>
      <c r="AB222" s="1235"/>
      <c r="AC222" s="1235"/>
      <c r="AD222" s="1235"/>
      <c r="AE222" s="1236"/>
      <c r="AF222" s="1219"/>
      <c r="AG222" s="1220"/>
      <c r="AH222" s="1220"/>
    </row>
    <row r="223" spans="25:34">
      <c r="Y223" s="1210" t="s">
        <v>215</v>
      </c>
      <c r="Z223" s="1212" t="s">
        <v>79</v>
      </c>
      <c r="AA223" s="1213"/>
      <c r="AB223" s="1213"/>
      <c r="AC223" s="1213"/>
      <c r="AD223" s="1213"/>
      <c r="AE223" s="1214"/>
      <c r="AF223" s="1218">
        <v>8.57</v>
      </c>
      <c r="AG223" s="1220" t="s">
        <v>1327</v>
      </c>
      <c r="AH223" s="1220" t="s">
        <v>1328</v>
      </c>
    </row>
    <row r="224" spans="25:34">
      <c r="Y224" s="1211"/>
      <c r="Z224" s="1234"/>
      <c r="AA224" s="1235"/>
      <c r="AB224" s="1235"/>
      <c r="AC224" s="1235"/>
      <c r="AD224" s="1235"/>
      <c r="AE224" s="1236"/>
      <c r="AF224" s="1219"/>
      <c r="AG224" s="1220"/>
      <c r="AH224" s="1220"/>
    </row>
    <row r="225" spans="25:34">
      <c r="Y225" s="1210" t="s">
        <v>216</v>
      </c>
      <c r="Z225" s="1212" t="s">
        <v>80</v>
      </c>
      <c r="AA225" s="1213"/>
      <c r="AB225" s="1213"/>
      <c r="AC225" s="1213"/>
      <c r="AD225" s="1213"/>
      <c r="AE225" s="1214"/>
      <c r="AF225" s="1218">
        <v>8.57</v>
      </c>
      <c r="AG225" s="1220" t="s">
        <v>1327</v>
      </c>
      <c r="AH225" s="1220" t="s">
        <v>1328</v>
      </c>
    </row>
    <row r="226" spans="25:34">
      <c r="Y226" s="1211"/>
      <c r="Z226" s="1234"/>
      <c r="AA226" s="1235"/>
      <c r="AB226" s="1235"/>
      <c r="AC226" s="1235"/>
      <c r="AD226" s="1235"/>
      <c r="AE226" s="1236"/>
      <c r="AF226" s="1219"/>
      <c r="AG226" s="1220"/>
      <c r="AH226" s="1220"/>
    </row>
    <row r="227" spans="25:34">
      <c r="Y227" s="1210" t="s">
        <v>217</v>
      </c>
      <c r="Z227" s="1212" t="s">
        <v>81</v>
      </c>
      <c r="AA227" s="1213"/>
      <c r="AB227" s="1213"/>
      <c r="AC227" s="1213"/>
      <c r="AD227" s="1213"/>
      <c r="AE227" s="1214"/>
      <c r="AF227" s="1218">
        <v>8.57</v>
      </c>
      <c r="AG227" s="1220" t="s">
        <v>1327</v>
      </c>
      <c r="AH227" s="1220" t="s">
        <v>1328</v>
      </c>
    </row>
    <row r="228" spans="25:34">
      <c r="Y228" s="1211"/>
      <c r="Z228" s="1234"/>
      <c r="AA228" s="1235"/>
      <c r="AB228" s="1235"/>
      <c r="AC228" s="1235"/>
      <c r="AD228" s="1235"/>
      <c r="AE228" s="1236"/>
      <c r="AF228" s="1219"/>
      <c r="AG228" s="1220"/>
      <c r="AH228" s="1220"/>
    </row>
    <row r="229" spans="25:34">
      <c r="Y229" s="1210" t="s">
        <v>218</v>
      </c>
      <c r="Z229" s="1212" t="s">
        <v>82</v>
      </c>
      <c r="AA229" s="1213"/>
      <c r="AB229" s="1213"/>
      <c r="AC229" s="1213"/>
      <c r="AD229" s="1213"/>
      <c r="AE229" s="1214"/>
      <c r="AF229" s="1218">
        <v>6.22</v>
      </c>
      <c r="AG229" s="1220" t="s">
        <v>1327</v>
      </c>
      <c r="AH229" s="1220" t="s">
        <v>1328</v>
      </c>
    </row>
    <row r="230" spans="25:34">
      <c r="Y230" s="1211"/>
      <c r="Z230" s="1234"/>
      <c r="AA230" s="1235"/>
      <c r="AB230" s="1235"/>
      <c r="AC230" s="1235"/>
      <c r="AD230" s="1235"/>
      <c r="AE230" s="1236"/>
      <c r="AF230" s="1219"/>
      <c r="AG230" s="1220"/>
      <c r="AH230" s="1220"/>
    </row>
    <row r="231" spans="25:34">
      <c r="Y231" s="1210" t="s">
        <v>219</v>
      </c>
      <c r="Z231" s="1212" t="s">
        <v>83</v>
      </c>
      <c r="AA231" s="1213"/>
      <c r="AB231" s="1213"/>
      <c r="AC231" s="1213"/>
      <c r="AD231" s="1213"/>
      <c r="AE231" s="1214"/>
      <c r="AF231" s="1218">
        <v>6.22</v>
      </c>
      <c r="AG231" s="1220" t="s">
        <v>1327</v>
      </c>
      <c r="AH231" s="1220" t="s">
        <v>1328</v>
      </c>
    </row>
    <row r="232" spans="25:34">
      <c r="Y232" s="1211"/>
      <c r="Z232" s="1234"/>
      <c r="AA232" s="1235"/>
      <c r="AB232" s="1235"/>
      <c r="AC232" s="1235"/>
      <c r="AD232" s="1235"/>
      <c r="AE232" s="1236"/>
      <c r="AF232" s="1219"/>
      <c r="AG232" s="1220"/>
      <c r="AH232" s="1220"/>
    </row>
    <row r="233" spans="25:34">
      <c r="Y233" s="1210" t="s">
        <v>220</v>
      </c>
      <c r="Z233" s="1212" t="s">
        <v>84</v>
      </c>
      <c r="AA233" s="1213"/>
      <c r="AB233" s="1213"/>
      <c r="AC233" s="1213"/>
      <c r="AD233" s="1213"/>
      <c r="AE233" s="1214"/>
      <c r="AF233" s="1218">
        <v>6.22</v>
      </c>
      <c r="AG233" s="1220" t="s">
        <v>1327</v>
      </c>
      <c r="AH233" s="1220" t="s">
        <v>1328</v>
      </c>
    </row>
    <row r="234" spans="25:34">
      <c r="Y234" s="1211"/>
      <c r="Z234" s="1234"/>
      <c r="AA234" s="1235"/>
      <c r="AB234" s="1235"/>
      <c r="AC234" s="1235"/>
      <c r="AD234" s="1235"/>
      <c r="AE234" s="1236"/>
      <c r="AF234" s="1219"/>
      <c r="AG234" s="1220"/>
      <c r="AH234" s="1220"/>
    </row>
    <row r="235" spans="25:34">
      <c r="Y235" s="1210" t="s">
        <v>221</v>
      </c>
      <c r="Z235" s="1212" t="s">
        <v>85</v>
      </c>
      <c r="AA235" s="1213"/>
      <c r="AB235" s="1213"/>
      <c r="AC235" s="1213"/>
      <c r="AD235" s="1213"/>
      <c r="AE235" s="1214"/>
      <c r="AF235" s="1218">
        <v>6.22</v>
      </c>
      <c r="AG235" s="1220" t="s">
        <v>1327</v>
      </c>
      <c r="AH235" s="1220" t="s">
        <v>1328</v>
      </c>
    </row>
    <row r="236" spans="25:34">
      <c r="Y236" s="1211"/>
      <c r="Z236" s="1234"/>
      <c r="AA236" s="1235"/>
      <c r="AB236" s="1235"/>
      <c r="AC236" s="1235"/>
      <c r="AD236" s="1235"/>
      <c r="AE236" s="1236"/>
      <c r="AF236" s="1219"/>
      <c r="AG236" s="1220"/>
      <c r="AH236" s="1220"/>
    </row>
    <row r="237" spans="25:34">
      <c r="Y237" s="1210" t="s">
        <v>222</v>
      </c>
      <c r="Z237" s="1212" t="s">
        <v>86</v>
      </c>
      <c r="AA237" s="1213"/>
      <c r="AB237" s="1213"/>
      <c r="AC237" s="1213"/>
      <c r="AD237" s="1213"/>
      <c r="AE237" s="1214"/>
      <c r="AF237" s="1218">
        <v>6.22</v>
      </c>
      <c r="AG237" s="1220" t="s">
        <v>1327</v>
      </c>
      <c r="AH237" s="1220" t="s">
        <v>1328</v>
      </c>
    </row>
    <row r="238" spans="25:34">
      <c r="Y238" s="1211"/>
      <c r="Z238" s="1234"/>
      <c r="AA238" s="1235"/>
      <c r="AB238" s="1235"/>
      <c r="AC238" s="1235"/>
      <c r="AD238" s="1235"/>
      <c r="AE238" s="1236"/>
      <c r="AF238" s="1219"/>
      <c r="AG238" s="1220"/>
      <c r="AH238" s="1220"/>
    </row>
    <row r="239" spans="25:34">
      <c r="Y239" s="1210" t="s">
        <v>223</v>
      </c>
      <c r="Z239" s="1212" t="s">
        <v>87</v>
      </c>
      <c r="AA239" s="1213"/>
      <c r="AB239" s="1213"/>
      <c r="AC239" s="1213"/>
      <c r="AD239" s="1213"/>
      <c r="AE239" s="1214"/>
      <c r="AF239" s="1218">
        <v>6.22</v>
      </c>
      <c r="AG239" s="1220" t="s">
        <v>1327</v>
      </c>
      <c r="AH239" s="1220" t="s">
        <v>1328</v>
      </c>
    </row>
    <row r="240" spans="25:34">
      <c r="Y240" s="1211"/>
      <c r="Z240" s="1234"/>
      <c r="AA240" s="1235"/>
      <c r="AB240" s="1235"/>
      <c r="AC240" s="1235"/>
      <c r="AD240" s="1235"/>
      <c r="AE240" s="1236"/>
      <c r="AF240" s="1219"/>
      <c r="AG240" s="1220"/>
      <c r="AH240" s="1220"/>
    </row>
    <row r="241" spans="25:34" ht="15.75">
      <c r="Y241" s="1231" t="s">
        <v>88</v>
      </c>
      <c r="Z241" s="1232"/>
      <c r="AA241" s="1232"/>
      <c r="AB241" s="1232"/>
      <c r="AC241" s="1232"/>
      <c r="AD241" s="1232"/>
      <c r="AE241" s="1233"/>
      <c r="AF241" s="370">
        <f>SUM(AF242:AF247)</f>
        <v>10252.879999999999</v>
      </c>
      <c r="AG241" s="559"/>
      <c r="AH241" s="559"/>
    </row>
    <row r="242" spans="25:34">
      <c r="Y242" s="1210" t="s">
        <v>224</v>
      </c>
      <c r="Z242" s="1212" t="s">
        <v>89</v>
      </c>
      <c r="AA242" s="1213"/>
      <c r="AB242" s="1213"/>
      <c r="AC242" s="1213"/>
      <c r="AD242" s="1213"/>
      <c r="AE242" s="1214"/>
      <c r="AF242" s="1218">
        <v>9916.9699999999993</v>
      </c>
      <c r="AG242" s="1220" t="s">
        <v>1327</v>
      </c>
      <c r="AH242" s="1220" t="s">
        <v>1328</v>
      </c>
    </row>
    <row r="243" spans="25:34">
      <c r="Y243" s="1211"/>
      <c r="Z243" s="1234"/>
      <c r="AA243" s="1235"/>
      <c r="AB243" s="1235"/>
      <c r="AC243" s="1235"/>
      <c r="AD243" s="1235"/>
      <c r="AE243" s="1236"/>
      <c r="AF243" s="1219"/>
      <c r="AG243" s="1220"/>
      <c r="AH243" s="1220"/>
    </row>
    <row r="244" spans="25:34">
      <c r="Y244" s="1210" t="s">
        <v>461</v>
      </c>
      <c r="Z244" s="1212" t="s">
        <v>90</v>
      </c>
      <c r="AA244" s="1213"/>
      <c r="AB244" s="1213"/>
      <c r="AC244" s="1213"/>
      <c r="AD244" s="1213"/>
      <c r="AE244" s="1214"/>
      <c r="AF244" s="1229">
        <v>131.49</v>
      </c>
      <c r="AG244" s="1220" t="s">
        <v>1327</v>
      </c>
      <c r="AH244" s="1220" t="s">
        <v>1328</v>
      </c>
    </row>
    <row r="245" spans="25:34">
      <c r="Y245" s="1211"/>
      <c r="Z245" s="1234"/>
      <c r="AA245" s="1235"/>
      <c r="AB245" s="1235"/>
      <c r="AC245" s="1235"/>
      <c r="AD245" s="1235"/>
      <c r="AE245" s="1236"/>
      <c r="AF245" s="1230"/>
      <c r="AG245" s="1220"/>
      <c r="AH245" s="1220"/>
    </row>
    <row r="246" spans="25:34">
      <c r="Y246" s="1210" t="s">
        <v>462</v>
      </c>
      <c r="Z246" s="1212" t="s">
        <v>91</v>
      </c>
      <c r="AA246" s="1213"/>
      <c r="AB246" s="1213"/>
      <c r="AC246" s="1213"/>
      <c r="AD246" s="1213"/>
      <c r="AE246" s="1214"/>
      <c r="AF246" s="1229">
        <v>204.42</v>
      </c>
      <c r="AG246" s="1220" t="s">
        <v>1327</v>
      </c>
      <c r="AH246" s="1220" t="s">
        <v>1328</v>
      </c>
    </row>
    <row r="247" spans="25:34">
      <c r="Y247" s="1211"/>
      <c r="Z247" s="1234"/>
      <c r="AA247" s="1235"/>
      <c r="AB247" s="1235"/>
      <c r="AC247" s="1235"/>
      <c r="AD247" s="1235"/>
      <c r="AE247" s="1236"/>
      <c r="AF247" s="1230"/>
      <c r="AG247" s="1220"/>
      <c r="AH247" s="1220"/>
    </row>
    <row r="248" spans="25:34" ht="15.75">
      <c r="Y248" s="1231" t="s">
        <v>92</v>
      </c>
      <c r="Z248" s="1232"/>
      <c r="AA248" s="1232"/>
      <c r="AB248" s="1232"/>
      <c r="AC248" s="1232"/>
      <c r="AD248" s="1232"/>
      <c r="AE248" s="1233"/>
      <c r="AF248" s="370">
        <f>SUM(AF249:AF278)</f>
        <v>3414.75</v>
      </c>
      <c r="AG248" s="559"/>
      <c r="AH248" s="559"/>
    </row>
    <row r="249" spans="25:34">
      <c r="Y249" s="1210" t="s">
        <v>225</v>
      </c>
      <c r="Z249" s="1212" t="s">
        <v>93</v>
      </c>
      <c r="AA249" s="1213"/>
      <c r="AB249" s="1213"/>
      <c r="AC249" s="1213"/>
      <c r="AD249" s="1213"/>
      <c r="AE249" s="1214"/>
      <c r="AF249" s="1218">
        <v>83.98</v>
      </c>
      <c r="AG249" s="1220" t="s">
        <v>1327</v>
      </c>
      <c r="AH249" s="1220" t="s">
        <v>1328</v>
      </c>
    </row>
    <row r="250" spans="25:34">
      <c r="Y250" s="1211"/>
      <c r="Z250" s="1215"/>
      <c r="AA250" s="1216"/>
      <c r="AB250" s="1216"/>
      <c r="AC250" s="1216"/>
      <c r="AD250" s="1216"/>
      <c r="AE250" s="1217"/>
      <c r="AF250" s="1219"/>
      <c r="AG250" s="1220"/>
      <c r="AH250" s="1220"/>
    </row>
    <row r="251" spans="25:34">
      <c r="Y251" s="1210" t="s">
        <v>226</v>
      </c>
      <c r="Z251" s="1212" t="s">
        <v>94</v>
      </c>
      <c r="AA251" s="1213"/>
      <c r="AB251" s="1213"/>
      <c r="AC251" s="1213"/>
      <c r="AD251" s="1213"/>
      <c r="AE251" s="1214"/>
      <c r="AF251" s="1218">
        <v>180.85</v>
      </c>
      <c r="AG251" s="1220" t="s">
        <v>1327</v>
      </c>
      <c r="AH251" s="1220" t="s">
        <v>1328</v>
      </c>
    </row>
    <row r="252" spans="25:34">
      <c r="Y252" s="1211"/>
      <c r="Z252" s="1215"/>
      <c r="AA252" s="1216"/>
      <c r="AB252" s="1216"/>
      <c r="AC252" s="1216"/>
      <c r="AD252" s="1216"/>
      <c r="AE252" s="1217"/>
      <c r="AF252" s="1219"/>
      <c r="AG252" s="1220"/>
      <c r="AH252" s="1220"/>
    </row>
    <row r="253" spans="25:34">
      <c r="Y253" s="1210" t="s">
        <v>227</v>
      </c>
      <c r="Z253" s="1212" t="s">
        <v>95</v>
      </c>
      <c r="AA253" s="1213"/>
      <c r="AB253" s="1213"/>
      <c r="AC253" s="1213"/>
      <c r="AD253" s="1213"/>
      <c r="AE253" s="1214"/>
      <c r="AF253" s="1218">
        <v>196.36</v>
      </c>
      <c r="AG253" s="1220" t="s">
        <v>1327</v>
      </c>
      <c r="AH253" s="1220" t="s">
        <v>1328</v>
      </c>
    </row>
    <row r="254" spans="25:34">
      <c r="Y254" s="1211"/>
      <c r="Z254" s="1215"/>
      <c r="AA254" s="1216"/>
      <c r="AB254" s="1216"/>
      <c r="AC254" s="1216"/>
      <c r="AD254" s="1216"/>
      <c r="AE254" s="1217"/>
      <c r="AF254" s="1219"/>
      <c r="AG254" s="1220"/>
      <c r="AH254" s="1220"/>
    </row>
    <row r="255" spans="25:34">
      <c r="Y255" s="1210" t="s">
        <v>228</v>
      </c>
      <c r="Z255" s="1212" t="s">
        <v>96</v>
      </c>
      <c r="AA255" s="1213"/>
      <c r="AB255" s="1213"/>
      <c r="AC255" s="1213"/>
      <c r="AD255" s="1213"/>
      <c r="AE255" s="1214"/>
      <c r="AF255" s="1218">
        <v>197.97</v>
      </c>
      <c r="AG255" s="1220" t="s">
        <v>1327</v>
      </c>
      <c r="AH255" s="1220" t="s">
        <v>1328</v>
      </c>
    </row>
    <row r="256" spans="25:34">
      <c r="Y256" s="1211"/>
      <c r="Z256" s="1215"/>
      <c r="AA256" s="1216"/>
      <c r="AB256" s="1216"/>
      <c r="AC256" s="1216"/>
      <c r="AD256" s="1216"/>
      <c r="AE256" s="1217"/>
      <c r="AF256" s="1219"/>
      <c r="AG256" s="1220"/>
      <c r="AH256" s="1220"/>
    </row>
    <row r="257" spans="25:34">
      <c r="Y257" s="1210" t="s">
        <v>229</v>
      </c>
      <c r="Z257" s="1212" t="s">
        <v>97</v>
      </c>
      <c r="AA257" s="1213"/>
      <c r="AB257" s="1213"/>
      <c r="AC257" s="1213"/>
      <c r="AD257" s="1213"/>
      <c r="AE257" s="1214"/>
      <c r="AF257" s="1218">
        <v>230</v>
      </c>
      <c r="AG257" s="1220" t="s">
        <v>1327</v>
      </c>
      <c r="AH257" s="1220" t="s">
        <v>1328</v>
      </c>
    </row>
    <row r="258" spans="25:34">
      <c r="Y258" s="1211"/>
      <c r="Z258" s="1215"/>
      <c r="AA258" s="1216"/>
      <c r="AB258" s="1216"/>
      <c r="AC258" s="1216"/>
      <c r="AD258" s="1216"/>
      <c r="AE258" s="1217"/>
      <c r="AF258" s="1219"/>
      <c r="AG258" s="1220"/>
      <c r="AH258" s="1220"/>
    </row>
    <row r="259" spans="25:34">
      <c r="Y259" s="1210" t="s">
        <v>230</v>
      </c>
      <c r="Z259" s="1212" t="s">
        <v>98</v>
      </c>
      <c r="AA259" s="1213"/>
      <c r="AB259" s="1213"/>
      <c r="AC259" s="1213"/>
      <c r="AD259" s="1213"/>
      <c r="AE259" s="1214"/>
      <c r="AF259" s="1218">
        <v>155.59</v>
      </c>
      <c r="AG259" s="1220" t="s">
        <v>1327</v>
      </c>
      <c r="AH259" s="1220" t="s">
        <v>1328</v>
      </c>
    </row>
    <row r="260" spans="25:34">
      <c r="Y260" s="1211"/>
      <c r="Z260" s="1215"/>
      <c r="AA260" s="1216"/>
      <c r="AB260" s="1216"/>
      <c r="AC260" s="1216"/>
      <c r="AD260" s="1216"/>
      <c r="AE260" s="1217"/>
      <c r="AF260" s="1219"/>
      <c r="AG260" s="1220"/>
      <c r="AH260" s="1220"/>
    </row>
    <row r="261" spans="25:34">
      <c r="Y261" s="1210" t="s">
        <v>231</v>
      </c>
      <c r="Z261" s="1212" t="s">
        <v>99</v>
      </c>
      <c r="AA261" s="1213"/>
      <c r="AB261" s="1213"/>
      <c r="AC261" s="1213"/>
      <c r="AD261" s="1213"/>
      <c r="AE261" s="1214"/>
      <c r="AF261" s="1218">
        <v>250.51</v>
      </c>
      <c r="AG261" s="1220" t="s">
        <v>1327</v>
      </c>
      <c r="AH261" s="1220" t="s">
        <v>1328</v>
      </c>
    </row>
    <row r="262" spans="25:34">
      <c r="Y262" s="1211"/>
      <c r="Z262" s="1215"/>
      <c r="AA262" s="1216"/>
      <c r="AB262" s="1216"/>
      <c r="AC262" s="1216"/>
      <c r="AD262" s="1216"/>
      <c r="AE262" s="1217"/>
      <c r="AF262" s="1219"/>
      <c r="AG262" s="1220"/>
      <c r="AH262" s="1220"/>
    </row>
    <row r="263" spans="25:34">
      <c r="Y263" s="1210" t="s">
        <v>232</v>
      </c>
      <c r="Z263" s="1212" t="s">
        <v>100</v>
      </c>
      <c r="AA263" s="1213"/>
      <c r="AB263" s="1213"/>
      <c r="AC263" s="1213"/>
      <c r="AD263" s="1213"/>
      <c r="AE263" s="1214"/>
      <c r="AF263" s="1218">
        <v>170.17</v>
      </c>
      <c r="AG263" s="1220" t="s">
        <v>1327</v>
      </c>
      <c r="AH263" s="1220" t="s">
        <v>1328</v>
      </c>
    </row>
    <row r="264" spans="25:34">
      <c r="Y264" s="1211"/>
      <c r="Z264" s="1215"/>
      <c r="AA264" s="1216"/>
      <c r="AB264" s="1216"/>
      <c r="AC264" s="1216"/>
      <c r="AD264" s="1216"/>
      <c r="AE264" s="1217"/>
      <c r="AF264" s="1219"/>
      <c r="AG264" s="1220"/>
      <c r="AH264" s="1220"/>
    </row>
    <row r="265" spans="25:34">
      <c r="Y265" s="1210" t="s">
        <v>233</v>
      </c>
      <c r="Z265" s="1212" t="s">
        <v>101</v>
      </c>
      <c r="AA265" s="1213"/>
      <c r="AB265" s="1213"/>
      <c r="AC265" s="1213"/>
      <c r="AD265" s="1213"/>
      <c r="AE265" s="1214"/>
      <c r="AF265" s="1218">
        <v>185.42</v>
      </c>
      <c r="AG265" s="1220" t="s">
        <v>1327</v>
      </c>
      <c r="AH265" s="1220" t="s">
        <v>1328</v>
      </c>
    </row>
    <row r="266" spans="25:34">
      <c r="Y266" s="1211"/>
      <c r="Z266" s="1215"/>
      <c r="AA266" s="1216"/>
      <c r="AB266" s="1216"/>
      <c r="AC266" s="1216"/>
      <c r="AD266" s="1216"/>
      <c r="AE266" s="1217"/>
      <c r="AF266" s="1219"/>
      <c r="AG266" s="1220"/>
      <c r="AH266" s="1220"/>
    </row>
    <row r="267" spans="25:34">
      <c r="Y267" s="1210" t="s">
        <v>234</v>
      </c>
      <c r="Z267" s="1212" t="s">
        <v>102</v>
      </c>
      <c r="AA267" s="1213"/>
      <c r="AB267" s="1213"/>
      <c r="AC267" s="1213"/>
      <c r="AD267" s="1213"/>
      <c r="AE267" s="1214"/>
      <c r="AF267" s="1218">
        <v>60.93</v>
      </c>
      <c r="AG267" s="1220" t="s">
        <v>1327</v>
      </c>
      <c r="AH267" s="1220" t="s">
        <v>1328</v>
      </c>
    </row>
    <row r="268" spans="25:34">
      <c r="Y268" s="1211"/>
      <c r="Z268" s="1215"/>
      <c r="AA268" s="1216"/>
      <c r="AB268" s="1216"/>
      <c r="AC268" s="1216"/>
      <c r="AD268" s="1216"/>
      <c r="AE268" s="1217"/>
      <c r="AF268" s="1219"/>
      <c r="AG268" s="1220"/>
      <c r="AH268" s="1220"/>
    </row>
    <row r="269" spans="25:34">
      <c r="Y269" s="1210" t="s">
        <v>235</v>
      </c>
      <c r="Z269" s="1212" t="s">
        <v>103</v>
      </c>
      <c r="AA269" s="1213"/>
      <c r="AB269" s="1213"/>
      <c r="AC269" s="1213"/>
      <c r="AD269" s="1213"/>
      <c r="AE269" s="1214"/>
      <c r="AF269" s="1218">
        <v>129.75</v>
      </c>
      <c r="AG269" s="1220" t="s">
        <v>1327</v>
      </c>
      <c r="AH269" s="1220" t="s">
        <v>1328</v>
      </c>
    </row>
    <row r="270" spans="25:34">
      <c r="Y270" s="1211"/>
      <c r="Z270" s="1215"/>
      <c r="AA270" s="1216"/>
      <c r="AB270" s="1216"/>
      <c r="AC270" s="1216"/>
      <c r="AD270" s="1216"/>
      <c r="AE270" s="1217"/>
      <c r="AF270" s="1219"/>
      <c r="AG270" s="1220"/>
      <c r="AH270" s="1220"/>
    </row>
    <row r="271" spans="25:34">
      <c r="Y271" s="1210" t="s">
        <v>236</v>
      </c>
      <c r="Z271" s="1212" t="s">
        <v>104</v>
      </c>
      <c r="AA271" s="1213"/>
      <c r="AB271" s="1213"/>
      <c r="AC271" s="1213"/>
      <c r="AD271" s="1213"/>
      <c r="AE271" s="1214"/>
      <c r="AF271" s="1218">
        <v>263.81</v>
      </c>
      <c r="AG271" s="1220" t="s">
        <v>1327</v>
      </c>
      <c r="AH271" s="1220" t="s">
        <v>1328</v>
      </c>
    </row>
    <row r="272" spans="25:34">
      <c r="Y272" s="1211"/>
      <c r="Z272" s="1215"/>
      <c r="AA272" s="1216"/>
      <c r="AB272" s="1216"/>
      <c r="AC272" s="1216"/>
      <c r="AD272" s="1216"/>
      <c r="AE272" s="1217"/>
      <c r="AF272" s="1219"/>
      <c r="AG272" s="1220"/>
      <c r="AH272" s="1220"/>
    </row>
    <row r="273" spans="25:34">
      <c r="Y273" s="1210" t="s">
        <v>237</v>
      </c>
      <c r="Z273" s="1212" t="s">
        <v>105</v>
      </c>
      <c r="AA273" s="1213"/>
      <c r="AB273" s="1213"/>
      <c r="AC273" s="1213"/>
      <c r="AD273" s="1213"/>
      <c r="AE273" s="1214"/>
      <c r="AF273" s="1218">
        <v>123.98</v>
      </c>
      <c r="AG273" s="1220" t="s">
        <v>1327</v>
      </c>
      <c r="AH273" s="1220" t="s">
        <v>1328</v>
      </c>
    </row>
    <row r="274" spans="25:34">
      <c r="Y274" s="1211"/>
      <c r="Z274" s="1215"/>
      <c r="AA274" s="1216"/>
      <c r="AB274" s="1216"/>
      <c r="AC274" s="1216"/>
      <c r="AD274" s="1216"/>
      <c r="AE274" s="1217"/>
      <c r="AF274" s="1219"/>
      <c r="AG274" s="1220"/>
      <c r="AH274" s="1220"/>
    </row>
    <row r="275" spans="25:34">
      <c r="Y275" s="1210" t="s">
        <v>238</v>
      </c>
      <c r="Z275" s="1212" t="s">
        <v>106</v>
      </c>
      <c r="AA275" s="1213"/>
      <c r="AB275" s="1213"/>
      <c r="AC275" s="1213"/>
      <c r="AD275" s="1213"/>
      <c r="AE275" s="1214"/>
      <c r="AF275" s="1218">
        <v>340.51</v>
      </c>
      <c r="AG275" s="1220" t="s">
        <v>1327</v>
      </c>
      <c r="AH275" s="1220" t="s">
        <v>1328</v>
      </c>
    </row>
    <row r="276" spans="25:34">
      <c r="Y276" s="1211"/>
      <c r="Z276" s="1215"/>
      <c r="AA276" s="1216"/>
      <c r="AB276" s="1216"/>
      <c r="AC276" s="1216"/>
      <c r="AD276" s="1216"/>
      <c r="AE276" s="1217"/>
      <c r="AF276" s="1219"/>
      <c r="AG276" s="1220"/>
      <c r="AH276" s="1220"/>
    </row>
    <row r="277" spans="25:34">
      <c r="Y277" s="1210" t="s">
        <v>239</v>
      </c>
      <c r="Z277" s="1237" t="s">
        <v>1278</v>
      </c>
      <c r="AA277" s="1238"/>
      <c r="AB277" s="1238"/>
      <c r="AC277" s="1238"/>
      <c r="AD277" s="1238"/>
      <c r="AE277" s="1239"/>
      <c r="AF277" s="1218">
        <v>844.92</v>
      </c>
      <c r="AG277" s="1220" t="s">
        <v>1327</v>
      </c>
      <c r="AH277" s="1220" t="s">
        <v>1328</v>
      </c>
    </row>
    <row r="278" spans="25:34">
      <c r="Y278" s="1211"/>
      <c r="Z278" s="1240"/>
      <c r="AA278" s="1241"/>
      <c r="AB278" s="1241"/>
      <c r="AC278" s="1241"/>
      <c r="AD278" s="1241"/>
      <c r="AE278" s="1242"/>
      <c r="AF278" s="1219"/>
      <c r="AG278" s="1220"/>
      <c r="AH278" s="1220"/>
    </row>
    <row r="279" spans="25:34" ht="15.75">
      <c r="Y279" s="1231" t="s">
        <v>108</v>
      </c>
      <c r="Z279" s="1232"/>
      <c r="AA279" s="1232"/>
      <c r="AB279" s="1232"/>
      <c r="AC279" s="1232"/>
      <c r="AD279" s="1232"/>
      <c r="AE279" s="1233"/>
      <c r="AF279" s="370">
        <f>SUM(AF280:AF285)</f>
        <v>2238.38</v>
      </c>
      <c r="AG279" s="559"/>
      <c r="AH279" s="559"/>
    </row>
    <row r="280" spans="25:34">
      <c r="Y280" s="1210" t="s">
        <v>240</v>
      </c>
      <c r="Z280" s="1212" t="s">
        <v>109</v>
      </c>
      <c r="AA280" s="1213"/>
      <c r="AB280" s="1213"/>
      <c r="AC280" s="1213"/>
      <c r="AD280" s="1213"/>
      <c r="AE280" s="1214"/>
      <c r="AF280" s="1229">
        <v>493.76</v>
      </c>
      <c r="AG280" s="1220" t="s">
        <v>1327</v>
      </c>
      <c r="AH280" s="1220" t="s">
        <v>1328</v>
      </c>
    </row>
    <row r="281" spans="25:34">
      <c r="Y281" s="1211"/>
      <c r="Z281" s="1215"/>
      <c r="AA281" s="1216"/>
      <c r="AB281" s="1216"/>
      <c r="AC281" s="1216"/>
      <c r="AD281" s="1216"/>
      <c r="AE281" s="1217"/>
      <c r="AF281" s="1230"/>
      <c r="AG281" s="1220"/>
      <c r="AH281" s="1220"/>
    </row>
    <row r="282" spans="25:34">
      <c r="Y282" s="1210" t="s">
        <v>241</v>
      </c>
      <c r="Z282" s="1212" t="s">
        <v>110</v>
      </c>
      <c r="AA282" s="1213"/>
      <c r="AB282" s="1213"/>
      <c r="AC282" s="1213"/>
      <c r="AD282" s="1213"/>
      <c r="AE282" s="1214"/>
      <c r="AF282" s="1229">
        <v>1100.55</v>
      </c>
      <c r="AG282" s="1220" t="s">
        <v>1327</v>
      </c>
      <c r="AH282" s="1220" t="s">
        <v>1328</v>
      </c>
    </row>
    <row r="283" spans="25:34">
      <c r="Y283" s="1211"/>
      <c r="Z283" s="1215"/>
      <c r="AA283" s="1216"/>
      <c r="AB283" s="1216"/>
      <c r="AC283" s="1216"/>
      <c r="AD283" s="1216"/>
      <c r="AE283" s="1217"/>
      <c r="AF283" s="1230"/>
      <c r="AG283" s="1220"/>
      <c r="AH283" s="1220"/>
    </row>
    <row r="284" spans="25:34">
      <c r="Y284" s="1210" t="s">
        <v>557</v>
      </c>
      <c r="Z284" s="1212" t="s">
        <v>1279</v>
      </c>
      <c r="AA284" s="1213"/>
      <c r="AB284" s="1213"/>
      <c r="AC284" s="1213"/>
      <c r="AD284" s="1213"/>
      <c r="AE284" s="1214"/>
      <c r="AF284" s="1229">
        <v>644.07000000000005</v>
      </c>
      <c r="AG284" s="1220" t="s">
        <v>1327</v>
      </c>
      <c r="AH284" s="1220" t="s">
        <v>1328</v>
      </c>
    </row>
    <row r="285" spans="25:34">
      <c r="Y285" s="1211"/>
      <c r="Z285" s="1234"/>
      <c r="AA285" s="1235"/>
      <c r="AB285" s="1235"/>
      <c r="AC285" s="1235"/>
      <c r="AD285" s="1235"/>
      <c r="AE285" s="1236"/>
      <c r="AF285" s="1230"/>
      <c r="AG285" s="1220"/>
      <c r="AH285" s="1220"/>
    </row>
    <row r="286" spans="25:34" s="198" customFormat="1" ht="15.75">
      <c r="Y286" s="1231" t="s">
        <v>111</v>
      </c>
      <c r="Z286" s="1232"/>
      <c r="AA286" s="1232"/>
      <c r="AB286" s="1232"/>
      <c r="AC286" s="1232"/>
      <c r="AD286" s="1232"/>
      <c r="AE286" s="1233"/>
      <c r="AF286" s="370">
        <f>SUM(AF287:AF296)</f>
        <v>1344.47</v>
      </c>
      <c r="AG286" s="559"/>
      <c r="AH286" s="559"/>
    </row>
    <row r="287" spans="25:34">
      <c r="Y287" s="1210" t="s">
        <v>242</v>
      </c>
      <c r="Z287" s="1212" t="s">
        <v>112</v>
      </c>
      <c r="AA287" s="1213"/>
      <c r="AB287" s="1213"/>
      <c r="AC287" s="1213"/>
      <c r="AD287" s="1213"/>
      <c r="AE287" s="1214"/>
      <c r="AF287" s="1218">
        <v>421.3</v>
      </c>
      <c r="AG287" s="1220" t="s">
        <v>1327</v>
      </c>
      <c r="AH287" s="1220" t="s">
        <v>1328</v>
      </c>
    </row>
    <row r="288" spans="25:34">
      <c r="Y288" s="1211"/>
      <c r="Z288" s="1215"/>
      <c r="AA288" s="1216"/>
      <c r="AB288" s="1216"/>
      <c r="AC288" s="1216"/>
      <c r="AD288" s="1216"/>
      <c r="AE288" s="1217"/>
      <c r="AF288" s="1219"/>
      <c r="AG288" s="1220"/>
      <c r="AH288" s="1220"/>
    </row>
    <row r="289" spans="25:34">
      <c r="Y289" s="1210" t="s">
        <v>243</v>
      </c>
      <c r="Z289" s="1212" t="s">
        <v>1280</v>
      </c>
      <c r="AA289" s="1213"/>
      <c r="AB289" s="1213"/>
      <c r="AC289" s="1213"/>
      <c r="AD289" s="1213"/>
      <c r="AE289" s="1214"/>
      <c r="AF289" s="1218">
        <v>138.84</v>
      </c>
      <c r="AG289" s="1220" t="s">
        <v>1327</v>
      </c>
      <c r="AH289" s="1220" t="s">
        <v>1328</v>
      </c>
    </row>
    <row r="290" spans="25:34">
      <c r="Y290" s="1211"/>
      <c r="Z290" s="1215"/>
      <c r="AA290" s="1216"/>
      <c r="AB290" s="1216"/>
      <c r="AC290" s="1216"/>
      <c r="AD290" s="1216"/>
      <c r="AE290" s="1217"/>
      <c r="AF290" s="1219"/>
      <c r="AG290" s="1220"/>
      <c r="AH290" s="1220"/>
    </row>
    <row r="291" spans="25:34">
      <c r="Y291" s="1210" t="s">
        <v>567</v>
      </c>
      <c r="Z291" s="1212" t="s">
        <v>115</v>
      </c>
      <c r="AA291" s="1213"/>
      <c r="AB291" s="1213"/>
      <c r="AC291" s="1213"/>
      <c r="AD291" s="1213"/>
      <c r="AE291" s="1214"/>
      <c r="AF291" s="1218">
        <v>70.94</v>
      </c>
      <c r="AG291" s="1220" t="s">
        <v>1327</v>
      </c>
      <c r="AH291" s="1220" t="s">
        <v>1328</v>
      </c>
    </row>
    <row r="292" spans="25:34">
      <c r="Y292" s="1211"/>
      <c r="Z292" s="1215"/>
      <c r="AA292" s="1216"/>
      <c r="AB292" s="1216"/>
      <c r="AC292" s="1216"/>
      <c r="AD292" s="1216"/>
      <c r="AE292" s="1217"/>
      <c r="AF292" s="1219"/>
      <c r="AG292" s="1220"/>
      <c r="AH292" s="1220"/>
    </row>
    <row r="293" spans="25:34">
      <c r="Y293" s="1210" t="s">
        <v>568</v>
      </c>
      <c r="Z293" s="1212" t="s">
        <v>1281</v>
      </c>
      <c r="AA293" s="1213"/>
      <c r="AB293" s="1213"/>
      <c r="AC293" s="1213"/>
      <c r="AD293" s="1213"/>
      <c r="AE293" s="1214"/>
      <c r="AF293" s="1218">
        <v>521.66999999999996</v>
      </c>
      <c r="AG293" s="1220" t="s">
        <v>1327</v>
      </c>
      <c r="AH293" s="1220" t="s">
        <v>1328</v>
      </c>
    </row>
    <row r="294" spans="25:34">
      <c r="Y294" s="1211"/>
      <c r="Z294" s="1215"/>
      <c r="AA294" s="1216"/>
      <c r="AB294" s="1216"/>
      <c r="AC294" s="1216"/>
      <c r="AD294" s="1216"/>
      <c r="AE294" s="1217"/>
      <c r="AF294" s="1219"/>
      <c r="AG294" s="1220"/>
      <c r="AH294" s="1220"/>
    </row>
    <row r="295" spans="25:34">
      <c r="Y295" s="1210" t="s">
        <v>569</v>
      </c>
      <c r="Z295" s="1212" t="s">
        <v>1282</v>
      </c>
      <c r="AA295" s="1213"/>
      <c r="AB295" s="1213"/>
      <c r="AC295" s="1213"/>
      <c r="AD295" s="1213"/>
      <c r="AE295" s="1214"/>
      <c r="AF295" s="1229">
        <v>191.72</v>
      </c>
      <c r="AG295" s="1220" t="s">
        <v>1327</v>
      </c>
      <c r="AH295" s="1220" t="s">
        <v>1328</v>
      </c>
    </row>
    <row r="296" spans="25:34">
      <c r="Y296" s="1211"/>
      <c r="Z296" s="1215"/>
      <c r="AA296" s="1216"/>
      <c r="AB296" s="1216"/>
      <c r="AC296" s="1216"/>
      <c r="AD296" s="1216"/>
      <c r="AE296" s="1217"/>
      <c r="AF296" s="1230"/>
      <c r="AG296" s="1220"/>
      <c r="AH296" s="1220"/>
    </row>
    <row r="297" spans="25:34" ht="15.75">
      <c r="Y297" s="1231" t="s">
        <v>113</v>
      </c>
      <c r="Z297" s="1232"/>
      <c r="AA297" s="1232"/>
      <c r="AB297" s="1232"/>
      <c r="AC297" s="1232"/>
      <c r="AD297" s="1232"/>
      <c r="AE297" s="1233"/>
      <c r="AF297" s="370">
        <f>SUM(AF298:AF305)</f>
        <v>8898.2100000000009</v>
      </c>
      <c r="AG297" s="559"/>
      <c r="AH297" s="559"/>
    </row>
    <row r="298" spans="25:34" s="198" customFormat="1">
      <c r="Y298" s="1210" t="s">
        <v>244</v>
      </c>
      <c r="Z298" s="1212" t="s">
        <v>114</v>
      </c>
      <c r="AA298" s="1213"/>
      <c r="AB298" s="1213"/>
      <c r="AC298" s="1213"/>
      <c r="AD298" s="1213"/>
      <c r="AE298" s="1214"/>
      <c r="AF298" s="1229">
        <v>2118.64</v>
      </c>
      <c r="AG298" s="1220" t="s">
        <v>1327</v>
      </c>
      <c r="AH298" s="1220" t="s">
        <v>1328</v>
      </c>
    </row>
    <row r="299" spans="25:34" s="198" customFormat="1">
      <c r="Y299" s="1211"/>
      <c r="Z299" s="1215"/>
      <c r="AA299" s="1216"/>
      <c r="AB299" s="1216"/>
      <c r="AC299" s="1216"/>
      <c r="AD299" s="1216"/>
      <c r="AE299" s="1217"/>
      <c r="AF299" s="1230"/>
      <c r="AG299" s="1220"/>
      <c r="AH299" s="1220"/>
    </row>
    <row r="300" spans="25:34" s="198" customFormat="1">
      <c r="Y300" s="1210" t="s">
        <v>245</v>
      </c>
      <c r="Z300" s="1212" t="s">
        <v>115</v>
      </c>
      <c r="AA300" s="1213"/>
      <c r="AB300" s="1213"/>
      <c r="AC300" s="1213"/>
      <c r="AD300" s="1213"/>
      <c r="AE300" s="1214"/>
      <c r="AF300" s="1229">
        <v>884.25</v>
      </c>
      <c r="AG300" s="1220" t="s">
        <v>1327</v>
      </c>
      <c r="AH300" s="1220" t="s">
        <v>1328</v>
      </c>
    </row>
    <row r="301" spans="25:34" s="198" customFormat="1">
      <c r="Y301" s="1211"/>
      <c r="Z301" s="1215"/>
      <c r="AA301" s="1216"/>
      <c r="AB301" s="1216"/>
      <c r="AC301" s="1216"/>
      <c r="AD301" s="1216"/>
      <c r="AE301" s="1217"/>
      <c r="AF301" s="1230"/>
      <c r="AG301" s="1220"/>
      <c r="AH301" s="1220"/>
    </row>
    <row r="302" spans="25:34" s="198" customFormat="1">
      <c r="Y302" s="1210" t="s">
        <v>246</v>
      </c>
      <c r="Z302" s="1212" t="s">
        <v>116</v>
      </c>
      <c r="AA302" s="1213"/>
      <c r="AB302" s="1213"/>
      <c r="AC302" s="1213"/>
      <c r="AD302" s="1213"/>
      <c r="AE302" s="1214"/>
      <c r="AF302" s="1229">
        <v>4330.37</v>
      </c>
      <c r="AG302" s="1220" t="s">
        <v>1327</v>
      </c>
      <c r="AH302" s="1220" t="s">
        <v>1328</v>
      </c>
    </row>
    <row r="303" spans="25:34" s="198" customFormat="1">
      <c r="Y303" s="1211"/>
      <c r="Z303" s="1215"/>
      <c r="AA303" s="1216"/>
      <c r="AB303" s="1216"/>
      <c r="AC303" s="1216"/>
      <c r="AD303" s="1216"/>
      <c r="AE303" s="1217"/>
      <c r="AF303" s="1230"/>
      <c r="AG303" s="1220"/>
      <c r="AH303" s="1220"/>
    </row>
    <row r="304" spans="25:34" s="198" customFormat="1">
      <c r="Y304" s="1210" t="s">
        <v>247</v>
      </c>
      <c r="Z304" s="1212" t="s">
        <v>117</v>
      </c>
      <c r="AA304" s="1213"/>
      <c r="AB304" s="1213"/>
      <c r="AC304" s="1213"/>
      <c r="AD304" s="1213"/>
      <c r="AE304" s="1214"/>
      <c r="AF304" s="1229">
        <v>1564.95</v>
      </c>
      <c r="AG304" s="1220" t="s">
        <v>1327</v>
      </c>
      <c r="AH304" s="1220" t="s">
        <v>1328</v>
      </c>
    </row>
    <row r="305" spans="25:34" s="198" customFormat="1">
      <c r="Y305" s="1211"/>
      <c r="Z305" s="1215"/>
      <c r="AA305" s="1216"/>
      <c r="AB305" s="1216"/>
      <c r="AC305" s="1216"/>
      <c r="AD305" s="1216"/>
      <c r="AE305" s="1217"/>
      <c r="AF305" s="1230"/>
      <c r="AG305" s="1220"/>
      <c r="AH305" s="1220"/>
    </row>
    <row r="306" spans="25:34" ht="15.75">
      <c r="Y306" s="1231" t="s">
        <v>118</v>
      </c>
      <c r="Z306" s="1232"/>
      <c r="AA306" s="1232"/>
      <c r="AB306" s="1232"/>
      <c r="AC306" s="1232"/>
      <c r="AD306" s="1232"/>
      <c r="AE306" s="1233"/>
      <c r="AF306" s="370">
        <f>SUM(AF307:AF328)</f>
        <v>11594.55</v>
      </c>
      <c r="AG306" s="559"/>
      <c r="AH306" s="559"/>
    </row>
    <row r="307" spans="25:34">
      <c r="Y307" s="1210" t="s">
        <v>248</v>
      </c>
      <c r="Z307" s="1212" t="s">
        <v>119</v>
      </c>
      <c r="AA307" s="1213"/>
      <c r="AB307" s="1213"/>
      <c r="AC307" s="1213"/>
      <c r="AD307" s="1213"/>
      <c r="AE307" s="1214"/>
      <c r="AF307" s="1218">
        <v>254.24</v>
      </c>
      <c r="AG307" s="1220" t="s">
        <v>1327</v>
      </c>
      <c r="AH307" s="1220" t="s">
        <v>1328</v>
      </c>
    </row>
    <row r="308" spans="25:34">
      <c r="Y308" s="1211"/>
      <c r="Z308" s="1215"/>
      <c r="AA308" s="1216"/>
      <c r="AB308" s="1216"/>
      <c r="AC308" s="1216"/>
      <c r="AD308" s="1216"/>
      <c r="AE308" s="1217"/>
      <c r="AF308" s="1219"/>
      <c r="AG308" s="1220"/>
      <c r="AH308" s="1220"/>
    </row>
    <row r="309" spans="25:34">
      <c r="Y309" s="1210" t="s">
        <v>249</v>
      </c>
      <c r="Z309" s="1212" t="s">
        <v>120</v>
      </c>
      <c r="AA309" s="1213"/>
      <c r="AB309" s="1213"/>
      <c r="AC309" s="1213"/>
      <c r="AD309" s="1213"/>
      <c r="AE309" s="1214"/>
      <c r="AF309" s="1218">
        <v>610.59</v>
      </c>
      <c r="AG309" s="1220" t="s">
        <v>1327</v>
      </c>
      <c r="AH309" s="1220" t="s">
        <v>1328</v>
      </c>
    </row>
    <row r="310" spans="25:34">
      <c r="Y310" s="1211"/>
      <c r="Z310" s="1215"/>
      <c r="AA310" s="1216"/>
      <c r="AB310" s="1216"/>
      <c r="AC310" s="1216"/>
      <c r="AD310" s="1216"/>
      <c r="AE310" s="1217"/>
      <c r="AF310" s="1219"/>
      <c r="AG310" s="1220"/>
      <c r="AH310" s="1220"/>
    </row>
    <row r="311" spans="25:34">
      <c r="Y311" s="1210" t="s">
        <v>250</v>
      </c>
      <c r="Z311" s="1212" t="s">
        <v>121</v>
      </c>
      <c r="AA311" s="1213"/>
      <c r="AB311" s="1213"/>
      <c r="AC311" s="1213"/>
      <c r="AD311" s="1213"/>
      <c r="AE311" s="1214"/>
      <c r="AF311" s="1218">
        <v>539.41</v>
      </c>
      <c r="AG311" s="1220" t="s">
        <v>1327</v>
      </c>
      <c r="AH311" s="1220" t="s">
        <v>1328</v>
      </c>
    </row>
    <row r="312" spans="25:34">
      <c r="Y312" s="1211"/>
      <c r="Z312" s="1215"/>
      <c r="AA312" s="1216"/>
      <c r="AB312" s="1216"/>
      <c r="AC312" s="1216"/>
      <c r="AD312" s="1216"/>
      <c r="AE312" s="1217"/>
      <c r="AF312" s="1219"/>
      <c r="AG312" s="1220"/>
      <c r="AH312" s="1220"/>
    </row>
    <row r="313" spans="25:34">
      <c r="Y313" s="1210" t="s">
        <v>251</v>
      </c>
      <c r="Z313" s="1212" t="s">
        <v>1283</v>
      </c>
      <c r="AA313" s="1213"/>
      <c r="AB313" s="1213"/>
      <c r="AC313" s="1213"/>
      <c r="AD313" s="1213"/>
      <c r="AE313" s="1214"/>
      <c r="AF313" s="1229">
        <v>949.15</v>
      </c>
      <c r="AG313" s="1220" t="s">
        <v>1327</v>
      </c>
      <c r="AH313" s="1220" t="s">
        <v>1328</v>
      </c>
    </row>
    <row r="314" spans="25:34">
      <c r="Y314" s="1211"/>
      <c r="Z314" s="1215"/>
      <c r="AA314" s="1216"/>
      <c r="AB314" s="1216"/>
      <c r="AC314" s="1216"/>
      <c r="AD314" s="1216"/>
      <c r="AE314" s="1217"/>
      <c r="AF314" s="1230"/>
      <c r="AG314" s="1220"/>
      <c r="AH314" s="1220"/>
    </row>
    <row r="315" spans="25:34">
      <c r="Y315" s="1210" t="s">
        <v>252</v>
      </c>
      <c r="Z315" s="1212" t="s">
        <v>122</v>
      </c>
      <c r="AA315" s="1213"/>
      <c r="AB315" s="1213"/>
      <c r="AC315" s="1213"/>
      <c r="AD315" s="1213"/>
      <c r="AE315" s="1214"/>
      <c r="AF315" s="1218">
        <v>381.36</v>
      </c>
      <c r="AG315" s="1220" t="s">
        <v>1327</v>
      </c>
      <c r="AH315" s="1220" t="s">
        <v>1328</v>
      </c>
    </row>
    <row r="316" spans="25:34">
      <c r="Y316" s="1211"/>
      <c r="Z316" s="1215"/>
      <c r="AA316" s="1216"/>
      <c r="AB316" s="1216"/>
      <c r="AC316" s="1216"/>
      <c r="AD316" s="1216"/>
      <c r="AE316" s="1217"/>
      <c r="AF316" s="1219"/>
      <c r="AG316" s="1220"/>
      <c r="AH316" s="1220"/>
    </row>
    <row r="317" spans="25:34">
      <c r="Y317" s="1210" t="s">
        <v>253</v>
      </c>
      <c r="Z317" s="1212" t="s">
        <v>123</v>
      </c>
      <c r="AA317" s="1213"/>
      <c r="AB317" s="1213"/>
      <c r="AC317" s="1213"/>
      <c r="AD317" s="1213"/>
      <c r="AE317" s="1214"/>
      <c r="AF317" s="1229">
        <v>498.89</v>
      </c>
      <c r="AG317" s="1220" t="s">
        <v>1327</v>
      </c>
      <c r="AH317" s="1220" t="s">
        <v>1328</v>
      </c>
    </row>
    <row r="318" spans="25:34">
      <c r="Y318" s="1211"/>
      <c r="Z318" s="1215"/>
      <c r="AA318" s="1216"/>
      <c r="AB318" s="1216"/>
      <c r="AC318" s="1216"/>
      <c r="AD318" s="1216"/>
      <c r="AE318" s="1217"/>
      <c r="AF318" s="1230"/>
      <c r="AG318" s="1220"/>
      <c r="AH318" s="1220"/>
    </row>
    <row r="319" spans="25:34">
      <c r="Y319" s="1210" t="s">
        <v>254</v>
      </c>
      <c r="Z319" s="1212" t="s">
        <v>1284</v>
      </c>
      <c r="AA319" s="1213"/>
      <c r="AB319" s="1213"/>
      <c r="AC319" s="1213"/>
      <c r="AD319" s="1213"/>
      <c r="AE319" s="1214"/>
      <c r="AF319" s="1218">
        <v>18.11</v>
      </c>
      <c r="AG319" s="1220" t="s">
        <v>1327</v>
      </c>
      <c r="AH319" s="1220" t="s">
        <v>1328</v>
      </c>
    </row>
    <row r="320" spans="25:34">
      <c r="Y320" s="1211"/>
      <c r="Z320" s="1215"/>
      <c r="AA320" s="1216"/>
      <c r="AB320" s="1216"/>
      <c r="AC320" s="1216"/>
      <c r="AD320" s="1216"/>
      <c r="AE320" s="1217"/>
      <c r="AF320" s="1219"/>
      <c r="AG320" s="1220"/>
      <c r="AH320" s="1220"/>
    </row>
    <row r="321" spans="25:34">
      <c r="Y321" s="1210" t="s">
        <v>255</v>
      </c>
      <c r="Z321" s="1212" t="s">
        <v>1285</v>
      </c>
      <c r="AA321" s="1213"/>
      <c r="AB321" s="1213"/>
      <c r="AC321" s="1213"/>
      <c r="AD321" s="1213"/>
      <c r="AE321" s="1214"/>
      <c r="AF321" s="1229">
        <v>1949.15</v>
      </c>
      <c r="AG321" s="1220" t="s">
        <v>1327</v>
      </c>
      <c r="AH321" s="1220" t="s">
        <v>1328</v>
      </c>
    </row>
    <row r="322" spans="25:34">
      <c r="Y322" s="1211"/>
      <c r="Z322" s="1215"/>
      <c r="AA322" s="1216"/>
      <c r="AB322" s="1216"/>
      <c r="AC322" s="1216"/>
      <c r="AD322" s="1216"/>
      <c r="AE322" s="1217"/>
      <c r="AF322" s="1230"/>
      <c r="AG322" s="1220"/>
      <c r="AH322" s="1220"/>
    </row>
    <row r="323" spans="25:34">
      <c r="Y323" s="1210" t="s">
        <v>256</v>
      </c>
      <c r="Z323" s="1212" t="s">
        <v>1286</v>
      </c>
      <c r="AA323" s="1213"/>
      <c r="AB323" s="1213"/>
      <c r="AC323" s="1213"/>
      <c r="AD323" s="1213"/>
      <c r="AE323" s="1214"/>
      <c r="AF323" s="1229">
        <v>1101.69</v>
      </c>
      <c r="AG323" s="1220" t="s">
        <v>1327</v>
      </c>
      <c r="AH323" s="1220" t="s">
        <v>1328</v>
      </c>
    </row>
    <row r="324" spans="25:34">
      <c r="Y324" s="1211"/>
      <c r="Z324" s="1215"/>
      <c r="AA324" s="1216"/>
      <c r="AB324" s="1216"/>
      <c r="AC324" s="1216"/>
      <c r="AD324" s="1216"/>
      <c r="AE324" s="1217"/>
      <c r="AF324" s="1230"/>
      <c r="AG324" s="1220"/>
      <c r="AH324" s="1220"/>
    </row>
    <row r="325" spans="25:34">
      <c r="Y325" s="1210" t="s">
        <v>257</v>
      </c>
      <c r="Z325" s="1212" t="s">
        <v>1287</v>
      </c>
      <c r="AA325" s="1213"/>
      <c r="AB325" s="1213"/>
      <c r="AC325" s="1213"/>
      <c r="AD325" s="1213"/>
      <c r="AE325" s="1214"/>
      <c r="AF325" s="1218">
        <v>3110.17</v>
      </c>
      <c r="AG325" s="1220" t="s">
        <v>1327</v>
      </c>
      <c r="AH325" s="1220" t="s">
        <v>1328</v>
      </c>
    </row>
    <row r="326" spans="25:34">
      <c r="Y326" s="1211"/>
      <c r="Z326" s="1215"/>
      <c r="AA326" s="1216"/>
      <c r="AB326" s="1216"/>
      <c r="AC326" s="1216"/>
      <c r="AD326" s="1216"/>
      <c r="AE326" s="1217"/>
      <c r="AF326" s="1219"/>
      <c r="AG326" s="1220"/>
      <c r="AH326" s="1220"/>
    </row>
    <row r="327" spans="25:34">
      <c r="Y327" s="1210" t="s">
        <v>258</v>
      </c>
      <c r="Z327" s="1212" t="s">
        <v>1288</v>
      </c>
      <c r="AA327" s="1213"/>
      <c r="AB327" s="1213"/>
      <c r="AC327" s="1213"/>
      <c r="AD327" s="1213"/>
      <c r="AE327" s="1214"/>
      <c r="AF327" s="1218">
        <v>2181.79</v>
      </c>
      <c r="AG327" s="1220" t="s">
        <v>1327</v>
      </c>
      <c r="AH327" s="1220" t="s">
        <v>1328</v>
      </c>
    </row>
    <row r="328" spans="25:34">
      <c r="Y328" s="1211"/>
      <c r="Z328" s="1215"/>
      <c r="AA328" s="1216"/>
      <c r="AB328" s="1216"/>
      <c r="AC328" s="1216"/>
      <c r="AD328" s="1216"/>
      <c r="AE328" s="1217"/>
      <c r="AF328" s="1219"/>
      <c r="AG328" s="1220"/>
      <c r="AH328" s="1220"/>
    </row>
    <row r="329" spans="25:34" s="198" customFormat="1" ht="15.75" hidden="1">
      <c r="Y329" s="1221" t="s">
        <v>124</v>
      </c>
      <c r="Z329" s="1222"/>
      <c r="AA329" s="1222"/>
      <c r="AB329" s="1222"/>
      <c r="AC329" s="1222"/>
      <c r="AD329" s="1222"/>
      <c r="AE329" s="1223"/>
      <c r="AF329" s="370">
        <f>SUM(AF330:AF342)</f>
        <v>26100.001</v>
      </c>
      <c r="AG329" s="559"/>
      <c r="AH329" s="559"/>
    </row>
    <row r="330" spans="25:34" hidden="1">
      <c r="Y330" s="591" t="s">
        <v>259</v>
      </c>
      <c r="Z330" s="1188" t="s">
        <v>125</v>
      </c>
      <c r="AA330" s="1189"/>
      <c r="AB330" s="1189"/>
      <c r="AC330" s="1189"/>
      <c r="AD330" s="1189"/>
      <c r="AE330" s="1190"/>
      <c r="AF330" s="564">
        <f>2891-29.67</f>
        <v>2861.33</v>
      </c>
      <c r="AG330" s="578" t="s">
        <v>1327</v>
      </c>
      <c r="AH330" s="592" t="s">
        <v>1328</v>
      </c>
    </row>
    <row r="331" spans="25:34" hidden="1">
      <c r="Y331" s="591" t="s">
        <v>260</v>
      </c>
      <c r="Z331" s="1188" t="s">
        <v>1289</v>
      </c>
      <c r="AA331" s="1189"/>
      <c r="AB331" s="1189"/>
      <c r="AC331" s="1189"/>
      <c r="AD331" s="1189"/>
      <c r="AE331" s="1190"/>
      <c r="AF331" s="564">
        <v>3433.8</v>
      </c>
      <c r="AG331" s="578" t="s">
        <v>1327</v>
      </c>
      <c r="AH331" s="592" t="s">
        <v>1328</v>
      </c>
    </row>
    <row r="332" spans="25:34" hidden="1">
      <c r="Y332" s="591" t="s">
        <v>261</v>
      </c>
      <c r="Z332" s="1188" t="s">
        <v>127</v>
      </c>
      <c r="AA332" s="1189"/>
      <c r="AB332" s="1189"/>
      <c r="AC332" s="1189"/>
      <c r="AD332" s="1189"/>
      <c r="AE332" s="1190"/>
      <c r="AF332" s="564">
        <v>1200</v>
      </c>
      <c r="AG332" s="578" t="s">
        <v>1327</v>
      </c>
      <c r="AH332" s="592" t="s">
        <v>1328</v>
      </c>
    </row>
    <row r="333" spans="25:34" hidden="1">
      <c r="Y333" s="591" t="s">
        <v>262</v>
      </c>
      <c r="Z333" s="1224" t="s">
        <v>1386</v>
      </c>
      <c r="AA333" s="1225"/>
      <c r="AB333" s="1225"/>
      <c r="AC333" s="1225"/>
      <c r="AD333" s="1225"/>
      <c r="AE333" s="1226"/>
      <c r="AF333" s="564">
        <v>3763.12</v>
      </c>
      <c r="AG333" s="578" t="s">
        <v>1327</v>
      </c>
      <c r="AH333" s="592" t="s">
        <v>1328</v>
      </c>
    </row>
    <row r="334" spans="25:34" hidden="1">
      <c r="Y334" s="563" t="s">
        <v>263</v>
      </c>
      <c r="Z334" s="1224" t="s">
        <v>1290</v>
      </c>
      <c r="AA334" s="1227"/>
      <c r="AB334" s="1227"/>
      <c r="AC334" s="1227"/>
      <c r="AD334" s="1227"/>
      <c r="AE334" s="1228"/>
      <c r="AF334" s="565">
        <v>800</v>
      </c>
      <c r="AG334" s="578" t="s">
        <v>1327</v>
      </c>
      <c r="AH334" s="592" t="s">
        <v>1328</v>
      </c>
    </row>
    <row r="335" spans="25:34" hidden="1">
      <c r="Y335" s="563" t="s">
        <v>264</v>
      </c>
      <c r="Z335" s="1224" t="s">
        <v>1291</v>
      </c>
      <c r="AA335" s="1227"/>
      <c r="AB335" s="1227"/>
      <c r="AC335" s="1227"/>
      <c r="AD335" s="1227"/>
      <c r="AE335" s="1228"/>
      <c r="AF335" s="565">
        <v>400</v>
      </c>
      <c r="AG335" s="578" t="s">
        <v>1327</v>
      </c>
      <c r="AH335" s="592" t="s">
        <v>1328</v>
      </c>
    </row>
    <row r="336" spans="25:34" hidden="1">
      <c r="Y336" s="563" t="s">
        <v>265</v>
      </c>
      <c r="Z336" s="1188" t="s">
        <v>1292</v>
      </c>
      <c r="AA336" s="1189"/>
      <c r="AB336" s="1189"/>
      <c r="AC336" s="1189"/>
      <c r="AD336" s="1189"/>
      <c r="AE336" s="1190"/>
      <c r="AF336" s="565">
        <v>6412.05</v>
      </c>
      <c r="AG336" s="578" t="s">
        <v>1327</v>
      </c>
      <c r="AH336" s="592" t="s">
        <v>1328</v>
      </c>
    </row>
    <row r="337" spans="25:34" hidden="1">
      <c r="Y337" s="591" t="s">
        <v>266</v>
      </c>
      <c r="Z337" s="1188" t="s">
        <v>128</v>
      </c>
      <c r="AA337" s="1189"/>
      <c r="AB337" s="1189"/>
      <c r="AC337" s="1189"/>
      <c r="AD337" s="1189"/>
      <c r="AE337" s="1190"/>
      <c r="AF337" s="564">
        <v>2200</v>
      </c>
      <c r="AG337" s="578" t="s">
        <v>1327</v>
      </c>
      <c r="AH337" s="592" t="s">
        <v>1328</v>
      </c>
    </row>
    <row r="338" spans="25:34" hidden="1">
      <c r="Y338" s="591" t="s">
        <v>267</v>
      </c>
      <c r="Z338" s="1188" t="s">
        <v>129</v>
      </c>
      <c r="AA338" s="1189"/>
      <c r="AB338" s="1189"/>
      <c r="AC338" s="1189"/>
      <c r="AD338" s="1189"/>
      <c r="AE338" s="1190"/>
      <c r="AF338" s="564">
        <v>1800</v>
      </c>
      <c r="AG338" s="578" t="s">
        <v>1327</v>
      </c>
      <c r="AH338" s="592" t="s">
        <v>1328</v>
      </c>
    </row>
    <row r="339" spans="25:34" hidden="1">
      <c r="Y339" s="591" t="s">
        <v>268</v>
      </c>
      <c r="Z339" s="1188" t="s">
        <v>130</v>
      </c>
      <c r="AA339" s="1189"/>
      <c r="AB339" s="1189"/>
      <c r="AC339" s="1189"/>
      <c r="AD339" s="1189"/>
      <c r="AE339" s="1190"/>
      <c r="AF339" s="593">
        <v>800.04</v>
      </c>
      <c r="AG339" s="578" t="s">
        <v>1327</v>
      </c>
      <c r="AH339" s="592" t="s">
        <v>1328</v>
      </c>
    </row>
    <row r="340" spans="25:34" hidden="1">
      <c r="Y340" s="591" t="s">
        <v>269</v>
      </c>
      <c r="Z340" s="1188" t="s">
        <v>131</v>
      </c>
      <c r="AA340" s="1189"/>
      <c r="AB340" s="1189"/>
      <c r="AC340" s="1189"/>
      <c r="AD340" s="1189"/>
      <c r="AE340" s="1190"/>
      <c r="AF340" s="564">
        <v>1200</v>
      </c>
      <c r="AG340" s="578" t="s">
        <v>1327</v>
      </c>
      <c r="AH340" s="592" t="s">
        <v>1328</v>
      </c>
    </row>
    <row r="341" spans="25:34" hidden="1">
      <c r="Y341" s="591" t="s">
        <v>1298</v>
      </c>
      <c r="Z341" s="1188" t="s">
        <v>132</v>
      </c>
      <c r="AA341" s="1189"/>
      <c r="AB341" s="1189"/>
      <c r="AC341" s="1189"/>
      <c r="AD341" s="1189"/>
      <c r="AE341" s="1190"/>
      <c r="AF341" s="593">
        <v>750</v>
      </c>
      <c r="AG341" s="578" t="s">
        <v>1327</v>
      </c>
      <c r="AH341" s="592" t="s">
        <v>1328</v>
      </c>
    </row>
    <row r="342" spans="25:34" hidden="1">
      <c r="Y342" s="594" t="s">
        <v>1299</v>
      </c>
      <c r="Z342" s="1191" t="s">
        <v>1293</v>
      </c>
      <c r="AA342" s="1123"/>
      <c r="AB342" s="1123"/>
      <c r="AC342" s="1123"/>
      <c r="AD342" s="1123"/>
      <c r="AE342" s="1124"/>
      <c r="AF342" s="595">
        <v>479.661</v>
      </c>
      <c r="AG342" s="578" t="s">
        <v>1327</v>
      </c>
      <c r="AH342" s="592" t="s">
        <v>1328</v>
      </c>
    </row>
    <row r="343" spans="25:34" ht="15.75">
      <c r="Y343" s="1192" t="s">
        <v>1297</v>
      </c>
      <c r="Z343" s="1193"/>
      <c r="AA343" s="1193"/>
      <c r="AB343" s="1193"/>
      <c r="AC343" s="1193"/>
      <c r="AD343" s="1193"/>
      <c r="AE343" s="1194"/>
      <c r="AF343" s="10">
        <f>AF7+AF306+0.01</f>
        <v>80951.529999999984</v>
      </c>
      <c r="AG343" s="596"/>
      <c r="AH343" s="597"/>
    </row>
    <row r="344" spans="25:34" ht="18.75">
      <c r="Y344" s="1195" t="s">
        <v>319</v>
      </c>
      <c r="Z344" s="1196"/>
      <c r="AA344" s="1196"/>
      <c r="AB344" s="1196"/>
      <c r="AC344" s="1196"/>
      <c r="AD344" s="1196"/>
      <c r="AE344" s="1196"/>
      <c r="AF344" s="1196"/>
      <c r="AG344" s="1196"/>
      <c r="AH344" s="1197"/>
    </row>
    <row r="345" spans="25:34" ht="15.75" customHeight="1">
      <c r="Y345" s="1198" t="s">
        <v>632</v>
      </c>
      <c r="Z345" s="1199"/>
      <c r="AA345" s="1199"/>
      <c r="AB345" s="1199"/>
      <c r="AC345" s="1199"/>
      <c r="AD345" s="1199"/>
      <c r="AE345" s="1200"/>
      <c r="AF345" s="54">
        <v>53295.309322033878</v>
      </c>
      <c r="AG345" s="53"/>
      <c r="AH345" s="53"/>
    </row>
    <row r="346" spans="25:34" ht="15.75">
      <c r="Y346" s="1201" t="s">
        <v>12</v>
      </c>
      <c r="Z346" s="1202"/>
      <c r="AA346" s="1202"/>
      <c r="AB346" s="1202"/>
      <c r="AC346" s="1202"/>
      <c r="AD346" s="1202"/>
      <c r="AE346" s="1203"/>
      <c r="AF346" s="407">
        <v>16940.019161016953</v>
      </c>
      <c r="AG346" s="51"/>
      <c r="AH346" s="52"/>
    </row>
    <row r="347" spans="25:34" ht="15" customHeight="1">
      <c r="Y347" s="1086" t="s">
        <v>137</v>
      </c>
      <c r="Z347" s="1082" t="s">
        <v>493</v>
      </c>
      <c r="AA347" s="1083"/>
      <c r="AB347" s="1083"/>
      <c r="AC347" s="1083"/>
      <c r="AD347" s="1083"/>
      <c r="AE347" s="1084"/>
      <c r="AF347" s="1165">
        <v>1754.7457627118645</v>
      </c>
      <c r="AG347" s="1185" t="s">
        <v>494</v>
      </c>
      <c r="AH347" s="1185" t="s">
        <v>495</v>
      </c>
    </row>
    <row r="348" spans="25:34">
      <c r="Y348" s="1088"/>
      <c r="Z348" s="361" t="s">
        <v>438</v>
      </c>
      <c r="AA348" s="408">
        <v>200</v>
      </c>
      <c r="AB348" s="408" t="s">
        <v>496</v>
      </c>
      <c r="AC348" s="409" t="s">
        <v>497</v>
      </c>
      <c r="AD348" s="410">
        <v>900</v>
      </c>
      <c r="AE348" s="411" t="s">
        <v>440</v>
      </c>
      <c r="AF348" s="1167"/>
      <c r="AG348" s="1186"/>
      <c r="AH348" s="1186"/>
    </row>
    <row r="349" spans="25:34" ht="15" customHeight="1">
      <c r="Y349" s="1204" t="s">
        <v>138</v>
      </c>
      <c r="Z349" s="1082" t="s">
        <v>499</v>
      </c>
      <c r="AA349" s="1083"/>
      <c r="AB349" s="1083"/>
      <c r="AC349" s="1083"/>
      <c r="AD349" s="1083"/>
      <c r="AE349" s="1084"/>
      <c r="AF349" s="1165">
        <v>697.76525423728822</v>
      </c>
      <c r="AG349" s="1185" t="s">
        <v>494</v>
      </c>
      <c r="AH349" s="1185" t="s">
        <v>500</v>
      </c>
    </row>
    <row r="350" spans="25:34">
      <c r="Y350" s="1205"/>
      <c r="Z350" s="364" t="s">
        <v>438</v>
      </c>
      <c r="AA350" s="35">
        <v>200</v>
      </c>
      <c r="AB350" s="35" t="s">
        <v>496</v>
      </c>
      <c r="AC350" s="36" t="s">
        <v>497</v>
      </c>
      <c r="AD350" s="938">
        <v>110</v>
      </c>
      <c r="AE350" s="37" t="s">
        <v>440</v>
      </c>
      <c r="AF350" s="1166"/>
      <c r="AG350" s="1207"/>
      <c r="AH350" s="1208"/>
    </row>
    <row r="351" spans="25:34">
      <c r="Y351" s="1206"/>
      <c r="Z351" s="361" t="s">
        <v>438</v>
      </c>
      <c r="AA351" s="408">
        <v>300</v>
      </c>
      <c r="AB351" s="408" t="s">
        <v>496</v>
      </c>
      <c r="AC351" s="409" t="s">
        <v>497</v>
      </c>
      <c r="AD351" s="410">
        <v>130</v>
      </c>
      <c r="AE351" s="411" t="s">
        <v>440</v>
      </c>
      <c r="AF351" s="1167"/>
      <c r="AG351" s="1186"/>
      <c r="AH351" s="1209"/>
    </row>
    <row r="352" spans="25:34" ht="15" customHeight="1">
      <c r="Y352" s="1164" t="s">
        <v>139</v>
      </c>
      <c r="Z352" s="1082" t="s">
        <v>1218</v>
      </c>
      <c r="AA352" s="1083"/>
      <c r="AB352" s="1083"/>
      <c r="AC352" s="1083"/>
      <c r="AD352" s="1083"/>
      <c r="AE352" s="1084"/>
      <c r="AF352" s="1165">
        <v>270.72203389830509</v>
      </c>
      <c r="AG352" s="1168" t="s">
        <v>494</v>
      </c>
      <c r="AH352" s="1168" t="s">
        <v>500</v>
      </c>
    </row>
    <row r="353" spans="25:34">
      <c r="Y353" s="1164"/>
      <c r="Z353" s="361" t="s">
        <v>438</v>
      </c>
      <c r="AA353" s="408">
        <v>100</v>
      </c>
      <c r="AB353" s="408" t="s">
        <v>496</v>
      </c>
      <c r="AC353" s="409" t="s">
        <v>497</v>
      </c>
      <c r="AD353" s="410">
        <v>120</v>
      </c>
      <c r="AE353" s="411" t="s">
        <v>440</v>
      </c>
      <c r="AF353" s="1167"/>
      <c r="AG353" s="1168"/>
      <c r="AH353" s="1168"/>
    </row>
    <row r="354" spans="25:34" ht="15" customHeight="1">
      <c r="Y354" s="1164" t="s">
        <v>136</v>
      </c>
      <c r="Z354" s="1082" t="s">
        <v>501</v>
      </c>
      <c r="AA354" s="1083"/>
      <c r="AB354" s="1083"/>
      <c r="AC354" s="1083"/>
      <c r="AD354" s="1083"/>
      <c r="AE354" s="1084"/>
      <c r="AF354" s="1187">
        <v>932.25677966101705</v>
      </c>
      <c r="AG354" s="1168" t="s">
        <v>494</v>
      </c>
      <c r="AH354" s="1168" t="s">
        <v>500</v>
      </c>
    </row>
    <row r="355" spans="25:34">
      <c r="Y355" s="1164"/>
      <c r="Z355" s="361" t="s">
        <v>438</v>
      </c>
      <c r="AA355" s="408">
        <v>150</v>
      </c>
      <c r="AB355" s="408" t="s">
        <v>496</v>
      </c>
      <c r="AC355" s="409" t="s">
        <v>497</v>
      </c>
      <c r="AD355" s="410">
        <v>270</v>
      </c>
      <c r="AE355" s="411" t="s">
        <v>440</v>
      </c>
      <c r="AF355" s="1187"/>
      <c r="AG355" s="1168"/>
      <c r="AH355" s="1168"/>
    </row>
    <row r="356" spans="25:34" ht="15" customHeight="1">
      <c r="Y356" s="1164" t="s">
        <v>140</v>
      </c>
      <c r="Z356" s="1082" t="s">
        <v>502</v>
      </c>
      <c r="AA356" s="1083"/>
      <c r="AB356" s="1083"/>
      <c r="AC356" s="1083"/>
      <c r="AD356" s="1083"/>
      <c r="AE356" s="1084"/>
      <c r="AF356" s="1187">
        <v>5627.2296610169496</v>
      </c>
      <c r="AG356" s="1168" t="s">
        <v>494</v>
      </c>
      <c r="AH356" s="1168" t="s">
        <v>498</v>
      </c>
    </row>
    <row r="357" spans="25:34">
      <c r="Y357" s="1164"/>
      <c r="Z357" s="364" t="s">
        <v>438</v>
      </c>
      <c r="AA357" s="35">
        <v>150</v>
      </c>
      <c r="AB357" s="35" t="s">
        <v>496</v>
      </c>
      <c r="AC357" s="36" t="s">
        <v>497</v>
      </c>
      <c r="AD357" s="938">
        <v>425</v>
      </c>
      <c r="AE357" s="37" t="s">
        <v>440</v>
      </c>
      <c r="AF357" s="1187"/>
      <c r="AG357" s="1168"/>
      <c r="AH357" s="1168"/>
    </row>
    <row r="358" spans="25:34">
      <c r="Y358" s="1164"/>
      <c r="Z358" s="361" t="s">
        <v>438</v>
      </c>
      <c r="AA358" s="408">
        <v>100</v>
      </c>
      <c r="AB358" s="408" t="s">
        <v>496</v>
      </c>
      <c r="AC358" s="409" t="s">
        <v>497</v>
      </c>
      <c r="AD358" s="410">
        <v>180</v>
      </c>
      <c r="AE358" s="411" t="s">
        <v>440</v>
      </c>
      <c r="AF358" s="1187"/>
      <c r="AG358" s="1168"/>
      <c r="AH358" s="1168"/>
    </row>
    <row r="359" spans="25:34" ht="15" customHeight="1">
      <c r="Y359" s="1164" t="s">
        <v>141</v>
      </c>
      <c r="Z359" s="1082" t="s">
        <v>503</v>
      </c>
      <c r="AA359" s="1083"/>
      <c r="AB359" s="1083"/>
      <c r="AC359" s="1083"/>
      <c r="AD359" s="1083"/>
      <c r="AE359" s="1084"/>
      <c r="AF359" s="1187">
        <v>221.0728813559322</v>
      </c>
      <c r="AG359" s="1168" t="s">
        <v>494</v>
      </c>
      <c r="AH359" s="1168" t="s">
        <v>498</v>
      </c>
    </row>
    <row r="360" spans="25:34">
      <c r="Y360" s="1164"/>
      <c r="Z360" s="361" t="s">
        <v>438</v>
      </c>
      <c r="AA360" s="408">
        <v>100</v>
      </c>
      <c r="AB360" s="408" t="s">
        <v>496</v>
      </c>
      <c r="AC360" s="409" t="s">
        <v>497</v>
      </c>
      <c r="AD360" s="410">
        <v>142</v>
      </c>
      <c r="AE360" s="411" t="s">
        <v>440</v>
      </c>
      <c r="AF360" s="1187"/>
      <c r="AG360" s="1168"/>
      <c r="AH360" s="1168"/>
    </row>
    <row r="361" spans="25:34" ht="15" customHeight="1">
      <c r="Y361" s="1164" t="s">
        <v>142</v>
      </c>
      <c r="Z361" s="1082" t="s">
        <v>1214</v>
      </c>
      <c r="AA361" s="1083"/>
      <c r="AB361" s="1083"/>
      <c r="AC361" s="1083"/>
      <c r="AD361" s="1083"/>
      <c r="AE361" s="1084"/>
      <c r="AF361" s="1165">
        <v>256.54406779661019</v>
      </c>
      <c r="AG361" s="1168" t="s">
        <v>494</v>
      </c>
      <c r="AH361" s="1168" t="s">
        <v>498</v>
      </c>
    </row>
    <row r="362" spans="25:34">
      <c r="Y362" s="1164"/>
      <c r="Z362" s="361" t="s">
        <v>438</v>
      </c>
      <c r="AA362" s="408">
        <v>100</v>
      </c>
      <c r="AB362" s="408" t="s">
        <v>496</v>
      </c>
      <c r="AC362" s="409" t="s">
        <v>497</v>
      </c>
      <c r="AD362" s="410">
        <v>190</v>
      </c>
      <c r="AE362" s="411" t="s">
        <v>440</v>
      </c>
      <c r="AF362" s="1167"/>
      <c r="AG362" s="1168"/>
      <c r="AH362" s="1168"/>
    </row>
    <row r="363" spans="25:34" ht="15" customHeight="1">
      <c r="Y363" s="1164" t="s">
        <v>143</v>
      </c>
      <c r="Z363" s="1082" t="s">
        <v>1210</v>
      </c>
      <c r="AA363" s="1083"/>
      <c r="AB363" s="1083"/>
      <c r="AC363" s="1083"/>
      <c r="AD363" s="1083"/>
      <c r="AE363" s="1084"/>
      <c r="AF363" s="1187">
        <v>488.76711864406781</v>
      </c>
      <c r="AG363" s="1168" t="s">
        <v>494</v>
      </c>
      <c r="AH363" s="1168" t="s">
        <v>498</v>
      </c>
    </row>
    <row r="364" spans="25:34">
      <c r="Y364" s="1164"/>
      <c r="Z364" s="361" t="s">
        <v>438</v>
      </c>
      <c r="AA364" s="408">
        <v>100</v>
      </c>
      <c r="AB364" s="408" t="s">
        <v>496</v>
      </c>
      <c r="AC364" s="409" t="s">
        <v>497</v>
      </c>
      <c r="AD364" s="410">
        <v>210</v>
      </c>
      <c r="AE364" s="411" t="s">
        <v>440</v>
      </c>
      <c r="AF364" s="1187"/>
      <c r="AG364" s="1168"/>
      <c r="AH364" s="1168"/>
    </row>
    <row r="365" spans="25:34" ht="15" customHeight="1">
      <c r="Y365" s="1164" t="s">
        <v>144</v>
      </c>
      <c r="Z365" s="1082" t="s">
        <v>1220</v>
      </c>
      <c r="AA365" s="1083"/>
      <c r="AB365" s="1083"/>
      <c r="AC365" s="1083"/>
      <c r="AD365" s="1083"/>
      <c r="AE365" s="1084"/>
      <c r="AF365" s="1165">
        <v>95.525423728813564</v>
      </c>
      <c r="AG365" s="1168" t="s">
        <v>494</v>
      </c>
      <c r="AH365" s="1168" t="s">
        <v>498</v>
      </c>
    </row>
    <row r="366" spans="25:34">
      <c r="Y366" s="1164"/>
      <c r="Z366" s="361" t="s">
        <v>438</v>
      </c>
      <c r="AA366" s="408">
        <v>63</v>
      </c>
      <c r="AB366" s="408" t="s">
        <v>496</v>
      </c>
      <c r="AC366" s="409" t="s">
        <v>497</v>
      </c>
      <c r="AD366" s="410">
        <v>50</v>
      </c>
      <c r="AE366" s="411" t="s">
        <v>440</v>
      </c>
      <c r="AF366" s="1167"/>
      <c r="AG366" s="1168"/>
      <c r="AH366" s="1168"/>
    </row>
    <row r="367" spans="25:34" ht="15" customHeight="1">
      <c r="Y367" s="1164" t="s">
        <v>145</v>
      </c>
      <c r="Z367" s="1082" t="s">
        <v>1222</v>
      </c>
      <c r="AA367" s="1083"/>
      <c r="AB367" s="1083"/>
      <c r="AC367" s="1083"/>
      <c r="AD367" s="1083"/>
      <c r="AE367" s="1084"/>
      <c r="AF367" s="1165">
        <v>981.67796610169501</v>
      </c>
      <c r="AG367" s="1168" t="s">
        <v>494</v>
      </c>
      <c r="AH367" s="1168" t="s">
        <v>498</v>
      </c>
    </row>
    <row r="368" spans="25:34">
      <c r="Y368" s="1164"/>
      <c r="Z368" s="361" t="s">
        <v>438</v>
      </c>
      <c r="AA368" s="408">
        <v>150</v>
      </c>
      <c r="AB368" s="408" t="s">
        <v>496</v>
      </c>
      <c r="AC368" s="409" t="s">
        <v>497</v>
      </c>
      <c r="AD368" s="410">
        <v>175</v>
      </c>
      <c r="AE368" s="411" t="s">
        <v>440</v>
      </c>
      <c r="AF368" s="1167"/>
      <c r="AG368" s="1168"/>
      <c r="AH368" s="1168"/>
    </row>
    <row r="369" spans="25:34" ht="15" customHeight="1">
      <c r="Y369" s="1164" t="s">
        <v>146</v>
      </c>
      <c r="Z369" s="1082" t="s">
        <v>1221</v>
      </c>
      <c r="AA369" s="1083"/>
      <c r="AB369" s="1083"/>
      <c r="AC369" s="1083"/>
      <c r="AD369" s="1083"/>
      <c r="AE369" s="1084"/>
      <c r="AF369" s="1165">
        <v>793.06779661016958</v>
      </c>
      <c r="AG369" s="1168" t="s">
        <v>494</v>
      </c>
      <c r="AH369" s="1168" t="s">
        <v>498</v>
      </c>
    </row>
    <row r="370" spans="25:34">
      <c r="Y370" s="1164"/>
      <c r="Z370" s="364" t="s">
        <v>438</v>
      </c>
      <c r="AA370" s="35">
        <v>150</v>
      </c>
      <c r="AB370" s="35" t="s">
        <v>496</v>
      </c>
      <c r="AC370" s="36" t="s">
        <v>497</v>
      </c>
      <c r="AD370" s="938">
        <v>250</v>
      </c>
      <c r="AE370" s="37" t="s">
        <v>440</v>
      </c>
      <c r="AF370" s="1167"/>
      <c r="AG370" s="1168"/>
      <c r="AH370" s="1168"/>
    </row>
    <row r="371" spans="25:34" ht="15" customHeight="1">
      <c r="Y371" s="1164" t="s">
        <v>147</v>
      </c>
      <c r="Z371" s="1082" t="s">
        <v>1211</v>
      </c>
      <c r="AA371" s="1083"/>
      <c r="AB371" s="1083"/>
      <c r="AC371" s="1083"/>
      <c r="AD371" s="1083"/>
      <c r="AE371" s="1084"/>
      <c r="AF371" s="1165">
        <v>560.77966101694915</v>
      </c>
      <c r="AG371" s="1168" t="s">
        <v>494</v>
      </c>
      <c r="AH371" s="1168" t="s">
        <v>498</v>
      </c>
    </row>
    <row r="372" spans="25:34">
      <c r="Y372" s="1164"/>
      <c r="Z372" s="361" t="s">
        <v>438</v>
      </c>
      <c r="AA372" s="408">
        <v>150</v>
      </c>
      <c r="AB372" s="408" t="s">
        <v>496</v>
      </c>
      <c r="AC372" s="409" t="s">
        <v>497</v>
      </c>
      <c r="AD372" s="410">
        <v>400</v>
      </c>
      <c r="AE372" s="411" t="s">
        <v>440</v>
      </c>
      <c r="AF372" s="1167"/>
      <c r="AG372" s="1168"/>
      <c r="AH372" s="1168"/>
    </row>
    <row r="373" spans="25:34" ht="15" customHeight="1">
      <c r="Y373" s="1164" t="s">
        <v>148</v>
      </c>
      <c r="Z373" s="1082" t="s">
        <v>1212</v>
      </c>
      <c r="AA373" s="1083"/>
      <c r="AB373" s="1083"/>
      <c r="AC373" s="1083"/>
      <c r="AD373" s="1083"/>
      <c r="AE373" s="1084"/>
      <c r="AF373" s="1165">
        <v>469.22711864406779</v>
      </c>
      <c r="AG373" s="1168" t="s">
        <v>494</v>
      </c>
      <c r="AH373" s="1168" t="s">
        <v>498</v>
      </c>
    </row>
    <row r="374" spans="25:34">
      <c r="Y374" s="1164"/>
      <c r="Z374" s="412" t="s">
        <v>438</v>
      </c>
      <c r="AA374" s="413">
        <v>200</v>
      </c>
      <c r="AB374" s="413" t="s">
        <v>496</v>
      </c>
      <c r="AC374" s="409" t="s">
        <v>497</v>
      </c>
      <c r="AD374" s="410">
        <v>230</v>
      </c>
      <c r="AE374" s="411" t="s">
        <v>440</v>
      </c>
      <c r="AF374" s="1167"/>
      <c r="AG374" s="1168"/>
      <c r="AH374" s="1168"/>
    </row>
    <row r="375" spans="25:34" ht="15" customHeight="1">
      <c r="Y375" s="1164" t="s">
        <v>149</v>
      </c>
      <c r="Z375" s="1082" t="s">
        <v>1213</v>
      </c>
      <c r="AA375" s="1083"/>
      <c r="AB375" s="1083"/>
      <c r="AC375" s="1083"/>
      <c r="AD375" s="1083"/>
      <c r="AE375" s="1084"/>
      <c r="AF375" s="1165">
        <v>570.48898305084754</v>
      </c>
      <c r="AG375" s="1168" t="s">
        <v>494</v>
      </c>
      <c r="AH375" s="1168" t="s">
        <v>498</v>
      </c>
    </row>
    <row r="376" spans="25:34">
      <c r="Y376" s="1164"/>
      <c r="Z376" s="412" t="s">
        <v>438</v>
      </c>
      <c r="AA376" s="413">
        <v>100</v>
      </c>
      <c r="AB376" s="413" t="s">
        <v>496</v>
      </c>
      <c r="AC376" s="409" t="s">
        <v>497</v>
      </c>
      <c r="AD376" s="410">
        <v>560</v>
      </c>
      <c r="AE376" s="411" t="s">
        <v>440</v>
      </c>
      <c r="AF376" s="1167"/>
      <c r="AG376" s="1168"/>
      <c r="AH376" s="1168"/>
    </row>
    <row r="377" spans="25:34" ht="15" customHeight="1">
      <c r="Y377" s="1164" t="s">
        <v>150</v>
      </c>
      <c r="Z377" s="1075" t="s">
        <v>1215</v>
      </c>
      <c r="AA377" s="1076"/>
      <c r="AB377" s="1076"/>
      <c r="AC377" s="1076"/>
      <c r="AD377" s="1076"/>
      <c r="AE377" s="1077"/>
      <c r="AF377" s="1165">
        <v>271.05593220338983</v>
      </c>
      <c r="AG377" s="1168" t="s">
        <v>494</v>
      </c>
      <c r="AH377" s="1168" t="s">
        <v>498</v>
      </c>
    </row>
    <row r="378" spans="25:34">
      <c r="Y378" s="1164"/>
      <c r="Z378" s="359" t="s">
        <v>438</v>
      </c>
      <c r="AA378" s="360">
        <v>200</v>
      </c>
      <c r="AB378" s="360" t="s">
        <v>496</v>
      </c>
      <c r="AC378" s="36" t="s">
        <v>497</v>
      </c>
      <c r="AD378" s="938">
        <v>115</v>
      </c>
      <c r="AE378" s="37" t="s">
        <v>440</v>
      </c>
      <c r="AF378" s="1167"/>
      <c r="AG378" s="1168"/>
      <c r="AH378" s="1168"/>
    </row>
    <row r="379" spans="25:34" ht="15" customHeight="1">
      <c r="Y379" s="1164" t="s">
        <v>151</v>
      </c>
      <c r="Z379" s="1082" t="s">
        <v>1219</v>
      </c>
      <c r="AA379" s="1083"/>
      <c r="AB379" s="1083"/>
      <c r="AC379" s="1083"/>
      <c r="AD379" s="1083"/>
      <c r="AE379" s="1084"/>
      <c r="AF379" s="1165">
        <v>236.22711864406782</v>
      </c>
      <c r="AG379" s="1168" t="s">
        <v>494</v>
      </c>
      <c r="AH379" s="1168" t="s">
        <v>498</v>
      </c>
    </row>
    <row r="380" spans="25:34">
      <c r="Y380" s="1164"/>
      <c r="Z380" s="359" t="s">
        <v>438</v>
      </c>
      <c r="AA380" s="360">
        <v>100</v>
      </c>
      <c r="AB380" s="360" t="s">
        <v>496</v>
      </c>
      <c r="AC380" s="36" t="s">
        <v>497</v>
      </c>
      <c r="AD380" s="938">
        <v>60</v>
      </c>
      <c r="AE380" s="37" t="s">
        <v>440</v>
      </c>
      <c r="AF380" s="1167"/>
      <c r="AG380" s="1168"/>
      <c r="AH380" s="1168"/>
    </row>
    <row r="381" spans="25:34" ht="15" customHeight="1">
      <c r="Y381" s="1164" t="s">
        <v>152</v>
      </c>
      <c r="Z381" s="1082" t="s">
        <v>1223</v>
      </c>
      <c r="AA381" s="1083"/>
      <c r="AB381" s="1083"/>
      <c r="AC381" s="1083"/>
      <c r="AD381" s="1083"/>
      <c r="AE381" s="1084"/>
      <c r="AF381" s="1183">
        <v>359.45239830508478</v>
      </c>
      <c r="AG381" s="1185" t="s">
        <v>494</v>
      </c>
      <c r="AH381" s="1185" t="s">
        <v>498</v>
      </c>
    </row>
    <row r="382" spans="25:34">
      <c r="Y382" s="1164"/>
      <c r="Z382" s="361" t="s">
        <v>438</v>
      </c>
      <c r="AA382" s="408">
        <v>100</v>
      </c>
      <c r="AB382" s="408" t="s">
        <v>496</v>
      </c>
      <c r="AC382" s="409" t="s">
        <v>497</v>
      </c>
      <c r="AD382" s="410">
        <v>120</v>
      </c>
      <c r="AE382" s="411" t="s">
        <v>440</v>
      </c>
      <c r="AF382" s="1184"/>
      <c r="AG382" s="1186"/>
      <c r="AH382" s="1186"/>
    </row>
    <row r="383" spans="25:34" ht="15" customHeight="1">
      <c r="Y383" s="1164" t="s">
        <v>153</v>
      </c>
      <c r="Z383" s="1075" t="s">
        <v>1224</v>
      </c>
      <c r="AA383" s="1076"/>
      <c r="AB383" s="1076"/>
      <c r="AC383" s="1076"/>
      <c r="AD383" s="1076"/>
      <c r="AE383" s="1077"/>
      <c r="AF383" s="1165">
        <v>935.63474576271187</v>
      </c>
      <c r="AG383" s="1168" t="s">
        <v>494</v>
      </c>
      <c r="AH383" s="1168" t="s">
        <v>498</v>
      </c>
    </row>
    <row r="384" spans="25:34">
      <c r="Y384" s="1164"/>
      <c r="Z384" s="361" t="s">
        <v>438</v>
      </c>
      <c r="AA384" s="408">
        <v>150</v>
      </c>
      <c r="AB384" s="408" t="s">
        <v>496</v>
      </c>
      <c r="AC384" s="409" t="s">
        <v>497</v>
      </c>
      <c r="AD384" s="410">
        <v>152</v>
      </c>
      <c r="AE384" s="411" t="s">
        <v>440</v>
      </c>
      <c r="AF384" s="1167"/>
      <c r="AG384" s="1168"/>
      <c r="AH384" s="1168"/>
    </row>
    <row r="385" spans="25:34" ht="15" customHeight="1">
      <c r="Y385" s="1164" t="s">
        <v>154</v>
      </c>
      <c r="Z385" s="1082" t="s">
        <v>1225</v>
      </c>
      <c r="AA385" s="1083"/>
      <c r="AB385" s="1083"/>
      <c r="AC385" s="1083"/>
      <c r="AD385" s="1083"/>
      <c r="AE385" s="1084"/>
      <c r="AF385" s="1165">
        <v>1417.7784576271188</v>
      </c>
      <c r="AG385" s="1168" t="s">
        <v>494</v>
      </c>
      <c r="AH385" s="1168" t="s">
        <v>498</v>
      </c>
    </row>
    <row r="386" spans="25:34">
      <c r="Y386" s="1164"/>
      <c r="Z386" s="364" t="s">
        <v>438</v>
      </c>
      <c r="AA386" s="35">
        <v>150</v>
      </c>
      <c r="AB386" s="35" t="s">
        <v>496</v>
      </c>
      <c r="AC386" s="36" t="s">
        <v>497</v>
      </c>
      <c r="AD386" s="938">
        <v>30</v>
      </c>
      <c r="AE386" s="37" t="s">
        <v>440</v>
      </c>
      <c r="AF386" s="1166"/>
      <c r="AG386" s="1168"/>
      <c r="AH386" s="1168"/>
    </row>
    <row r="387" spans="25:34">
      <c r="Y387" s="1164"/>
      <c r="Z387" s="361" t="s">
        <v>438</v>
      </c>
      <c r="AA387" s="408">
        <v>100</v>
      </c>
      <c r="AB387" s="408" t="s">
        <v>496</v>
      </c>
      <c r="AC387" s="409" t="s">
        <v>497</v>
      </c>
      <c r="AD387" s="410">
        <v>340</v>
      </c>
      <c r="AE387" s="411" t="s">
        <v>440</v>
      </c>
      <c r="AF387" s="1167"/>
      <c r="AG387" s="1168"/>
      <c r="AH387" s="1168"/>
    </row>
    <row r="388" spans="25:34" ht="15.75">
      <c r="Y388" s="1169" t="s">
        <v>504</v>
      </c>
      <c r="Z388" s="1170"/>
      <c r="AA388" s="1170"/>
      <c r="AB388" s="1170"/>
      <c r="AC388" s="1170"/>
      <c r="AD388" s="1170"/>
      <c r="AE388" s="1171"/>
      <c r="AF388" s="414">
        <v>5780.4957627118647</v>
      </c>
      <c r="AG388" s="38"/>
      <c r="AH388" s="39"/>
    </row>
    <row r="389" spans="25:34" ht="15" customHeight="1">
      <c r="Y389" s="415" t="s">
        <v>176</v>
      </c>
      <c r="Z389" s="1066" t="s">
        <v>629</v>
      </c>
      <c r="AA389" s="1067"/>
      <c r="AB389" s="1067"/>
      <c r="AC389" s="1067"/>
      <c r="AD389" s="1067"/>
      <c r="AE389" s="1068"/>
      <c r="AF389" s="40">
        <v>2875.5101694915256</v>
      </c>
      <c r="AG389" s="402" t="s">
        <v>505</v>
      </c>
      <c r="AH389" s="402" t="s">
        <v>505</v>
      </c>
    </row>
    <row r="390" spans="25:34" ht="15" customHeight="1">
      <c r="Y390" s="415" t="s">
        <v>177</v>
      </c>
      <c r="Z390" s="1066" t="s">
        <v>630</v>
      </c>
      <c r="AA390" s="1067"/>
      <c r="AB390" s="1067"/>
      <c r="AC390" s="1067"/>
      <c r="AD390" s="1067"/>
      <c r="AE390" s="1068"/>
      <c r="AF390" s="40">
        <v>2904.9855932203391</v>
      </c>
      <c r="AG390" s="402" t="s">
        <v>505</v>
      </c>
      <c r="AH390" s="402" t="s">
        <v>505</v>
      </c>
    </row>
    <row r="391" spans="25:34" ht="15.75">
      <c r="Y391" s="1152" t="s">
        <v>506</v>
      </c>
      <c r="Z391" s="1153"/>
      <c r="AA391" s="1153"/>
      <c r="AB391" s="1153"/>
      <c r="AC391" s="1153"/>
      <c r="AD391" s="1153"/>
      <c r="AE391" s="1154"/>
      <c r="AF391" s="416">
        <v>757.84786440677976</v>
      </c>
      <c r="AG391" s="38"/>
      <c r="AH391" s="39"/>
    </row>
    <row r="392" spans="25:34">
      <c r="Y392" s="415" t="s">
        <v>185</v>
      </c>
      <c r="Z392" s="1172" t="s">
        <v>107</v>
      </c>
      <c r="AA392" s="1173"/>
      <c r="AB392" s="1173"/>
      <c r="AC392" s="1173"/>
      <c r="AD392" s="1173"/>
      <c r="AE392" s="1174"/>
      <c r="AF392" s="41">
        <v>757.84786440677976</v>
      </c>
      <c r="AG392" s="402" t="s">
        <v>505</v>
      </c>
      <c r="AH392" s="402" t="s">
        <v>507</v>
      </c>
    </row>
    <row r="393" spans="25:34" ht="15.75">
      <c r="Y393" s="1175" t="s">
        <v>508</v>
      </c>
      <c r="Z393" s="1176"/>
      <c r="AA393" s="1176"/>
      <c r="AB393" s="1176"/>
      <c r="AC393" s="1176"/>
      <c r="AD393" s="1176"/>
      <c r="AE393" s="1177"/>
      <c r="AF393" s="417">
        <v>1826.5466101694915</v>
      </c>
      <c r="AG393" s="38"/>
      <c r="AH393" s="39"/>
    </row>
    <row r="394" spans="25:34" ht="15" customHeight="1">
      <c r="Y394" s="937" t="s">
        <v>198</v>
      </c>
      <c r="Z394" s="1178" t="s">
        <v>1216</v>
      </c>
      <c r="AA394" s="1179"/>
      <c r="AB394" s="1179"/>
      <c r="AC394" s="1179"/>
      <c r="AD394" s="1179"/>
      <c r="AE394" s="1180"/>
      <c r="AF394" s="41">
        <v>1826.5466101694915</v>
      </c>
      <c r="AG394" s="402" t="s">
        <v>509</v>
      </c>
      <c r="AH394" s="402" t="s">
        <v>494</v>
      </c>
    </row>
    <row r="395" spans="25:34" ht="15.75">
      <c r="Y395" s="1181" t="s">
        <v>510</v>
      </c>
      <c r="Z395" s="1170"/>
      <c r="AA395" s="1170"/>
      <c r="AB395" s="1170"/>
      <c r="AC395" s="1170"/>
      <c r="AD395" s="1170"/>
      <c r="AE395" s="1182"/>
      <c r="AF395" s="417">
        <v>4862.6400593220333</v>
      </c>
      <c r="AG395" s="38"/>
      <c r="AH395" s="39"/>
    </row>
    <row r="396" spans="25:34">
      <c r="Y396" s="415" t="s">
        <v>224</v>
      </c>
      <c r="Z396" s="1161" t="s">
        <v>511</v>
      </c>
      <c r="AA396" s="1162"/>
      <c r="AB396" s="1162"/>
      <c r="AC396" s="1162"/>
      <c r="AD396" s="1162"/>
      <c r="AE396" s="1163"/>
      <c r="AF396" s="418">
        <v>296.86722881355934</v>
      </c>
      <c r="AG396" s="419" t="s">
        <v>509</v>
      </c>
      <c r="AH396" s="419" t="s">
        <v>509</v>
      </c>
    </row>
    <row r="397" spans="25:34" ht="15" customHeight="1">
      <c r="Y397" s="415" t="s">
        <v>461</v>
      </c>
      <c r="Z397" s="1143" t="s">
        <v>512</v>
      </c>
      <c r="AA397" s="1144"/>
      <c r="AB397" s="1144"/>
      <c r="AC397" s="1144"/>
      <c r="AD397" s="1144"/>
      <c r="AE397" s="1145"/>
      <c r="AF397" s="420">
        <v>73.967796610169486</v>
      </c>
      <c r="AG397" s="419" t="s">
        <v>509</v>
      </c>
      <c r="AH397" s="419" t="s">
        <v>509</v>
      </c>
    </row>
    <row r="398" spans="25:34" ht="15" customHeight="1">
      <c r="Y398" s="415" t="s">
        <v>462</v>
      </c>
      <c r="Z398" s="1143" t="s">
        <v>513</v>
      </c>
      <c r="AA398" s="1144"/>
      <c r="AB398" s="1144"/>
      <c r="AC398" s="1144"/>
      <c r="AD398" s="1144"/>
      <c r="AE398" s="1145"/>
      <c r="AF398" s="420">
        <v>70.284745762711879</v>
      </c>
      <c r="AG398" s="419" t="s">
        <v>509</v>
      </c>
      <c r="AH398" s="419" t="s">
        <v>509</v>
      </c>
    </row>
    <row r="399" spans="25:34" ht="15" customHeight="1">
      <c r="Y399" s="415" t="s">
        <v>514</v>
      </c>
      <c r="Z399" s="1143" t="s">
        <v>515</v>
      </c>
      <c r="AA399" s="1144"/>
      <c r="AB399" s="1144"/>
      <c r="AC399" s="1144"/>
      <c r="AD399" s="1144"/>
      <c r="AE399" s="1145"/>
      <c r="AF399" s="420">
        <v>59.563627118644064</v>
      </c>
      <c r="AG399" s="419" t="s">
        <v>509</v>
      </c>
      <c r="AH399" s="419" t="s">
        <v>509</v>
      </c>
    </row>
    <row r="400" spans="25:34" ht="15" customHeight="1">
      <c r="Y400" s="415" t="s">
        <v>516</v>
      </c>
      <c r="Z400" s="1143" t="s">
        <v>517</v>
      </c>
      <c r="AA400" s="1144"/>
      <c r="AB400" s="1144"/>
      <c r="AC400" s="1144"/>
      <c r="AD400" s="1144"/>
      <c r="AE400" s="1145"/>
      <c r="AF400" s="420">
        <v>169.52118644067798</v>
      </c>
      <c r="AG400" s="419" t="s">
        <v>509</v>
      </c>
      <c r="AH400" s="419" t="s">
        <v>509</v>
      </c>
    </row>
    <row r="401" spans="25:34" ht="15" customHeight="1">
      <c r="Y401" s="415" t="s">
        <v>518</v>
      </c>
      <c r="Z401" s="1158" t="s">
        <v>522</v>
      </c>
      <c r="AA401" s="1159"/>
      <c r="AB401" s="1159"/>
      <c r="AC401" s="1159"/>
      <c r="AD401" s="1159"/>
      <c r="AE401" s="1160"/>
      <c r="AF401" s="418">
        <v>73.964406779661019</v>
      </c>
      <c r="AG401" s="42" t="s">
        <v>509</v>
      </c>
      <c r="AH401" s="419" t="s">
        <v>509</v>
      </c>
    </row>
    <row r="402" spans="25:34">
      <c r="Y402" s="415" t="s">
        <v>520</v>
      </c>
      <c r="Z402" s="1161" t="s">
        <v>524</v>
      </c>
      <c r="AA402" s="1162"/>
      <c r="AB402" s="1162"/>
      <c r="AC402" s="1162"/>
      <c r="AD402" s="1162"/>
      <c r="AE402" s="1163"/>
      <c r="AF402" s="418">
        <v>326.81585593220342</v>
      </c>
      <c r="AG402" s="42" t="s">
        <v>495</v>
      </c>
      <c r="AH402" s="419" t="s">
        <v>495</v>
      </c>
    </row>
    <row r="403" spans="25:34">
      <c r="Y403" s="415" t="s">
        <v>521</v>
      </c>
      <c r="Z403" s="1161" t="s">
        <v>526</v>
      </c>
      <c r="AA403" s="1162"/>
      <c r="AB403" s="1162"/>
      <c r="AC403" s="1162"/>
      <c r="AD403" s="1162"/>
      <c r="AE403" s="1163"/>
      <c r="AF403" s="418">
        <v>206.4864406779661</v>
      </c>
      <c r="AG403" s="42" t="s">
        <v>519</v>
      </c>
      <c r="AH403" s="419" t="s">
        <v>519</v>
      </c>
    </row>
    <row r="404" spans="25:34">
      <c r="Y404" s="415" t="s">
        <v>523</v>
      </c>
      <c r="Z404" s="1161" t="s">
        <v>528</v>
      </c>
      <c r="AA404" s="1162"/>
      <c r="AB404" s="1162"/>
      <c r="AC404" s="1162"/>
      <c r="AD404" s="1162"/>
      <c r="AE404" s="1163"/>
      <c r="AF404" s="418">
        <v>969.77711864406785</v>
      </c>
      <c r="AG404" s="42" t="s">
        <v>494</v>
      </c>
      <c r="AH404" s="419" t="s">
        <v>494</v>
      </c>
    </row>
    <row r="405" spans="25:34">
      <c r="Y405" s="415" t="s">
        <v>525</v>
      </c>
      <c r="Z405" s="1161" t="s">
        <v>531</v>
      </c>
      <c r="AA405" s="1162"/>
      <c r="AB405" s="1162"/>
      <c r="AC405" s="1162"/>
      <c r="AD405" s="1162"/>
      <c r="AE405" s="1163"/>
      <c r="AF405" s="418">
        <v>115.23305084745763</v>
      </c>
      <c r="AG405" s="42" t="s">
        <v>519</v>
      </c>
      <c r="AH405" s="419" t="s">
        <v>519</v>
      </c>
    </row>
    <row r="406" spans="25:34">
      <c r="Y406" s="415" t="s">
        <v>527</v>
      </c>
      <c r="Z406" s="1161" t="s">
        <v>533</v>
      </c>
      <c r="AA406" s="1162"/>
      <c r="AB406" s="1162"/>
      <c r="AC406" s="1162"/>
      <c r="AD406" s="1162"/>
      <c r="AE406" s="1163"/>
      <c r="AF406" s="418">
        <v>711.56360169491529</v>
      </c>
      <c r="AG406" s="42" t="s">
        <v>519</v>
      </c>
      <c r="AH406" s="419" t="s">
        <v>519</v>
      </c>
    </row>
    <row r="407" spans="25:34">
      <c r="Y407" s="415" t="s">
        <v>529</v>
      </c>
      <c r="Z407" s="1161" t="s">
        <v>535</v>
      </c>
      <c r="AA407" s="1162"/>
      <c r="AB407" s="1162"/>
      <c r="AC407" s="1162"/>
      <c r="AD407" s="1162"/>
      <c r="AE407" s="1163"/>
      <c r="AF407" s="418">
        <v>330.32246610169494</v>
      </c>
      <c r="AG407" s="42" t="s">
        <v>495</v>
      </c>
      <c r="AH407" s="419" t="s">
        <v>495</v>
      </c>
    </row>
    <row r="408" spans="25:34">
      <c r="Y408" s="415" t="s">
        <v>530</v>
      </c>
      <c r="Z408" s="1161" t="s">
        <v>563</v>
      </c>
      <c r="AA408" s="1162"/>
      <c r="AB408" s="1162"/>
      <c r="AC408" s="1162"/>
      <c r="AD408" s="1162"/>
      <c r="AE408" s="1163"/>
      <c r="AF408" s="418">
        <v>129.21974576271188</v>
      </c>
      <c r="AG408" s="42" t="s">
        <v>519</v>
      </c>
      <c r="AH408" s="419" t="s">
        <v>519</v>
      </c>
    </row>
    <row r="409" spans="25:34">
      <c r="Y409" s="415" t="s">
        <v>532</v>
      </c>
      <c r="Z409" s="1161" t="s">
        <v>539</v>
      </c>
      <c r="AA409" s="1162"/>
      <c r="AB409" s="1162"/>
      <c r="AC409" s="1162"/>
      <c r="AD409" s="1162"/>
      <c r="AE409" s="1163"/>
      <c r="AF409" s="418">
        <v>68.564999999999998</v>
      </c>
      <c r="AG409" s="42" t="s">
        <v>494</v>
      </c>
      <c r="AH409" s="419" t="s">
        <v>494</v>
      </c>
    </row>
    <row r="410" spans="25:34">
      <c r="Y410" s="415" t="s">
        <v>534</v>
      </c>
      <c r="Z410" s="1161" t="s">
        <v>540</v>
      </c>
      <c r="AA410" s="1162"/>
      <c r="AB410" s="1162"/>
      <c r="AC410" s="1162"/>
      <c r="AD410" s="1162"/>
      <c r="AE410" s="1163"/>
      <c r="AF410" s="418">
        <v>83.073728813559327</v>
      </c>
      <c r="AG410" s="42" t="s">
        <v>494</v>
      </c>
      <c r="AH410" s="419" t="s">
        <v>494</v>
      </c>
    </row>
    <row r="411" spans="25:34">
      <c r="Y411" s="415" t="s">
        <v>536</v>
      </c>
      <c r="Z411" s="1161" t="s">
        <v>541</v>
      </c>
      <c r="AA411" s="1162"/>
      <c r="AB411" s="1162"/>
      <c r="AC411" s="1162"/>
      <c r="AD411" s="1162"/>
      <c r="AE411" s="1163"/>
      <c r="AF411" s="418">
        <v>488.7576186440678</v>
      </c>
      <c r="AG411" s="42" t="s">
        <v>494</v>
      </c>
      <c r="AH411" s="419" t="s">
        <v>494</v>
      </c>
    </row>
    <row r="412" spans="25:34">
      <c r="Y412" s="415" t="s">
        <v>537</v>
      </c>
      <c r="Z412" s="1161" t="s">
        <v>542</v>
      </c>
      <c r="AA412" s="1162"/>
      <c r="AB412" s="1162"/>
      <c r="AC412" s="1162"/>
      <c r="AD412" s="1162"/>
      <c r="AE412" s="1163"/>
      <c r="AF412" s="418">
        <v>470.52542372881362</v>
      </c>
      <c r="AG412" s="42" t="s">
        <v>494</v>
      </c>
      <c r="AH412" s="419" t="s">
        <v>494</v>
      </c>
    </row>
    <row r="413" spans="25:34">
      <c r="Y413" s="415" t="s">
        <v>538</v>
      </c>
      <c r="Z413" s="1161" t="s">
        <v>860</v>
      </c>
      <c r="AA413" s="1162"/>
      <c r="AB413" s="1162"/>
      <c r="AC413" s="1162"/>
      <c r="AD413" s="1162"/>
      <c r="AE413" s="1163"/>
      <c r="AF413" s="418">
        <v>218.13101694915258</v>
      </c>
      <c r="AG413" s="42" t="s">
        <v>494</v>
      </c>
      <c r="AH413" s="419" t="s">
        <v>494</v>
      </c>
    </row>
    <row r="414" spans="25:34" ht="15.75">
      <c r="Y414" s="1152" t="s">
        <v>543</v>
      </c>
      <c r="Z414" s="1153"/>
      <c r="AA414" s="1153"/>
      <c r="AB414" s="1153"/>
      <c r="AC414" s="1153"/>
      <c r="AD414" s="1153"/>
      <c r="AE414" s="1154"/>
      <c r="AF414" s="421">
        <v>3980.2737288135586</v>
      </c>
      <c r="AG414" s="43"/>
      <c r="AH414" s="39"/>
    </row>
    <row r="415" spans="25:34" ht="15" customHeight="1">
      <c r="Y415" s="415" t="s">
        <v>225</v>
      </c>
      <c r="Z415" s="1143" t="s">
        <v>544</v>
      </c>
      <c r="AA415" s="1144"/>
      <c r="AB415" s="1144"/>
      <c r="AC415" s="1144"/>
      <c r="AD415" s="1144"/>
      <c r="AE415" s="1145"/>
      <c r="AF415" s="422">
        <v>153.63728813559322</v>
      </c>
      <c r="AG415" s="42" t="s">
        <v>498</v>
      </c>
      <c r="AH415" s="419" t="s">
        <v>498</v>
      </c>
    </row>
    <row r="416" spans="25:34" ht="15" customHeight="1">
      <c r="Y416" s="415" t="s">
        <v>226</v>
      </c>
      <c r="Z416" s="1143" t="s">
        <v>545</v>
      </c>
      <c r="AA416" s="1144"/>
      <c r="AB416" s="1144"/>
      <c r="AC416" s="1144"/>
      <c r="AD416" s="1144"/>
      <c r="AE416" s="1145"/>
      <c r="AF416" s="420">
        <v>1035.9508474576271</v>
      </c>
      <c r="AG416" s="42" t="s">
        <v>498</v>
      </c>
      <c r="AH416" s="419" t="s">
        <v>498</v>
      </c>
    </row>
    <row r="417" spans="25:34" ht="15" customHeight="1">
      <c r="Y417" s="415" t="s">
        <v>227</v>
      </c>
      <c r="Z417" s="1143" t="s">
        <v>546</v>
      </c>
      <c r="AA417" s="1144"/>
      <c r="AB417" s="1144"/>
      <c r="AC417" s="1144"/>
      <c r="AD417" s="1144"/>
      <c r="AE417" s="1145"/>
      <c r="AF417" s="420">
        <v>99.711864406779668</v>
      </c>
      <c r="AG417" s="42" t="s">
        <v>498</v>
      </c>
      <c r="AH417" s="419" t="s">
        <v>498</v>
      </c>
    </row>
    <row r="418" spans="25:34" ht="15" customHeight="1">
      <c r="Y418" s="415" t="s">
        <v>228</v>
      </c>
      <c r="Z418" s="1143" t="s">
        <v>547</v>
      </c>
      <c r="AA418" s="1144"/>
      <c r="AB418" s="1144"/>
      <c r="AC418" s="1144"/>
      <c r="AD418" s="1144"/>
      <c r="AE418" s="1145"/>
      <c r="AF418" s="422">
        <v>190.65932203389832</v>
      </c>
      <c r="AG418" s="42" t="s">
        <v>498</v>
      </c>
      <c r="AH418" s="419" t="s">
        <v>498</v>
      </c>
    </row>
    <row r="419" spans="25:34" ht="15" customHeight="1">
      <c r="Y419" s="415" t="s">
        <v>229</v>
      </c>
      <c r="Z419" s="1155" t="s">
        <v>548</v>
      </c>
      <c r="AA419" s="1156"/>
      <c r="AB419" s="1156"/>
      <c r="AC419" s="1156"/>
      <c r="AD419" s="1156"/>
      <c r="AE419" s="1157"/>
      <c r="AF419" s="418">
        <v>74.927966101694921</v>
      </c>
      <c r="AG419" s="42" t="s">
        <v>498</v>
      </c>
      <c r="AH419" s="419" t="s">
        <v>498</v>
      </c>
    </row>
    <row r="420" spans="25:34" ht="15" customHeight="1">
      <c r="Y420" s="415" t="s">
        <v>230</v>
      </c>
      <c r="Z420" s="1155" t="s">
        <v>549</v>
      </c>
      <c r="AA420" s="1156"/>
      <c r="AB420" s="1156"/>
      <c r="AC420" s="1156"/>
      <c r="AD420" s="1156"/>
      <c r="AE420" s="1157"/>
      <c r="AF420" s="418">
        <v>97.29661016949153</v>
      </c>
      <c r="AG420" s="42" t="s">
        <v>505</v>
      </c>
      <c r="AH420" s="419" t="s">
        <v>505</v>
      </c>
    </row>
    <row r="421" spans="25:34" ht="15" customHeight="1">
      <c r="Y421" s="415" t="s">
        <v>231</v>
      </c>
      <c r="Z421" s="1155" t="s">
        <v>550</v>
      </c>
      <c r="AA421" s="1156"/>
      <c r="AB421" s="1156"/>
      <c r="AC421" s="1156"/>
      <c r="AD421" s="1156"/>
      <c r="AE421" s="1157"/>
      <c r="AF421" s="418">
        <v>792.27627118644068</v>
      </c>
      <c r="AG421" s="42" t="s">
        <v>505</v>
      </c>
      <c r="AH421" s="419" t="s">
        <v>505</v>
      </c>
    </row>
    <row r="422" spans="25:34" ht="15" customHeight="1">
      <c r="Y422" s="415" t="s">
        <v>232</v>
      </c>
      <c r="Z422" s="1155" t="s">
        <v>551</v>
      </c>
      <c r="AA422" s="1156"/>
      <c r="AB422" s="1156"/>
      <c r="AC422" s="1156"/>
      <c r="AD422" s="1156"/>
      <c r="AE422" s="1157"/>
      <c r="AF422" s="418">
        <v>576.05677966101689</v>
      </c>
      <c r="AG422" s="42" t="s">
        <v>505</v>
      </c>
      <c r="AH422" s="419" t="s">
        <v>505</v>
      </c>
    </row>
    <row r="423" spans="25:34" ht="15" customHeight="1">
      <c r="Y423" s="415" t="s">
        <v>233</v>
      </c>
      <c r="Z423" s="1155" t="s">
        <v>552</v>
      </c>
      <c r="AA423" s="1156"/>
      <c r="AB423" s="1156"/>
      <c r="AC423" s="1156"/>
      <c r="AD423" s="1156"/>
      <c r="AE423" s="1157"/>
      <c r="AF423" s="418">
        <v>380.08135593220339</v>
      </c>
      <c r="AG423" s="42" t="s">
        <v>505</v>
      </c>
      <c r="AH423" s="419" t="s">
        <v>505</v>
      </c>
    </row>
    <row r="424" spans="25:34" ht="15" customHeight="1">
      <c r="Y424" s="415" t="s">
        <v>234</v>
      </c>
      <c r="Z424" s="1155" t="s">
        <v>553</v>
      </c>
      <c r="AA424" s="1156"/>
      <c r="AB424" s="1156"/>
      <c r="AC424" s="1156"/>
      <c r="AD424" s="1156"/>
      <c r="AE424" s="1157"/>
      <c r="AF424" s="418">
        <v>499.55593220338983</v>
      </c>
      <c r="AG424" s="42" t="s">
        <v>500</v>
      </c>
      <c r="AH424" s="419" t="s">
        <v>500</v>
      </c>
    </row>
    <row r="425" spans="25:34" ht="15" customHeight="1">
      <c r="Y425" s="415" t="s">
        <v>235</v>
      </c>
      <c r="Z425" s="1155" t="s">
        <v>95</v>
      </c>
      <c r="AA425" s="1156"/>
      <c r="AB425" s="1156"/>
      <c r="AC425" s="1156"/>
      <c r="AD425" s="1156"/>
      <c r="AE425" s="1157"/>
      <c r="AF425" s="418">
        <v>80.119491525423726</v>
      </c>
      <c r="AG425" s="42" t="s">
        <v>500</v>
      </c>
      <c r="AH425" s="419" t="s">
        <v>500</v>
      </c>
    </row>
    <row r="426" spans="25:34" ht="15.75">
      <c r="Y426" s="1153" t="s">
        <v>554</v>
      </c>
      <c r="Z426" s="1153"/>
      <c r="AA426" s="1153"/>
      <c r="AB426" s="1153"/>
      <c r="AC426" s="1153"/>
      <c r="AD426" s="1153"/>
      <c r="AE426" s="1154"/>
      <c r="AF426" s="417">
        <v>4130.2813898305094</v>
      </c>
      <c r="AG426" s="38"/>
      <c r="AH426" s="39"/>
    </row>
    <row r="427" spans="25:34" ht="15" customHeight="1">
      <c r="Y427" s="415" t="s">
        <v>240</v>
      </c>
      <c r="Z427" s="1155" t="s">
        <v>555</v>
      </c>
      <c r="AA427" s="1156"/>
      <c r="AB427" s="1156"/>
      <c r="AC427" s="1156"/>
      <c r="AD427" s="1156"/>
      <c r="AE427" s="1157"/>
      <c r="AF427" s="418">
        <v>328.49830508474577</v>
      </c>
      <c r="AG427" s="42" t="s">
        <v>495</v>
      </c>
      <c r="AH427" s="419" t="s">
        <v>495</v>
      </c>
    </row>
    <row r="428" spans="25:34" ht="15" customHeight="1">
      <c r="Y428" s="415" t="s">
        <v>241</v>
      </c>
      <c r="Z428" s="1155" t="s">
        <v>556</v>
      </c>
      <c r="AA428" s="1156"/>
      <c r="AB428" s="1156"/>
      <c r="AC428" s="1156"/>
      <c r="AD428" s="1156"/>
      <c r="AE428" s="1157"/>
      <c r="AF428" s="418">
        <v>392.82800000000003</v>
      </c>
      <c r="AG428" s="42" t="s">
        <v>500</v>
      </c>
      <c r="AH428" s="419" t="s">
        <v>500</v>
      </c>
    </row>
    <row r="429" spans="25:34" ht="15" customHeight="1">
      <c r="Y429" s="415" t="s">
        <v>557</v>
      </c>
      <c r="Z429" s="1155" t="s">
        <v>524</v>
      </c>
      <c r="AA429" s="1156"/>
      <c r="AB429" s="1156"/>
      <c r="AC429" s="1156"/>
      <c r="AD429" s="1156"/>
      <c r="AE429" s="1157"/>
      <c r="AF429" s="418">
        <v>813.91694915254243</v>
      </c>
      <c r="AG429" s="42" t="s">
        <v>498</v>
      </c>
      <c r="AH429" s="419" t="s">
        <v>498</v>
      </c>
    </row>
    <row r="430" spans="25:34" ht="15" customHeight="1">
      <c r="Y430" s="415" t="s">
        <v>859</v>
      </c>
      <c r="Z430" s="1155" t="s">
        <v>560</v>
      </c>
      <c r="AA430" s="1156"/>
      <c r="AB430" s="1156"/>
      <c r="AC430" s="1156"/>
      <c r="AD430" s="1156"/>
      <c r="AE430" s="1157"/>
      <c r="AF430" s="418">
        <v>711.77711864406785</v>
      </c>
      <c r="AG430" s="42" t="s">
        <v>495</v>
      </c>
      <c r="AH430" s="419" t="s">
        <v>495</v>
      </c>
    </row>
    <row r="431" spans="25:34" ht="15" customHeight="1">
      <c r="Y431" s="415" t="s">
        <v>559</v>
      </c>
      <c r="Z431" s="1155" t="s">
        <v>563</v>
      </c>
      <c r="AA431" s="1156"/>
      <c r="AB431" s="1156"/>
      <c r="AC431" s="1156"/>
      <c r="AD431" s="1156"/>
      <c r="AE431" s="1157"/>
      <c r="AF431" s="418">
        <v>984.7550847457627</v>
      </c>
      <c r="AG431" s="42" t="s">
        <v>498</v>
      </c>
      <c r="AH431" s="419" t="s">
        <v>505</v>
      </c>
    </row>
    <row r="432" spans="25:34" ht="15" customHeight="1">
      <c r="Y432" s="415" t="s">
        <v>561</v>
      </c>
      <c r="Z432" s="1155" t="s">
        <v>564</v>
      </c>
      <c r="AA432" s="1156"/>
      <c r="AB432" s="1156"/>
      <c r="AC432" s="1156"/>
      <c r="AD432" s="1156"/>
      <c r="AE432" s="1157"/>
      <c r="AF432" s="418">
        <v>898.50593220338999</v>
      </c>
      <c r="AG432" s="42" t="s">
        <v>498</v>
      </c>
      <c r="AH432" s="419" t="s">
        <v>505</v>
      </c>
    </row>
    <row r="433" spans="25:34" ht="15.75">
      <c r="Y433" s="1152" t="s">
        <v>565</v>
      </c>
      <c r="Z433" s="1153"/>
      <c r="AA433" s="1153"/>
      <c r="AB433" s="1153"/>
      <c r="AC433" s="1153"/>
      <c r="AD433" s="1153"/>
      <c r="AE433" s="1154"/>
      <c r="AF433" s="416">
        <v>12402.760847457599</v>
      </c>
      <c r="AG433" s="43"/>
      <c r="AH433" s="43"/>
    </row>
    <row r="434" spans="25:34" ht="15" customHeight="1">
      <c r="Y434" s="423" t="s">
        <v>242</v>
      </c>
      <c r="Z434" s="1143" t="s">
        <v>1226</v>
      </c>
      <c r="AA434" s="1144"/>
      <c r="AB434" s="1144"/>
      <c r="AC434" s="1144"/>
      <c r="AD434" s="1144"/>
      <c r="AE434" s="1145"/>
      <c r="AF434" s="941">
        <v>12402.760847457599</v>
      </c>
      <c r="AG434" s="44" t="s">
        <v>566</v>
      </c>
      <c r="AH434" s="419" t="s">
        <v>507</v>
      </c>
    </row>
    <row r="435" spans="25:34" ht="15.75">
      <c r="Y435" s="1152" t="s">
        <v>570</v>
      </c>
      <c r="Z435" s="1153"/>
      <c r="AA435" s="1153"/>
      <c r="AB435" s="1153"/>
      <c r="AC435" s="1153"/>
      <c r="AD435" s="1153"/>
      <c r="AE435" s="1154"/>
      <c r="AF435" s="416">
        <v>2614.4438983050841</v>
      </c>
      <c r="AG435" s="43"/>
      <c r="AH435" s="43"/>
    </row>
    <row r="436" spans="25:34" ht="15" customHeight="1">
      <c r="Y436" s="415" t="s">
        <v>244</v>
      </c>
      <c r="Z436" s="1143" t="s">
        <v>571</v>
      </c>
      <c r="AA436" s="1144"/>
      <c r="AB436" s="1144"/>
      <c r="AC436" s="1144"/>
      <c r="AD436" s="1144"/>
      <c r="AE436" s="1145"/>
      <c r="AF436" s="422">
        <v>168.81</v>
      </c>
      <c r="AG436" s="42" t="s">
        <v>572</v>
      </c>
      <c r="AH436" s="419" t="s">
        <v>572</v>
      </c>
    </row>
    <row r="437" spans="25:34" ht="15" customHeight="1">
      <c r="Y437" s="415" t="s">
        <v>245</v>
      </c>
      <c r="Z437" s="1143" t="s">
        <v>631</v>
      </c>
      <c r="AA437" s="1144"/>
      <c r="AB437" s="1144"/>
      <c r="AC437" s="1144"/>
      <c r="AD437" s="1144"/>
      <c r="AE437" s="1145"/>
      <c r="AF437" s="422">
        <v>149.56101694915256</v>
      </c>
      <c r="AG437" s="42" t="s">
        <v>572</v>
      </c>
      <c r="AH437" s="419" t="s">
        <v>572</v>
      </c>
    </row>
    <row r="438" spans="25:34" ht="15" customHeight="1">
      <c r="Y438" s="415" t="s">
        <v>246</v>
      </c>
      <c r="Z438" s="1143" t="s">
        <v>573</v>
      </c>
      <c r="AA438" s="1144"/>
      <c r="AB438" s="1144"/>
      <c r="AC438" s="1144"/>
      <c r="AD438" s="1144"/>
      <c r="AE438" s="1145"/>
      <c r="AF438" s="422">
        <v>91.637288135593224</v>
      </c>
      <c r="AG438" s="42" t="s">
        <v>572</v>
      </c>
      <c r="AH438" s="419" t="s">
        <v>572</v>
      </c>
    </row>
    <row r="439" spans="25:34" ht="15" customHeight="1">
      <c r="Y439" s="415" t="s">
        <v>247</v>
      </c>
      <c r="Z439" s="1143" t="s">
        <v>574</v>
      </c>
      <c r="AA439" s="1144"/>
      <c r="AB439" s="1144"/>
      <c r="AC439" s="1144"/>
      <c r="AD439" s="1144"/>
      <c r="AE439" s="1145"/>
      <c r="AF439" s="422">
        <v>66.834745762711862</v>
      </c>
      <c r="AG439" s="42" t="s">
        <v>572</v>
      </c>
      <c r="AH439" s="419" t="s">
        <v>572</v>
      </c>
    </row>
    <row r="440" spans="25:34" ht="15" customHeight="1">
      <c r="Y440" s="415" t="s">
        <v>575</v>
      </c>
      <c r="Z440" s="1143" t="s">
        <v>576</v>
      </c>
      <c r="AA440" s="1144"/>
      <c r="AB440" s="1144"/>
      <c r="AC440" s="1144"/>
      <c r="AD440" s="1144"/>
      <c r="AE440" s="1145"/>
      <c r="AF440" s="420">
        <v>138.60762711864407</v>
      </c>
      <c r="AG440" s="42" t="s">
        <v>572</v>
      </c>
      <c r="AH440" s="419" t="s">
        <v>572</v>
      </c>
    </row>
    <row r="441" spans="25:34" ht="15" customHeight="1">
      <c r="Y441" s="415" t="s">
        <v>577</v>
      </c>
      <c r="Z441" s="1143" t="s">
        <v>578</v>
      </c>
      <c r="AA441" s="1144"/>
      <c r="AB441" s="1144"/>
      <c r="AC441" s="1144"/>
      <c r="AD441" s="1144"/>
      <c r="AE441" s="1145"/>
      <c r="AF441" s="422">
        <v>34.274576271186447</v>
      </c>
      <c r="AG441" s="42" t="s">
        <v>572</v>
      </c>
      <c r="AH441" s="419" t="s">
        <v>572</v>
      </c>
    </row>
    <row r="442" spans="25:34" ht="15" customHeight="1">
      <c r="Y442" s="415" t="s">
        <v>579</v>
      </c>
      <c r="Z442" s="1143" t="s">
        <v>580</v>
      </c>
      <c r="AA442" s="1144"/>
      <c r="AB442" s="1144"/>
      <c r="AC442" s="1144"/>
      <c r="AD442" s="1144"/>
      <c r="AE442" s="1145"/>
      <c r="AF442" s="420">
        <v>96.90423728813559</v>
      </c>
      <c r="AG442" s="42" t="s">
        <v>572</v>
      </c>
      <c r="AH442" s="419" t="s">
        <v>500</v>
      </c>
    </row>
    <row r="443" spans="25:34" ht="15" customHeight="1">
      <c r="Y443" s="415" t="s">
        <v>581</v>
      </c>
      <c r="Z443" s="1143" t="s">
        <v>582</v>
      </c>
      <c r="AA443" s="1144"/>
      <c r="AB443" s="1144"/>
      <c r="AC443" s="1144"/>
      <c r="AD443" s="1144"/>
      <c r="AE443" s="1145"/>
      <c r="AF443" s="420">
        <v>96.90423728813559</v>
      </c>
      <c r="AG443" s="42" t="s">
        <v>572</v>
      </c>
      <c r="AH443" s="419" t="s">
        <v>500</v>
      </c>
    </row>
    <row r="444" spans="25:34" ht="15" customHeight="1">
      <c r="Y444" s="415" t="s">
        <v>583</v>
      </c>
      <c r="Z444" s="1143" t="s">
        <v>584</v>
      </c>
      <c r="AA444" s="1144"/>
      <c r="AB444" s="1144"/>
      <c r="AC444" s="1144"/>
      <c r="AD444" s="1144"/>
      <c r="AE444" s="1145"/>
      <c r="AF444" s="420">
        <v>96.90423728813559</v>
      </c>
      <c r="AG444" s="42" t="s">
        <v>572</v>
      </c>
      <c r="AH444" s="419" t="s">
        <v>500</v>
      </c>
    </row>
    <row r="445" spans="25:34" ht="15" customHeight="1">
      <c r="Y445" s="415" t="s">
        <v>585</v>
      </c>
      <c r="Z445" s="1143" t="s">
        <v>586</v>
      </c>
      <c r="AA445" s="1144"/>
      <c r="AB445" s="1144"/>
      <c r="AC445" s="1144"/>
      <c r="AD445" s="1144"/>
      <c r="AE445" s="1145"/>
      <c r="AF445" s="420">
        <v>96.90423728813559</v>
      </c>
      <c r="AG445" s="42" t="s">
        <v>572</v>
      </c>
      <c r="AH445" s="419" t="s">
        <v>500</v>
      </c>
    </row>
    <row r="446" spans="25:34" ht="15" customHeight="1">
      <c r="Y446" s="415" t="s">
        <v>587</v>
      </c>
      <c r="Z446" s="1143" t="s">
        <v>588</v>
      </c>
      <c r="AA446" s="1144"/>
      <c r="AB446" s="1144"/>
      <c r="AC446" s="1144"/>
      <c r="AD446" s="1144"/>
      <c r="AE446" s="1145"/>
      <c r="AF446" s="420">
        <v>96.90423728813559</v>
      </c>
      <c r="AG446" s="42" t="s">
        <v>572</v>
      </c>
      <c r="AH446" s="419" t="s">
        <v>500</v>
      </c>
    </row>
    <row r="447" spans="25:34" ht="15" customHeight="1">
      <c r="Y447" s="415" t="s">
        <v>589</v>
      </c>
      <c r="Z447" s="1143" t="s">
        <v>590</v>
      </c>
      <c r="AA447" s="1144"/>
      <c r="AB447" s="1144"/>
      <c r="AC447" s="1144"/>
      <c r="AD447" s="1144"/>
      <c r="AE447" s="1145"/>
      <c r="AF447" s="420">
        <v>96.90423728813559</v>
      </c>
      <c r="AG447" s="42" t="s">
        <v>572</v>
      </c>
      <c r="AH447" s="419" t="s">
        <v>500</v>
      </c>
    </row>
    <row r="448" spans="25:34" ht="15" customHeight="1">
      <c r="Y448" s="415" t="s">
        <v>591</v>
      </c>
      <c r="Z448" s="1143" t="s">
        <v>592</v>
      </c>
      <c r="AA448" s="1144"/>
      <c r="AB448" s="1144"/>
      <c r="AC448" s="1144"/>
      <c r="AD448" s="1144"/>
      <c r="AE448" s="1145"/>
      <c r="AF448" s="420">
        <v>96.90423728813559</v>
      </c>
      <c r="AG448" s="42" t="s">
        <v>572</v>
      </c>
      <c r="AH448" s="419" t="s">
        <v>500</v>
      </c>
    </row>
    <row r="449" spans="25:34" ht="15" customHeight="1">
      <c r="Y449" s="415" t="s">
        <v>593</v>
      </c>
      <c r="Z449" s="1143" t="s">
        <v>594</v>
      </c>
      <c r="AA449" s="1144"/>
      <c r="AB449" s="1144"/>
      <c r="AC449" s="1144"/>
      <c r="AD449" s="1144"/>
      <c r="AE449" s="1145"/>
      <c r="AF449" s="420">
        <v>96.90423728813559</v>
      </c>
      <c r="AG449" s="42" t="s">
        <v>572</v>
      </c>
      <c r="AH449" s="419" t="s">
        <v>500</v>
      </c>
    </row>
    <row r="450" spans="25:34" ht="15" customHeight="1">
      <c r="Y450" s="415" t="s">
        <v>595</v>
      </c>
      <c r="Z450" s="1143" t="s">
        <v>596</v>
      </c>
      <c r="AA450" s="1144"/>
      <c r="AB450" s="1144"/>
      <c r="AC450" s="1144"/>
      <c r="AD450" s="1144"/>
      <c r="AE450" s="1145"/>
      <c r="AF450" s="420">
        <v>96.90423728813559</v>
      </c>
      <c r="AG450" s="42" t="s">
        <v>572</v>
      </c>
      <c r="AH450" s="419" t="s">
        <v>500</v>
      </c>
    </row>
    <row r="451" spans="25:34" ht="15" customHeight="1">
      <c r="Y451" s="415" t="s">
        <v>597</v>
      </c>
      <c r="Z451" s="1143" t="s">
        <v>598</v>
      </c>
      <c r="AA451" s="1144"/>
      <c r="AB451" s="1144"/>
      <c r="AC451" s="1144"/>
      <c r="AD451" s="1144"/>
      <c r="AE451" s="1145"/>
      <c r="AF451" s="420">
        <v>96.90423728813559</v>
      </c>
      <c r="AG451" s="42" t="s">
        <v>572</v>
      </c>
      <c r="AH451" s="419" t="s">
        <v>500</v>
      </c>
    </row>
    <row r="452" spans="25:34" ht="15" customHeight="1">
      <c r="Y452" s="415" t="s">
        <v>599</v>
      </c>
      <c r="Z452" s="1143" t="s">
        <v>600</v>
      </c>
      <c r="AA452" s="1144"/>
      <c r="AB452" s="1144"/>
      <c r="AC452" s="1144"/>
      <c r="AD452" s="1144"/>
      <c r="AE452" s="1145"/>
      <c r="AF452" s="420">
        <v>96.90423728813559</v>
      </c>
      <c r="AG452" s="42" t="s">
        <v>572</v>
      </c>
      <c r="AH452" s="419" t="s">
        <v>500</v>
      </c>
    </row>
    <row r="453" spans="25:34" ht="15" customHeight="1">
      <c r="Y453" s="415" t="s">
        <v>601</v>
      </c>
      <c r="Z453" s="1143" t="s">
        <v>602</v>
      </c>
      <c r="AA453" s="1144"/>
      <c r="AB453" s="1144"/>
      <c r="AC453" s="1144"/>
      <c r="AD453" s="1144"/>
      <c r="AE453" s="1145"/>
      <c r="AF453" s="420">
        <v>96.90423728813559</v>
      </c>
      <c r="AG453" s="42" t="s">
        <v>572</v>
      </c>
      <c r="AH453" s="419" t="s">
        <v>500</v>
      </c>
    </row>
    <row r="454" spans="25:34" ht="15" customHeight="1">
      <c r="Y454" s="415" t="s">
        <v>603</v>
      </c>
      <c r="Z454" s="1143" t="s">
        <v>604</v>
      </c>
      <c r="AA454" s="1144"/>
      <c r="AB454" s="1144"/>
      <c r="AC454" s="1144"/>
      <c r="AD454" s="1144"/>
      <c r="AE454" s="1145"/>
      <c r="AF454" s="420">
        <v>96.90423728813559</v>
      </c>
      <c r="AG454" s="42" t="s">
        <v>572</v>
      </c>
      <c r="AH454" s="419" t="s">
        <v>500</v>
      </c>
    </row>
    <row r="455" spans="25:34" ht="15" customHeight="1">
      <c r="Y455" s="415" t="s">
        <v>605</v>
      </c>
      <c r="Z455" s="1143" t="s">
        <v>606</v>
      </c>
      <c r="AA455" s="1144"/>
      <c r="AB455" s="1144"/>
      <c r="AC455" s="1144"/>
      <c r="AD455" s="1144"/>
      <c r="AE455" s="1145"/>
      <c r="AF455" s="420">
        <v>96.90423728813559</v>
      </c>
      <c r="AG455" s="42" t="s">
        <v>572</v>
      </c>
      <c r="AH455" s="419" t="s">
        <v>500</v>
      </c>
    </row>
    <row r="456" spans="25:34" ht="15" customHeight="1">
      <c r="Y456" s="415" t="s">
        <v>607</v>
      </c>
      <c r="Z456" s="1143" t="s">
        <v>608</v>
      </c>
      <c r="AA456" s="1144"/>
      <c r="AB456" s="1144"/>
      <c r="AC456" s="1144"/>
      <c r="AD456" s="1144"/>
      <c r="AE456" s="1145"/>
      <c r="AF456" s="420">
        <v>96.90423728813559</v>
      </c>
      <c r="AG456" s="42" t="s">
        <v>572</v>
      </c>
      <c r="AH456" s="419" t="s">
        <v>500</v>
      </c>
    </row>
    <row r="457" spans="25:34" ht="15" customHeight="1">
      <c r="Y457" s="415" t="s">
        <v>609</v>
      </c>
      <c r="Z457" s="1143" t="s">
        <v>610</v>
      </c>
      <c r="AA457" s="1144"/>
      <c r="AB457" s="1144"/>
      <c r="AC457" s="1144"/>
      <c r="AD457" s="1144"/>
      <c r="AE457" s="1145"/>
      <c r="AF457" s="420">
        <v>96.90423728813559</v>
      </c>
      <c r="AG457" s="42" t="s">
        <v>572</v>
      </c>
      <c r="AH457" s="419" t="s">
        <v>500</v>
      </c>
    </row>
    <row r="458" spans="25:34" ht="15" customHeight="1">
      <c r="Y458" s="415" t="s">
        <v>611</v>
      </c>
      <c r="Z458" s="1143" t="s">
        <v>612</v>
      </c>
      <c r="AA458" s="1144"/>
      <c r="AB458" s="1144"/>
      <c r="AC458" s="1144"/>
      <c r="AD458" s="1144"/>
      <c r="AE458" s="1145"/>
      <c r="AF458" s="420">
        <v>96.90423728813559</v>
      </c>
      <c r="AG458" s="42" t="s">
        <v>572</v>
      </c>
      <c r="AH458" s="419" t="s">
        <v>500</v>
      </c>
    </row>
    <row r="459" spans="25:34" ht="15" customHeight="1">
      <c r="Y459" s="415" t="s">
        <v>613</v>
      </c>
      <c r="Z459" s="1143" t="s">
        <v>614</v>
      </c>
      <c r="AA459" s="1144"/>
      <c r="AB459" s="1144"/>
      <c r="AC459" s="1144"/>
      <c r="AD459" s="1144"/>
      <c r="AE459" s="1145"/>
      <c r="AF459" s="422">
        <v>106.73728813559323</v>
      </c>
      <c r="AG459" s="42" t="s">
        <v>572</v>
      </c>
      <c r="AH459" s="42" t="s">
        <v>572</v>
      </c>
    </row>
    <row r="460" spans="25:34" ht="15" customHeight="1">
      <c r="Y460" s="415" t="s">
        <v>615</v>
      </c>
      <c r="Z460" s="1143" t="s">
        <v>616</v>
      </c>
      <c r="AA460" s="1144"/>
      <c r="AB460" s="1144"/>
      <c r="AC460" s="1144"/>
      <c r="AD460" s="1144"/>
      <c r="AE460" s="1145"/>
      <c r="AF460" s="422">
        <v>106.67966101694917</v>
      </c>
      <c r="AG460" s="42" t="s">
        <v>572</v>
      </c>
      <c r="AH460" s="42" t="s">
        <v>572</v>
      </c>
    </row>
    <row r="461" spans="25:34" ht="15" customHeight="1">
      <c r="Y461" s="415" t="s">
        <v>617</v>
      </c>
      <c r="Z461" s="1143" t="s">
        <v>618</v>
      </c>
      <c r="AA461" s="1144"/>
      <c r="AB461" s="1144"/>
      <c r="AC461" s="1144"/>
      <c r="AD461" s="1144"/>
      <c r="AE461" s="1145"/>
      <c r="AF461" s="422">
        <v>103.92966101694915</v>
      </c>
      <c r="AG461" s="42" t="s">
        <v>572</v>
      </c>
      <c r="AH461" s="42" t="s">
        <v>572</v>
      </c>
    </row>
    <row r="462" spans="25:34" ht="15.75" customHeight="1">
      <c r="Y462" s="1146" t="s">
        <v>410</v>
      </c>
      <c r="Z462" s="1147"/>
      <c r="AA462" s="1147"/>
      <c r="AB462" s="1147"/>
      <c r="AC462" s="1147"/>
      <c r="AD462" s="1147"/>
      <c r="AE462" s="1148"/>
      <c r="AF462" s="424">
        <v>6185.1713559322034</v>
      </c>
      <c r="AG462" s="44"/>
      <c r="AH462" s="402"/>
    </row>
    <row r="463" spans="25:34" ht="15" customHeight="1">
      <c r="Y463" s="415" t="s">
        <v>248</v>
      </c>
      <c r="Z463" s="1143" t="s">
        <v>619</v>
      </c>
      <c r="AA463" s="1144"/>
      <c r="AB463" s="1144"/>
      <c r="AC463" s="1144"/>
      <c r="AD463" s="1144"/>
      <c r="AE463" s="1145"/>
      <c r="AF463" s="420">
        <v>1742.4661016949156</v>
      </c>
      <c r="AG463" s="44" t="s">
        <v>620</v>
      </c>
      <c r="AH463" s="419" t="s">
        <v>507</v>
      </c>
    </row>
    <row r="464" spans="25:34" ht="15" customHeight="1">
      <c r="Y464" s="415" t="s">
        <v>249</v>
      </c>
      <c r="Z464" s="1143" t="s">
        <v>621</v>
      </c>
      <c r="AA464" s="1144"/>
      <c r="AB464" s="1144"/>
      <c r="AC464" s="1144"/>
      <c r="AD464" s="1144"/>
      <c r="AE464" s="1145"/>
      <c r="AF464" s="420">
        <v>2175.1898305084746</v>
      </c>
      <c r="AG464" s="44" t="s">
        <v>505</v>
      </c>
      <c r="AH464" s="419" t="s">
        <v>620</v>
      </c>
    </row>
    <row r="465" spans="25:34" ht="15" customHeight="1">
      <c r="Y465" s="415" t="s">
        <v>250</v>
      </c>
      <c r="Z465" s="1143" t="s">
        <v>622</v>
      </c>
      <c r="AA465" s="1144"/>
      <c r="AB465" s="1144"/>
      <c r="AC465" s="1144"/>
      <c r="AD465" s="1144"/>
      <c r="AE465" s="1145"/>
      <c r="AF465" s="420">
        <v>2147.898305084746</v>
      </c>
      <c r="AG465" s="44" t="s">
        <v>620</v>
      </c>
      <c r="AH465" s="419" t="s">
        <v>507</v>
      </c>
    </row>
    <row r="466" spans="25:34" ht="15" customHeight="1">
      <c r="Y466" s="415" t="s">
        <v>251</v>
      </c>
      <c r="Z466" s="1143" t="s">
        <v>1208</v>
      </c>
      <c r="AA466" s="1144"/>
      <c r="AB466" s="1144"/>
      <c r="AC466" s="1144"/>
      <c r="AD466" s="1144"/>
      <c r="AE466" s="1145"/>
      <c r="AF466" s="420">
        <v>119.62711864406781</v>
      </c>
      <c r="AG466" s="44" t="s">
        <v>620</v>
      </c>
      <c r="AH466" s="419" t="s">
        <v>507</v>
      </c>
    </row>
    <row r="467" spans="25:34" ht="15.75" hidden="1" customHeight="1">
      <c r="Y467" s="1149" t="s">
        <v>628</v>
      </c>
      <c r="Z467" s="1150"/>
      <c r="AA467" s="1150"/>
      <c r="AB467" s="1150"/>
      <c r="AC467" s="1150"/>
      <c r="AD467" s="1150"/>
      <c r="AE467" s="1151"/>
      <c r="AF467" s="942">
        <v>59480.480677966079</v>
      </c>
      <c r="AG467" s="402"/>
      <c r="AH467" s="402"/>
    </row>
    <row r="468" spans="25:34" hidden="1">
      <c r="Y468" s="45" t="s">
        <v>259</v>
      </c>
      <c r="Z468" s="1117" t="s">
        <v>623</v>
      </c>
      <c r="AA468" s="1118"/>
      <c r="AB468" s="1118"/>
      <c r="AC468" s="1118"/>
      <c r="AD468" s="1118"/>
      <c r="AE468" s="1119"/>
      <c r="AF468" s="425">
        <f>3435.96</f>
        <v>3435.96</v>
      </c>
      <c r="AG468" s="46" t="s">
        <v>509</v>
      </c>
      <c r="AH468" s="419" t="s">
        <v>509</v>
      </c>
    </row>
    <row r="469" spans="25:34" ht="36.75" hidden="1" customHeight="1">
      <c r="Y469" s="45" t="s">
        <v>260</v>
      </c>
      <c r="Z469" s="1117" t="s">
        <v>624</v>
      </c>
      <c r="AA469" s="1118"/>
      <c r="AB469" s="1118"/>
      <c r="AC469" s="1118"/>
      <c r="AD469" s="1118"/>
      <c r="AE469" s="1119"/>
      <c r="AF469" s="425">
        <f>5170.97-150</f>
        <v>5020.97</v>
      </c>
      <c r="AG469" s="46" t="s">
        <v>625</v>
      </c>
      <c r="AH469" s="419" t="s">
        <v>519</v>
      </c>
    </row>
    <row r="470" spans="25:34" hidden="1">
      <c r="Y470" s="45" t="s">
        <v>261</v>
      </c>
      <c r="Z470" s="1120" t="s">
        <v>626</v>
      </c>
      <c r="AA470" s="1121"/>
      <c r="AB470" s="1121"/>
      <c r="AC470" s="1121"/>
      <c r="AD470" s="1121"/>
      <c r="AE470" s="1122"/>
      <c r="AF470" s="47">
        <v>944</v>
      </c>
      <c r="AG470" s="419" t="s">
        <v>620</v>
      </c>
      <c r="AH470" s="419" t="s">
        <v>620</v>
      </c>
    </row>
    <row r="471" spans="25:34" hidden="1">
      <c r="Y471" s="45" t="s">
        <v>262</v>
      </c>
      <c r="Z471" s="1120" t="s">
        <v>126</v>
      </c>
      <c r="AA471" s="1121"/>
      <c r="AB471" s="1121"/>
      <c r="AC471" s="1121"/>
      <c r="AD471" s="1121"/>
      <c r="AE471" s="1122"/>
      <c r="AF471" s="47">
        <v>3304</v>
      </c>
      <c r="AG471" s="46" t="s">
        <v>509</v>
      </c>
      <c r="AH471" s="419" t="s">
        <v>507</v>
      </c>
    </row>
    <row r="472" spans="25:34" hidden="1">
      <c r="Y472" s="45" t="s">
        <v>263</v>
      </c>
      <c r="Z472" s="1120" t="s">
        <v>627</v>
      </c>
      <c r="AA472" s="1123"/>
      <c r="AB472" s="1123"/>
      <c r="AC472" s="1123"/>
      <c r="AD472" s="1123"/>
      <c r="AE472" s="1124"/>
      <c r="AF472" s="47">
        <f>2480+1850.08</f>
        <v>4330.08</v>
      </c>
      <c r="AG472" s="46" t="s">
        <v>519</v>
      </c>
      <c r="AH472" s="419" t="s">
        <v>519</v>
      </c>
    </row>
    <row r="473" spans="25:34" hidden="1">
      <c r="Y473" s="45" t="s">
        <v>264</v>
      </c>
      <c r="Z473" s="1120" t="s">
        <v>125</v>
      </c>
      <c r="AA473" s="1121"/>
      <c r="AB473" s="1121"/>
      <c r="AC473" s="1121"/>
      <c r="AD473" s="1121"/>
      <c r="AE473" s="1122"/>
      <c r="AF473" s="47">
        <f>2891+325.96</f>
        <v>3216.96</v>
      </c>
      <c r="AG473" s="46" t="s">
        <v>509</v>
      </c>
      <c r="AH473" s="419" t="s">
        <v>507</v>
      </c>
    </row>
    <row r="474" spans="25:34" hidden="1">
      <c r="Y474" s="45" t="s">
        <v>265</v>
      </c>
      <c r="Z474" s="1120" t="s">
        <v>1209</v>
      </c>
      <c r="AA474" s="1121"/>
      <c r="AB474" s="1121"/>
      <c r="AC474" s="1121"/>
      <c r="AD474" s="1121"/>
      <c r="AE474" s="1122"/>
      <c r="AF474" s="47">
        <v>1298</v>
      </c>
      <c r="AG474" s="46" t="s">
        <v>620</v>
      </c>
      <c r="AH474" s="419" t="s">
        <v>620</v>
      </c>
    </row>
    <row r="475" spans="25:34" ht="18.75" customHeight="1">
      <c r="Y475" s="1128" t="s">
        <v>628</v>
      </c>
      <c r="Z475" s="1128"/>
      <c r="AA475" s="1128"/>
      <c r="AB475" s="1128"/>
      <c r="AC475" s="1128"/>
      <c r="AD475" s="1128"/>
      <c r="AE475" s="1128"/>
      <c r="AF475" s="943">
        <f>AF462+AF345</f>
        <v>59480.480677966079</v>
      </c>
      <c r="AG475" s="46"/>
      <c r="AH475" s="419"/>
    </row>
    <row r="476" spans="25:34" ht="15.75" hidden="1">
      <c r="Y476" s="1129" t="s">
        <v>12</v>
      </c>
      <c r="Z476" s="1129"/>
      <c r="AA476" s="1129"/>
      <c r="AB476" s="1129"/>
      <c r="AC476" s="1129"/>
      <c r="AD476" s="1129"/>
      <c r="AE476" s="1129"/>
      <c r="AF476" s="838">
        <v>18965.939515762711</v>
      </c>
      <c r="AG476" s="46"/>
      <c r="AH476" s="419"/>
    </row>
    <row r="477" spans="25:34" ht="15" hidden="1" customHeight="1">
      <c r="Y477" s="1135" t="s">
        <v>137</v>
      </c>
      <c r="Z477" s="1138" t="s">
        <v>499</v>
      </c>
      <c r="AA477" s="1139"/>
      <c r="AB477" s="1139"/>
      <c r="AC477" s="1139"/>
      <c r="AD477" s="1139"/>
      <c r="AE477" s="1139"/>
      <c r="AF477" s="47">
        <v>379.77418644067797</v>
      </c>
      <c r="AG477" s="1140" t="s">
        <v>2113</v>
      </c>
      <c r="AH477" s="1141">
        <v>42740</v>
      </c>
    </row>
    <row r="478" spans="25:34" hidden="1">
      <c r="Y478" s="1135"/>
      <c r="Z478" s="839" t="s">
        <v>438</v>
      </c>
      <c r="AA478" s="840">
        <v>200</v>
      </c>
      <c r="AB478" s="840" t="s">
        <v>496</v>
      </c>
      <c r="AC478" s="839" t="s">
        <v>497</v>
      </c>
      <c r="AD478" s="840">
        <v>110</v>
      </c>
      <c r="AE478" s="847" t="s">
        <v>440</v>
      </c>
      <c r="AF478" s="828"/>
      <c r="AG478" s="1140"/>
      <c r="AH478" s="1142"/>
    </row>
    <row r="479" spans="25:34" hidden="1">
      <c r="Y479" s="1135"/>
      <c r="Z479" s="845" t="s">
        <v>438</v>
      </c>
      <c r="AA479" s="846">
        <v>300</v>
      </c>
      <c r="AB479" s="846" t="s">
        <v>496</v>
      </c>
      <c r="AC479" s="845" t="s">
        <v>497</v>
      </c>
      <c r="AD479" s="846">
        <v>130</v>
      </c>
      <c r="AE479" s="848" t="s">
        <v>440</v>
      </c>
      <c r="AF479" s="849"/>
      <c r="AG479" s="1140"/>
      <c r="AH479" s="1142"/>
    </row>
    <row r="480" spans="25:34" ht="15" hidden="1" customHeight="1">
      <c r="Y480" s="1135" t="s">
        <v>138</v>
      </c>
      <c r="Z480" s="1136" t="s">
        <v>1218</v>
      </c>
      <c r="AA480" s="1136"/>
      <c r="AB480" s="1136"/>
      <c r="AC480" s="1136"/>
      <c r="AD480" s="1136"/>
      <c r="AE480" s="1137"/>
      <c r="AF480" s="828">
        <v>256.37102542372884</v>
      </c>
      <c r="AG480" s="1140" t="s">
        <v>2113</v>
      </c>
      <c r="AH480" s="1141">
        <v>42740</v>
      </c>
    </row>
    <row r="481" spans="25:34" hidden="1">
      <c r="Y481" s="1135"/>
      <c r="Z481" s="839" t="s">
        <v>438</v>
      </c>
      <c r="AA481" s="840">
        <v>100</v>
      </c>
      <c r="AB481" s="840" t="s">
        <v>496</v>
      </c>
      <c r="AC481" s="839" t="s">
        <v>497</v>
      </c>
      <c r="AD481" s="840">
        <v>120</v>
      </c>
      <c r="AE481" s="847" t="s">
        <v>440</v>
      </c>
      <c r="AF481" s="828"/>
      <c r="AG481" s="1140"/>
      <c r="AH481" s="1141"/>
    </row>
    <row r="482" spans="25:34" ht="15" hidden="1" customHeight="1">
      <c r="Y482" s="1135" t="s">
        <v>139</v>
      </c>
      <c r="Z482" s="1296" t="s">
        <v>501</v>
      </c>
      <c r="AA482" s="1296"/>
      <c r="AB482" s="1296"/>
      <c r="AC482" s="1296"/>
      <c r="AD482" s="1296"/>
      <c r="AE482" s="1138"/>
      <c r="AF482" s="828">
        <v>845.57535593220337</v>
      </c>
      <c r="AG482" s="1140" t="s">
        <v>2113</v>
      </c>
      <c r="AH482" s="1141">
        <v>42740</v>
      </c>
    </row>
    <row r="483" spans="25:34" hidden="1">
      <c r="Y483" s="1135"/>
      <c r="Z483" s="839" t="s">
        <v>438</v>
      </c>
      <c r="AA483" s="840">
        <v>150</v>
      </c>
      <c r="AB483" s="840" t="s">
        <v>496</v>
      </c>
      <c r="AC483" s="839" t="s">
        <v>497</v>
      </c>
      <c r="AD483" s="840">
        <v>270</v>
      </c>
      <c r="AE483" s="847" t="s">
        <v>440</v>
      </c>
      <c r="AF483" s="849"/>
      <c r="AG483" s="1140"/>
      <c r="AH483" s="1141"/>
    </row>
    <row r="484" spans="25:34" ht="15" hidden="1" customHeight="1">
      <c r="Y484" s="1135" t="s">
        <v>136</v>
      </c>
      <c r="Z484" s="1295" t="s">
        <v>503</v>
      </c>
      <c r="AA484" s="1296"/>
      <c r="AB484" s="1296"/>
      <c r="AC484" s="1296"/>
      <c r="AD484" s="1296"/>
      <c r="AE484" s="1138"/>
      <c r="AF484" s="828">
        <v>199.60766949152543</v>
      </c>
      <c r="AG484" s="1140" t="s">
        <v>2113</v>
      </c>
      <c r="AH484" s="1141">
        <v>42740</v>
      </c>
    </row>
    <row r="485" spans="25:34" hidden="1">
      <c r="Y485" s="1135"/>
      <c r="Z485" s="839" t="s">
        <v>438</v>
      </c>
      <c r="AA485" s="840">
        <v>100</v>
      </c>
      <c r="AB485" s="840" t="s">
        <v>496</v>
      </c>
      <c r="AC485" s="839" t="s">
        <v>497</v>
      </c>
      <c r="AD485" s="840">
        <v>142</v>
      </c>
      <c r="AE485" s="847" t="s">
        <v>440</v>
      </c>
      <c r="AF485" s="828"/>
      <c r="AG485" s="1140"/>
      <c r="AH485" s="1141"/>
    </row>
    <row r="486" spans="25:34" ht="15" hidden="1" customHeight="1">
      <c r="Y486" s="1135" t="s">
        <v>140</v>
      </c>
      <c r="Z486" s="1296" t="s">
        <v>1222</v>
      </c>
      <c r="AA486" s="1296"/>
      <c r="AB486" s="1296"/>
      <c r="AC486" s="1296"/>
      <c r="AD486" s="1296"/>
      <c r="AE486" s="1138"/>
      <c r="AF486" s="828">
        <v>834.32505084745765</v>
      </c>
      <c r="AG486" s="1140" t="s">
        <v>2113</v>
      </c>
      <c r="AH486" s="1141">
        <v>42740</v>
      </c>
    </row>
    <row r="487" spans="25:34" hidden="1">
      <c r="Y487" s="1135"/>
      <c r="Z487" s="839" t="s">
        <v>438</v>
      </c>
      <c r="AA487" s="840">
        <v>150</v>
      </c>
      <c r="AB487" s="840" t="s">
        <v>496</v>
      </c>
      <c r="AC487" s="839" t="s">
        <v>497</v>
      </c>
      <c r="AD487" s="840">
        <v>175</v>
      </c>
      <c r="AE487" s="847" t="s">
        <v>440</v>
      </c>
      <c r="AF487" s="849"/>
      <c r="AG487" s="1140"/>
      <c r="AH487" s="1141"/>
    </row>
    <row r="488" spans="25:34" ht="15" hidden="1" customHeight="1">
      <c r="Y488" s="1135" t="s">
        <v>141</v>
      </c>
      <c r="Z488" s="1296" t="s">
        <v>1221</v>
      </c>
      <c r="AA488" s="1296"/>
      <c r="AB488" s="1296"/>
      <c r="AC488" s="1296"/>
      <c r="AD488" s="1296"/>
      <c r="AE488" s="1138"/>
      <c r="AF488" s="828">
        <v>542.87461864406782</v>
      </c>
      <c r="AG488" s="1140" t="s">
        <v>2113</v>
      </c>
      <c r="AH488" s="1141">
        <v>42740</v>
      </c>
    </row>
    <row r="489" spans="25:34" hidden="1">
      <c r="Y489" s="1135"/>
      <c r="Z489" s="839" t="s">
        <v>438</v>
      </c>
      <c r="AA489" s="840">
        <v>150</v>
      </c>
      <c r="AB489" s="840" t="s">
        <v>496</v>
      </c>
      <c r="AC489" s="839" t="s">
        <v>497</v>
      </c>
      <c r="AD489" s="840">
        <v>250</v>
      </c>
      <c r="AE489" s="847" t="s">
        <v>440</v>
      </c>
      <c r="AF489" s="828"/>
      <c r="AG489" s="1140"/>
      <c r="AH489" s="1141"/>
    </row>
    <row r="490" spans="25:34" ht="15" hidden="1" customHeight="1">
      <c r="Y490" s="1294" t="s">
        <v>142</v>
      </c>
      <c r="Z490" s="1295" t="s">
        <v>1225</v>
      </c>
      <c r="AA490" s="1296"/>
      <c r="AB490" s="1296"/>
      <c r="AC490" s="1296"/>
      <c r="AD490" s="1296"/>
      <c r="AE490" s="1138"/>
      <c r="AF490" s="47">
        <v>1357.283220338983</v>
      </c>
      <c r="AG490" s="1140" t="s">
        <v>2113</v>
      </c>
      <c r="AH490" s="1141">
        <v>42740</v>
      </c>
    </row>
    <row r="491" spans="25:34" hidden="1">
      <c r="Y491" s="1294"/>
      <c r="Z491" s="851" t="s">
        <v>438</v>
      </c>
      <c r="AA491" s="840">
        <v>150</v>
      </c>
      <c r="AB491" s="840" t="s">
        <v>496</v>
      </c>
      <c r="AC491" s="839" t="s">
        <v>497</v>
      </c>
      <c r="AD491" s="840">
        <v>30</v>
      </c>
      <c r="AE491" s="847" t="s">
        <v>440</v>
      </c>
      <c r="AF491" s="828"/>
      <c r="AG491" s="1140"/>
      <c r="AH491" s="1141"/>
    </row>
    <row r="492" spans="25:34" hidden="1">
      <c r="Y492" s="1294"/>
      <c r="Z492" s="856" t="s">
        <v>438</v>
      </c>
      <c r="AA492" s="846">
        <v>100</v>
      </c>
      <c r="AB492" s="846" t="s">
        <v>496</v>
      </c>
      <c r="AC492" s="845" t="s">
        <v>497</v>
      </c>
      <c r="AD492" s="846">
        <v>340</v>
      </c>
      <c r="AE492" s="848" t="s">
        <v>440</v>
      </c>
      <c r="AF492" s="857"/>
      <c r="AG492" s="1140"/>
      <c r="AH492" s="1141"/>
    </row>
    <row r="493" spans="25:34" hidden="1">
      <c r="Y493" s="1104" t="s">
        <v>143</v>
      </c>
      <c r="Z493" s="1105" t="s">
        <v>2114</v>
      </c>
      <c r="AA493" s="1106"/>
      <c r="AB493" s="1106"/>
      <c r="AC493" s="1106"/>
      <c r="AD493" s="1106"/>
      <c r="AE493" s="1107"/>
      <c r="AF493" s="828">
        <v>5705.51</v>
      </c>
      <c r="AG493" s="1109">
        <v>42646</v>
      </c>
      <c r="AH493" s="1109">
        <v>42734</v>
      </c>
    </row>
    <row r="494" spans="25:34" hidden="1">
      <c r="Y494" s="1104"/>
      <c r="Z494" s="858" t="s">
        <v>438</v>
      </c>
      <c r="AA494" s="859" t="s">
        <v>441</v>
      </c>
      <c r="AB494" s="859" t="s">
        <v>439</v>
      </c>
      <c r="AC494" s="859" t="s">
        <v>2115</v>
      </c>
      <c r="AD494" s="859" t="s">
        <v>440</v>
      </c>
      <c r="AE494" s="860"/>
      <c r="AF494" s="857"/>
      <c r="AG494" s="1109"/>
      <c r="AH494" s="1109"/>
    </row>
    <row r="495" spans="25:34" ht="15" hidden="1" customHeight="1">
      <c r="Y495" s="1130" t="s">
        <v>144</v>
      </c>
      <c r="Z495" s="1134" t="s">
        <v>17</v>
      </c>
      <c r="AA495" s="1134"/>
      <c r="AB495" s="1134"/>
      <c r="AC495" s="1134"/>
      <c r="AD495" s="843"/>
      <c r="AE495" s="854"/>
      <c r="AF495" s="828">
        <v>549.47813559322037</v>
      </c>
      <c r="AG495" s="1140" t="s">
        <v>2113</v>
      </c>
      <c r="AH495" s="1141">
        <v>42740</v>
      </c>
    </row>
    <row r="496" spans="25:34" hidden="1">
      <c r="Y496" s="1130"/>
      <c r="Z496" s="862" t="s">
        <v>438</v>
      </c>
      <c r="AA496" s="859" t="s">
        <v>449</v>
      </c>
      <c r="AB496" s="859" t="s">
        <v>439</v>
      </c>
      <c r="AC496" s="859" t="s">
        <v>443</v>
      </c>
      <c r="AD496" s="859" t="s">
        <v>440</v>
      </c>
      <c r="AE496" s="861"/>
      <c r="AF496" s="857"/>
      <c r="AG496" s="1140"/>
      <c r="AH496" s="1141"/>
    </row>
    <row r="497" spans="25:34" ht="15" hidden="1" customHeight="1">
      <c r="Y497" s="1104" t="s">
        <v>145</v>
      </c>
      <c r="Z497" s="1131" t="s">
        <v>18</v>
      </c>
      <c r="AA497" s="1132"/>
      <c r="AB497" s="1132"/>
      <c r="AC497" s="1132"/>
      <c r="AD497" s="1132"/>
      <c r="AE497" s="1133"/>
      <c r="AF497" s="828">
        <v>24.615500000000001</v>
      </c>
      <c r="AG497" s="1108" t="s">
        <v>2116</v>
      </c>
      <c r="AH497" s="1109">
        <v>42506</v>
      </c>
    </row>
    <row r="498" spans="25:34" hidden="1">
      <c r="Y498" s="1104"/>
      <c r="Z498" s="850" t="s">
        <v>438</v>
      </c>
      <c r="AA498" s="842" t="s">
        <v>442</v>
      </c>
      <c r="AB498" s="842" t="s">
        <v>439</v>
      </c>
      <c r="AC498" s="842" t="s">
        <v>450</v>
      </c>
      <c r="AD498" s="842" t="s">
        <v>440</v>
      </c>
      <c r="AE498" s="855"/>
      <c r="AF498" s="857"/>
      <c r="AG498" s="1108"/>
      <c r="AH498" s="1109"/>
    </row>
    <row r="499" spans="25:34" hidden="1">
      <c r="Y499" s="1130" t="s">
        <v>146</v>
      </c>
      <c r="Z499" s="1106" t="s">
        <v>26</v>
      </c>
      <c r="AA499" s="1106"/>
      <c r="AB499" s="1106"/>
      <c r="AC499" s="1106"/>
      <c r="AD499" s="1106"/>
      <c r="AE499" s="1107"/>
      <c r="AF499" s="828">
        <v>127.14000000000001</v>
      </c>
      <c r="AG499" s="1108" t="s">
        <v>2116</v>
      </c>
      <c r="AH499" s="1109">
        <v>42506</v>
      </c>
    </row>
    <row r="500" spans="25:34" hidden="1">
      <c r="Y500" s="1130"/>
      <c r="Z500" s="841" t="s">
        <v>438</v>
      </c>
      <c r="AA500" s="842" t="s">
        <v>454</v>
      </c>
      <c r="AB500" s="842" t="s">
        <v>439</v>
      </c>
      <c r="AC500" s="842" t="s">
        <v>1233</v>
      </c>
      <c r="AD500" s="842" t="s">
        <v>440</v>
      </c>
      <c r="AE500" s="853"/>
      <c r="AF500" s="828"/>
      <c r="AG500" s="1108"/>
      <c r="AH500" s="1109"/>
    </row>
    <row r="501" spans="25:34" hidden="1">
      <c r="Y501" s="1130"/>
      <c r="Z501" s="841" t="s">
        <v>438</v>
      </c>
      <c r="AA501" s="842" t="s">
        <v>442</v>
      </c>
      <c r="AB501" s="842" t="s">
        <v>439</v>
      </c>
      <c r="AC501" s="842" t="s">
        <v>697</v>
      </c>
      <c r="AD501" s="859" t="s">
        <v>440</v>
      </c>
      <c r="AE501" s="852"/>
      <c r="AF501" s="849"/>
      <c r="AG501" s="1108"/>
      <c r="AH501" s="1109"/>
    </row>
    <row r="502" spans="25:34" hidden="1">
      <c r="Y502" s="1104" t="s">
        <v>147</v>
      </c>
      <c r="Z502" s="1105" t="s">
        <v>29</v>
      </c>
      <c r="AA502" s="1106"/>
      <c r="AB502" s="1106"/>
      <c r="AC502" s="864"/>
      <c r="AD502" s="844"/>
      <c r="AE502" s="865"/>
      <c r="AF502" s="828">
        <v>83.646627118644062</v>
      </c>
      <c r="AG502" s="1140" t="s">
        <v>2113</v>
      </c>
      <c r="AH502" s="1141">
        <v>42740</v>
      </c>
    </row>
    <row r="503" spans="25:34" hidden="1">
      <c r="Y503" s="1104"/>
      <c r="Z503" s="858" t="s">
        <v>438</v>
      </c>
      <c r="AA503" s="859" t="s">
        <v>442</v>
      </c>
      <c r="AB503" s="859" t="s">
        <v>439</v>
      </c>
      <c r="AC503" s="859" t="s">
        <v>453</v>
      </c>
      <c r="AD503" s="859" t="s">
        <v>440</v>
      </c>
      <c r="AE503" s="860"/>
      <c r="AF503" s="857"/>
      <c r="AG503" s="1140"/>
      <c r="AH503" s="1141"/>
    </row>
    <row r="504" spans="25:34" hidden="1">
      <c r="Y504" s="1104" t="s">
        <v>148</v>
      </c>
      <c r="Z504" s="1105" t="s">
        <v>31</v>
      </c>
      <c r="AA504" s="1106"/>
      <c r="AB504" s="1106"/>
      <c r="AC504" s="1106"/>
      <c r="AD504" s="1106"/>
      <c r="AE504" s="1107"/>
      <c r="AF504" s="828">
        <v>136.71799999999999</v>
      </c>
      <c r="AG504" s="1108" t="s">
        <v>2117</v>
      </c>
      <c r="AH504" s="1109">
        <v>42389</v>
      </c>
    </row>
    <row r="505" spans="25:34" hidden="1">
      <c r="Y505" s="1104"/>
      <c r="Z505" s="858" t="s">
        <v>438</v>
      </c>
      <c r="AA505" s="859" t="s">
        <v>456</v>
      </c>
      <c r="AB505" s="859" t="s">
        <v>439</v>
      </c>
      <c r="AC505" s="859" t="s">
        <v>1236</v>
      </c>
      <c r="AD505" s="859" t="s">
        <v>440</v>
      </c>
      <c r="AE505" s="866"/>
      <c r="AF505" s="857"/>
      <c r="AG505" s="1108"/>
      <c r="AH505" s="1109"/>
    </row>
    <row r="506" spans="25:34" hidden="1">
      <c r="Y506" s="1130" t="s">
        <v>149</v>
      </c>
      <c r="Z506" s="1297" t="s">
        <v>33</v>
      </c>
      <c r="AA506" s="1297"/>
      <c r="AB506" s="1297"/>
      <c r="AC506" s="1297"/>
      <c r="AD506" s="1297"/>
      <c r="AE506" s="1298"/>
      <c r="AF506" s="828">
        <v>77.37679</v>
      </c>
      <c r="AG506" s="1109">
        <v>42337</v>
      </c>
      <c r="AH506" s="1109">
        <v>42426</v>
      </c>
    </row>
    <row r="507" spans="25:34" hidden="1">
      <c r="Y507" s="1130"/>
      <c r="Z507" s="862" t="s">
        <v>438</v>
      </c>
      <c r="AA507" s="859" t="s">
        <v>446</v>
      </c>
      <c r="AB507" s="859" t="s">
        <v>439</v>
      </c>
      <c r="AC507" s="859" t="s">
        <v>448</v>
      </c>
      <c r="AD507" s="859" t="s">
        <v>440</v>
      </c>
      <c r="AE507" s="866"/>
      <c r="AF507" s="857"/>
      <c r="AG507" s="1109"/>
      <c r="AH507" s="1109"/>
    </row>
    <row r="508" spans="25:34" hidden="1">
      <c r="Y508" s="1130" t="s">
        <v>150</v>
      </c>
      <c r="Z508" s="1297" t="s">
        <v>38</v>
      </c>
      <c r="AA508" s="1297"/>
      <c r="AB508" s="1297"/>
      <c r="AC508" s="1297"/>
      <c r="AD508" s="1297"/>
      <c r="AE508" s="1298"/>
      <c r="AF508" s="828">
        <v>68.382239999999996</v>
      </c>
      <c r="AG508" s="1109">
        <v>42337</v>
      </c>
      <c r="AH508" s="1109">
        <v>42426</v>
      </c>
    </row>
    <row r="509" spans="25:34" hidden="1">
      <c r="Y509" s="1130"/>
      <c r="Z509" s="841" t="s">
        <v>438</v>
      </c>
      <c r="AA509" s="859" t="s">
        <v>446</v>
      </c>
      <c r="AB509" s="859" t="s">
        <v>439</v>
      </c>
      <c r="AC509" s="859" t="s">
        <v>457</v>
      </c>
      <c r="AD509" s="859" t="s">
        <v>440</v>
      </c>
      <c r="AE509" s="866"/>
      <c r="AF509" s="857"/>
      <c r="AG509" s="1109"/>
      <c r="AH509" s="1109"/>
    </row>
    <row r="510" spans="25:34" ht="15" hidden="1" customHeight="1">
      <c r="Y510" s="1114" t="s">
        <v>151</v>
      </c>
      <c r="Z510" s="1115" t="s">
        <v>1242</v>
      </c>
      <c r="AA510" s="1115"/>
      <c r="AB510" s="1115"/>
      <c r="AC510" s="1115"/>
      <c r="AD510" s="1115"/>
      <c r="AE510" s="1116"/>
      <c r="AF510" s="828">
        <v>63.765855932203387</v>
      </c>
      <c r="AG510" s="1108" t="s">
        <v>2116</v>
      </c>
      <c r="AH510" s="1109">
        <v>42506</v>
      </c>
    </row>
    <row r="511" spans="25:34" hidden="1">
      <c r="Y511" s="1114"/>
      <c r="Z511" s="841" t="s">
        <v>438</v>
      </c>
      <c r="AA511" s="842" t="s">
        <v>446</v>
      </c>
      <c r="AB511" s="842" t="s">
        <v>439</v>
      </c>
      <c r="AC511" s="842" t="s">
        <v>1231</v>
      </c>
      <c r="AD511" s="842" t="s">
        <v>440</v>
      </c>
      <c r="AE511" s="867"/>
      <c r="AF511" s="828"/>
      <c r="AG511" s="1108"/>
      <c r="AH511" s="1109"/>
    </row>
    <row r="512" spans="25:34" hidden="1">
      <c r="Y512" s="1114"/>
      <c r="Z512" s="841" t="s">
        <v>438</v>
      </c>
      <c r="AA512" s="842" t="s">
        <v>1243</v>
      </c>
      <c r="AB512" s="842" t="s">
        <v>439</v>
      </c>
      <c r="AC512" s="842" t="s">
        <v>685</v>
      </c>
      <c r="AD512" s="842" t="s">
        <v>440</v>
      </c>
      <c r="AE512" s="867"/>
      <c r="AF512" s="857"/>
      <c r="AG512" s="1108"/>
      <c r="AH512" s="1109"/>
    </row>
    <row r="513" spans="25:34" ht="15" hidden="1" customHeight="1">
      <c r="Y513" s="1114" t="s">
        <v>152</v>
      </c>
      <c r="Z513" s="1112" t="s">
        <v>1244</v>
      </c>
      <c r="AA513" s="1112"/>
      <c r="AB513" s="1112"/>
      <c r="AC513" s="1112"/>
      <c r="AD513" s="1112"/>
      <c r="AE513" s="1113"/>
      <c r="AF513" s="828">
        <v>80.305000000000007</v>
      </c>
      <c r="AG513" s="1108" t="s">
        <v>2116</v>
      </c>
      <c r="AH513" s="1109">
        <v>42506</v>
      </c>
    </row>
    <row r="514" spans="25:34" hidden="1">
      <c r="Y514" s="1114"/>
      <c r="Z514" s="841" t="s">
        <v>438</v>
      </c>
      <c r="AA514" s="842" t="s">
        <v>450</v>
      </c>
      <c r="AB514" s="842" t="s">
        <v>439</v>
      </c>
      <c r="AC514" s="842" t="s">
        <v>1231</v>
      </c>
      <c r="AD514" s="842" t="s">
        <v>440</v>
      </c>
      <c r="AE514" s="867"/>
      <c r="AF514" s="828"/>
      <c r="AG514" s="1108"/>
      <c r="AH514" s="1109"/>
    </row>
    <row r="515" spans="25:34" hidden="1">
      <c r="Y515" s="1110"/>
      <c r="Z515" s="858" t="s">
        <v>438</v>
      </c>
      <c r="AA515" s="859" t="s">
        <v>444</v>
      </c>
      <c r="AB515" s="859" t="s">
        <v>439</v>
      </c>
      <c r="AC515" s="859" t="s">
        <v>1231</v>
      </c>
      <c r="AD515" s="859" t="s">
        <v>440</v>
      </c>
      <c r="AE515" s="868"/>
      <c r="AF515" s="857"/>
      <c r="AG515" s="1108"/>
      <c r="AH515" s="1109"/>
    </row>
    <row r="516" spans="25:34" ht="15" hidden="1" customHeight="1">
      <c r="Y516" s="1110" t="s">
        <v>153</v>
      </c>
      <c r="Z516" s="1111" t="s">
        <v>1245</v>
      </c>
      <c r="AA516" s="1112"/>
      <c r="AB516" s="1112"/>
      <c r="AC516" s="1112"/>
      <c r="AD516" s="1112"/>
      <c r="AE516" s="1113"/>
      <c r="AF516" s="828">
        <v>126.47857</v>
      </c>
      <c r="AG516" s="1108" t="s">
        <v>2118</v>
      </c>
      <c r="AH516" s="1109">
        <v>42426</v>
      </c>
    </row>
    <row r="517" spans="25:34" hidden="1">
      <c r="Y517" s="1110"/>
      <c r="Z517" s="858" t="s">
        <v>438</v>
      </c>
      <c r="AA517" s="859" t="s">
        <v>446</v>
      </c>
      <c r="AB517" s="859" t="s">
        <v>439</v>
      </c>
      <c r="AC517" s="863">
        <v>80</v>
      </c>
      <c r="AD517" s="859" t="s">
        <v>440</v>
      </c>
      <c r="AE517" s="868"/>
      <c r="AF517" s="857"/>
      <c r="AG517" s="1108"/>
      <c r="AH517" s="1109"/>
    </row>
    <row r="518" spans="25:34" ht="15" hidden="1" customHeight="1">
      <c r="Y518" s="1114" t="s">
        <v>154</v>
      </c>
      <c r="Z518" s="1304" t="s">
        <v>1251</v>
      </c>
      <c r="AA518" s="1305"/>
      <c r="AB518" s="1305"/>
      <c r="AC518" s="1305"/>
      <c r="AD518" s="1305"/>
      <c r="AE518" s="1306"/>
      <c r="AF518" s="828">
        <v>2989.6482999999998</v>
      </c>
      <c r="AG518" s="1108" t="s">
        <v>2119</v>
      </c>
      <c r="AH518" s="1109">
        <v>42521</v>
      </c>
    </row>
    <row r="519" spans="25:34" hidden="1">
      <c r="Y519" s="1114"/>
      <c r="Z519" s="862" t="s">
        <v>438</v>
      </c>
      <c r="AA519" s="859" t="s">
        <v>1295</v>
      </c>
      <c r="AB519" s="859" t="s">
        <v>439</v>
      </c>
      <c r="AC519" s="859" t="s">
        <v>1294</v>
      </c>
      <c r="AD519" s="859" t="s">
        <v>440</v>
      </c>
      <c r="AE519" s="868"/>
      <c r="AF519" s="849"/>
      <c r="AG519" s="1108"/>
      <c r="AH519" s="1109"/>
    </row>
    <row r="520" spans="25:34" hidden="1">
      <c r="Y520" s="1104" t="s">
        <v>155</v>
      </c>
      <c r="Z520" s="1297" t="s">
        <v>2120</v>
      </c>
      <c r="AA520" s="1297"/>
      <c r="AB520" s="1297"/>
      <c r="AC520" s="1297"/>
      <c r="AD520" s="1297"/>
      <c r="AE520" s="1298"/>
      <c r="AF520" s="828">
        <v>4320.47</v>
      </c>
      <c r="AG520" s="1109">
        <v>42646</v>
      </c>
      <c r="AH520" s="1109">
        <v>42690</v>
      </c>
    </row>
    <row r="521" spans="25:34" hidden="1">
      <c r="Y521" s="1104"/>
      <c r="Z521" s="858" t="s">
        <v>438</v>
      </c>
      <c r="AA521" s="859" t="s">
        <v>454</v>
      </c>
      <c r="AB521" s="859" t="s">
        <v>439</v>
      </c>
      <c r="AC521" s="859" t="s">
        <v>2121</v>
      </c>
      <c r="AD521" s="859" t="s">
        <v>440</v>
      </c>
      <c r="AE521" s="866"/>
      <c r="AF521" s="849"/>
      <c r="AG521" s="1109"/>
      <c r="AH521" s="1109"/>
    </row>
    <row r="522" spans="25:34" ht="15.75" hidden="1" customHeight="1">
      <c r="Y522" s="1130" t="s">
        <v>156</v>
      </c>
      <c r="Z522" s="1302" t="s">
        <v>2122</v>
      </c>
      <c r="AA522" s="1302"/>
      <c r="AB522" s="1302"/>
      <c r="AC522" s="1302"/>
      <c r="AD522" s="1302"/>
      <c r="AE522" s="1303"/>
      <c r="AF522" s="828">
        <v>196.59336999999999</v>
      </c>
      <c r="AG522" s="1109">
        <v>42535</v>
      </c>
      <c r="AH522" s="1109">
        <v>42565</v>
      </c>
    </row>
    <row r="523" spans="25:34" ht="15" hidden="1" customHeight="1">
      <c r="Y523" s="1130"/>
      <c r="Z523" s="862" t="s">
        <v>438</v>
      </c>
      <c r="AA523" s="859" t="s">
        <v>446</v>
      </c>
      <c r="AB523" s="859" t="s">
        <v>439</v>
      </c>
      <c r="AC523" s="859" t="s">
        <v>448</v>
      </c>
      <c r="AD523" s="859" t="s">
        <v>440</v>
      </c>
      <c r="AE523" s="866"/>
      <c r="AF523" s="857"/>
      <c r="AG523" s="1109"/>
      <c r="AH523" s="1109"/>
    </row>
    <row r="524" spans="25:34" ht="15.75" hidden="1">
      <c r="Y524" s="1299" t="s">
        <v>504</v>
      </c>
      <c r="Z524" s="1301"/>
      <c r="AA524" s="1301"/>
      <c r="AB524" s="1301"/>
      <c r="AC524" s="1301"/>
      <c r="AD524" s="1301"/>
      <c r="AE524" s="1301"/>
      <c r="AF524" s="838">
        <v>603.4917881355932</v>
      </c>
      <c r="AG524" s="829"/>
      <c r="AH524" s="830"/>
    </row>
    <row r="525" spans="25:34" ht="15" hidden="1" customHeight="1">
      <c r="Y525" s="831" t="s">
        <v>176</v>
      </c>
      <c r="Z525" s="1300" t="s">
        <v>114</v>
      </c>
      <c r="AA525" s="1300"/>
      <c r="AB525" s="1300"/>
      <c r="AC525" s="1300"/>
      <c r="AD525" s="1300"/>
      <c r="AE525" s="1300"/>
      <c r="AF525" s="47">
        <v>140.62846610169493</v>
      </c>
      <c r="AG525" s="833">
        <v>42206</v>
      </c>
      <c r="AH525" s="833">
        <v>42369</v>
      </c>
    </row>
    <row r="526" spans="25:34" ht="15" hidden="1" customHeight="1">
      <c r="Y526" s="831" t="s">
        <v>177</v>
      </c>
      <c r="Z526" s="1300" t="s">
        <v>117</v>
      </c>
      <c r="AA526" s="1300"/>
      <c r="AB526" s="1300"/>
      <c r="AC526" s="1300"/>
      <c r="AD526" s="1300"/>
      <c r="AE526" s="1300"/>
      <c r="AF526" s="47">
        <v>20.559322033898308</v>
      </c>
      <c r="AG526" s="833">
        <v>42212</v>
      </c>
      <c r="AH526" s="833">
        <v>42369</v>
      </c>
    </row>
    <row r="527" spans="25:34" ht="15" hidden="1" customHeight="1">
      <c r="Y527" s="831" t="s">
        <v>178</v>
      </c>
      <c r="Z527" s="1300" t="s">
        <v>116</v>
      </c>
      <c r="AA527" s="1300"/>
      <c r="AB527" s="1300"/>
      <c r="AC527" s="1300"/>
      <c r="AD527" s="1300"/>
      <c r="AE527" s="1300"/>
      <c r="AF527" s="47">
        <v>442.30400000000003</v>
      </c>
      <c r="AG527" s="833">
        <v>42212</v>
      </c>
      <c r="AH527" s="833">
        <v>42369</v>
      </c>
    </row>
    <row r="528" spans="25:34" ht="15.75" hidden="1">
      <c r="Y528" s="1299" t="s">
        <v>2177</v>
      </c>
      <c r="Z528" s="1299"/>
      <c r="AA528" s="1299"/>
      <c r="AB528" s="1299"/>
      <c r="AC528" s="1299"/>
      <c r="AD528" s="1299"/>
      <c r="AE528" s="1299"/>
      <c r="AF528" s="870">
        <v>2038.0723050847459</v>
      </c>
      <c r="AG528" s="829"/>
      <c r="AH528" s="830"/>
    </row>
    <row r="529" spans="25:34" ht="29.25" hidden="1" customHeight="1">
      <c r="Y529" s="831" t="s">
        <v>198</v>
      </c>
      <c r="Z529" s="1300" t="s">
        <v>1216</v>
      </c>
      <c r="AA529" s="1300"/>
      <c r="AB529" s="1300"/>
      <c r="AC529" s="1300"/>
      <c r="AD529" s="1300"/>
      <c r="AE529" s="1300"/>
      <c r="AF529" s="871">
        <v>1661.7893898305085</v>
      </c>
      <c r="AG529" s="832" t="s">
        <v>2123</v>
      </c>
      <c r="AH529" s="833">
        <v>42519</v>
      </c>
    </row>
    <row r="530" spans="25:34" ht="15" hidden="1" customHeight="1">
      <c r="Y530" s="831" t="s">
        <v>200</v>
      </c>
      <c r="Z530" s="1300" t="s">
        <v>2124</v>
      </c>
      <c r="AA530" s="1300"/>
      <c r="AB530" s="1300"/>
      <c r="AC530" s="1300"/>
      <c r="AD530" s="1300"/>
      <c r="AE530" s="1300"/>
      <c r="AF530" s="828">
        <v>376.28291525423731</v>
      </c>
      <c r="AG530" s="832" t="s">
        <v>2125</v>
      </c>
      <c r="AH530" s="833">
        <v>42540</v>
      </c>
    </row>
    <row r="531" spans="25:34" ht="15.75" hidden="1">
      <c r="Y531" s="1299" t="s">
        <v>2178</v>
      </c>
      <c r="Z531" s="1299"/>
      <c r="AA531" s="1299"/>
      <c r="AB531" s="1299"/>
      <c r="AC531" s="1299"/>
      <c r="AD531" s="1299"/>
      <c r="AE531" s="1299"/>
      <c r="AF531" s="870">
        <v>2178.8015579661014</v>
      </c>
      <c r="AG531" s="829"/>
      <c r="AH531" s="830"/>
    </row>
    <row r="532" spans="25:34" hidden="1">
      <c r="Y532" s="831" t="s">
        <v>198</v>
      </c>
      <c r="Z532" s="1308" t="s">
        <v>511</v>
      </c>
      <c r="AA532" s="1308"/>
      <c r="AB532" s="1308"/>
      <c r="AC532" s="1308"/>
      <c r="AD532" s="1308"/>
      <c r="AE532" s="1308"/>
      <c r="AF532" s="828">
        <v>393.89576271186445</v>
      </c>
      <c r="AG532" s="834">
        <v>42527</v>
      </c>
      <c r="AH532" s="834">
        <v>42588</v>
      </c>
    </row>
    <row r="533" spans="25:34" ht="15" hidden="1" customHeight="1">
      <c r="Y533" s="831" t="s">
        <v>199</v>
      </c>
      <c r="Z533" s="1307" t="s">
        <v>2126</v>
      </c>
      <c r="AA533" s="1307"/>
      <c r="AB533" s="1307"/>
      <c r="AC533" s="1307"/>
      <c r="AD533" s="1307"/>
      <c r="AE533" s="1307"/>
      <c r="AF533" s="47">
        <v>440.08813559322033</v>
      </c>
      <c r="AG533" s="834">
        <v>42527</v>
      </c>
      <c r="AH533" s="834">
        <v>42588</v>
      </c>
    </row>
    <row r="534" spans="25:34" hidden="1">
      <c r="Y534" s="831" t="s">
        <v>200</v>
      </c>
      <c r="Z534" s="1308" t="s">
        <v>524</v>
      </c>
      <c r="AA534" s="1308"/>
      <c r="AB534" s="1308"/>
      <c r="AC534" s="1308"/>
      <c r="AD534" s="1308"/>
      <c r="AE534" s="1308"/>
      <c r="AF534" s="871">
        <v>217.30637999999999</v>
      </c>
      <c r="AG534" s="592" t="s">
        <v>2127</v>
      </c>
      <c r="AH534" s="834">
        <v>42674</v>
      </c>
    </row>
    <row r="535" spans="25:34" hidden="1">
      <c r="Y535" s="831" t="s">
        <v>201</v>
      </c>
      <c r="Z535" s="1308" t="s">
        <v>528</v>
      </c>
      <c r="AA535" s="1308"/>
      <c r="AB535" s="1308"/>
      <c r="AC535" s="1308"/>
      <c r="AD535" s="1308"/>
      <c r="AE535" s="1308"/>
      <c r="AF535" s="871">
        <v>338.3</v>
      </c>
      <c r="AG535" s="592" t="s">
        <v>2128</v>
      </c>
      <c r="AH535" s="835">
        <v>42596</v>
      </c>
    </row>
    <row r="536" spans="25:34" hidden="1">
      <c r="Y536" s="831" t="s">
        <v>202</v>
      </c>
      <c r="Z536" s="1308" t="s">
        <v>541</v>
      </c>
      <c r="AA536" s="1308"/>
      <c r="AB536" s="1308"/>
      <c r="AC536" s="1308"/>
      <c r="AD536" s="1308"/>
      <c r="AE536" s="1308"/>
      <c r="AF536" s="828">
        <v>263.6547288135593</v>
      </c>
      <c r="AG536" s="592" t="s">
        <v>2128</v>
      </c>
      <c r="AH536" s="835">
        <v>42596</v>
      </c>
    </row>
    <row r="537" spans="25:34" hidden="1">
      <c r="Y537" s="831" t="s">
        <v>203</v>
      </c>
      <c r="Z537" s="1308" t="s">
        <v>542</v>
      </c>
      <c r="AA537" s="1308"/>
      <c r="AB537" s="1308"/>
      <c r="AC537" s="1308"/>
      <c r="AD537" s="1308"/>
      <c r="AE537" s="1308"/>
      <c r="AF537" s="47">
        <v>413.15999999999997</v>
      </c>
      <c r="AG537" s="592" t="s">
        <v>2128</v>
      </c>
      <c r="AH537" s="835">
        <v>42596</v>
      </c>
    </row>
    <row r="538" spans="25:34" hidden="1">
      <c r="Y538" s="831" t="s">
        <v>204</v>
      </c>
      <c r="Z538" s="1308" t="s">
        <v>860</v>
      </c>
      <c r="AA538" s="1308"/>
      <c r="AB538" s="1308"/>
      <c r="AC538" s="1308"/>
      <c r="AD538" s="1308"/>
      <c r="AE538" s="1308"/>
      <c r="AF538" s="871">
        <v>112.39655084745763</v>
      </c>
      <c r="AG538" s="592" t="s">
        <v>2128</v>
      </c>
      <c r="AH538" s="835">
        <v>42596</v>
      </c>
    </row>
    <row r="539" spans="25:34" ht="15.75" hidden="1">
      <c r="Y539" s="1299" t="s">
        <v>2179</v>
      </c>
      <c r="Z539" s="1299"/>
      <c r="AA539" s="1299"/>
      <c r="AB539" s="1299"/>
      <c r="AC539" s="1299"/>
      <c r="AD539" s="1299"/>
      <c r="AE539" s="1299"/>
      <c r="AF539" s="838">
        <v>13840.998760338985</v>
      </c>
      <c r="AG539" s="836"/>
      <c r="AH539" s="830"/>
    </row>
    <row r="540" spans="25:34" ht="15" hidden="1" customHeight="1">
      <c r="Y540" s="831" t="s">
        <v>224</v>
      </c>
      <c r="Z540" s="1307" t="s">
        <v>547</v>
      </c>
      <c r="AA540" s="1307"/>
      <c r="AB540" s="1307"/>
      <c r="AC540" s="1307"/>
      <c r="AD540" s="1307"/>
      <c r="AE540" s="1307"/>
      <c r="AF540" s="871">
        <v>121.89</v>
      </c>
      <c r="AG540" s="834">
        <v>42527</v>
      </c>
      <c r="AH540" s="834">
        <v>42588</v>
      </c>
    </row>
    <row r="541" spans="25:34" ht="15" hidden="1" customHeight="1">
      <c r="Y541" s="831" t="s">
        <v>461</v>
      </c>
      <c r="Z541" s="1300" t="s">
        <v>550</v>
      </c>
      <c r="AA541" s="1300"/>
      <c r="AB541" s="1300"/>
      <c r="AC541" s="1300"/>
      <c r="AD541" s="1300"/>
      <c r="AE541" s="1300"/>
      <c r="AF541" s="828">
        <v>528.14</v>
      </c>
      <c r="AG541" s="592" t="s">
        <v>2128</v>
      </c>
      <c r="AH541" s="835">
        <v>42596</v>
      </c>
    </row>
    <row r="542" spans="25:34" ht="15" hidden="1" customHeight="1">
      <c r="Y542" s="831" t="s">
        <v>462</v>
      </c>
      <c r="Z542" s="1307" t="s">
        <v>551</v>
      </c>
      <c r="AA542" s="1307"/>
      <c r="AB542" s="1307"/>
      <c r="AC542" s="1307"/>
      <c r="AD542" s="1307"/>
      <c r="AE542" s="1307"/>
      <c r="AF542" s="871">
        <v>248.85730000000001</v>
      </c>
      <c r="AG542" s="592" t="s">
        <v>2128</v>
      </c>
      <c r="AH542" s="835">
        <v>42596</v>
      </c>
    </row>
    <row r="543" spans="25:34" ht="15" hidden="1" customHeight="1">
      <c r="Y543" s="831" t="s">
        <v>514</v>
      </c>
      <c r="Z543" s="1300" t="s">
        <v>552</v>
      </c>
      <c r="AA543" s="1300"/>
      <c r="AB543" s="1300"/>
      <c r="AC543" s="1300"/>
      <c r="AD543" s="1300"/>
      <c r="AE543" s="1300"/>
      <c r="AF543" s="871">
        <v>395.66499999999996</v>
      </c>
      <c r="AG543" s="592" t="s">
        <v>2127</v>
      </c>
      <c r="AH543" s="834">
        <v>42674</v>
      </c>
    </row>
    <row r="544" spans="25:34" ht="15" hidden="1" customHeight="1">
      <c r="Y544" s="831" t="s">
        <v>516</v>
      </c>
      <c r="Z544" s="1300" t="s">
        <v>553</v>
      </c>
      <c r="AA544" s="1300"/>
      <c r="AB544" s="1300"/>
      <c r="AC544" s="1300"/>
      <c r="AD544" s="1300"/>
      <c r="AE544" s="1300"/>
      <c r="AF544" s="828">
        <v>353.10305</v>
      </c>
      <c r="AG544" s="592" t="s">
        <v>2128</v>
      </c>
      <c r="AH544" s="835">
        <v>42596</v>
      </c>
    </row>
    <row r="545" spans="25:34" ht="15" hidden="1" customHeight="1">
      <c r="Y545" s="831" t="s">
        <v>518</v>
      </c>
      <c r="Z545" s="1300" t="s">
        <v>95</v>
      </c>
      <c r="AA545" s="1300"/>
      <c r="AB545" s="1300"/>
      <c r="AC545" s="1300"/>
      <c r="AD545" s="1300"/>
      <c r="AE545" s="1300"/>
      <c r="AF545" s="47">
        <v>126.72</v>
      </c>
      <c r="AG545" s="592" t="s">
        <v>2128</v>
      </c>
      <c r="AH545" s="835">
        <v>42596</v>
      </c>
    </row>
    <row r="546" spans="25:34" ht="15" hidden="1" customHeight="1">
      <c r="Y546" s="831" t="s">
        <v>520</v>
      </c>
      <c r="Z546" s="1300" t="s">
        <v>2130</v>
      </c>
      <c r="AA546" s="1300"/>
      <c r="AB546" s="1300"/>
      <c r="AC546" s="1300"/>
      <c r="AD546" s="1300"/>
      <c r="AE546" s="1300"/>
      <c r="AF546" s="871">
        <v>338.62711864406782</v>
      </c>
      <c r="AG546" s="835">
        <v>42354</v>
      </c>
      <c r="AH546" s="834">
        <v>42459</v>
      </c>
    </row>
    <row r="547" spans="25:34" ht="15" hidden="1" customHeight="1">
      <c r="Y547" s="831" t="s">
        <v>521</v>
      </c>
      <c r="Z547" s="1300" t="s">
        <v>1263</v>
      </c>
      <c r="AA547" s="1300"/>
      <c r="AB547" s="1300"/>
      <c r="AC547" s="1300"/>
      <c r="AD547" s="1300"/>
      <c r="AE547" s="1300"/>
      <c r="AF547" s="871">
        <v>32.848000000000006</v>
      </c>
      <c r="AG547" s="835">
        <v>42342</v>
      </c>
      <c r="AH547" s="834">
        <v>42429</v>
      </c>
    </row>
    <row r="548" spans="25:34" ht="15" hidden="1" customHeight="1">
      <c r="Y548" s="831" t="s">
        <v>523</v>
      </c>
      <c r="Z548" s="1300" t="s">
        <v>1264</v>
      </c>
      <c r="AA548" s="1300"/>
      <c r="AB548" s="1300"/>
      <c r="AC548" s="1300"/>
      <c r="AD548" s="1300"/>
      <c r="AE548" s="1300"/>
      <c r="AF548" s="871">
        <v>12.2661</v>
      </c>
      <c r="AG548" s="835">
        <v>42342</v>
      </c>
      <c r="AH548" s="834">
        <v>42429</v>
      </c>
    </row>
    <row r="549" spans="25:34" ht="15" hidden="1" customHeight="1">
      <c r="Y549" s="831" t="s">
        <v>525</v>
      </c>
      <c r="Z549" s="1300" t="s">
        <v>2131</v>
      </c>
      <c r="AA549" s="1300"/>
      <c r="AB549" s="1300"/>
      <c r="AC549" s="1300"/>
      <c r="AD549" s="1300"/>
      <c r="AE549" s="1300"/>
      <c r="AF549" s="828">
        <v>467.61099999999999</v>
      </c>
      <c r="AG549" s="592" t="s">
        <v>2132</v>
      </c>
      <c r="AH549" s="834">
        <v>42505</v>
      </c>
    </row>
    <row r="550" spans="25:34" ht="15" hidden="1" customHeight="1">
      <c r="Y550" s="831" t="s">
        <v>527</v>
      </c>
      <c r="Z550" s="1300" t="s">
        <v>60</v>
      </c>
      <c r="AA550" s="1300"/>
      <c r="AB550" s="1300"/>
      <c r="AC550" s="1300"/>
      <c r="AD550" s="1300"/>
      <c r="AE550" s="1300"/>
      <c r="AF550" s="47">
        <v>274.32799999999997</v>
      </c>
      <c r="AG550" s="592" t="s">
        <v>2133</v>
      </c>
      <c r="AH550" s="834">
        <v>42396</v>
      </c>
    </row>
    <row r="551" spans="25:34" ht="15" hidden="1" customHeight="1">
      <c r="Y551" s="831" t="s">
        <v>529</v>
      </c>
      <c r="Z551" s="1300" t="s">
        <v>2134</v>
      </c>
      <c r="AA551" s="1300"/>
      <c r="AB551" s="1300"/>
      <c r="AC551" s="1300"/>
      <c r="AD551" s="1300"/>
      <c r="AE551" s="1300"/>
      <c r="AF551" s="871">
        <v>69.754009999999994</v>
      </c>
      <c r="AG551" s="835">
        <v>42355</v>
      </c>
      <c r="AH551" s="834">
        <v>42429</v>
      </c>
    </row>
    <row r="552" spans="25:34" ht="15" hidden="1" customHeight="1">
      <c r="Y552" s="831" t="s">
        <v>530</v>
      </c>
      <c r="Z552" s="1300" t="s">
        <v>2135</v>
      </c>
      <c r="AA552" s="1300"/>
      <c r="AB552" s="1300"/>
      <c r="AC552" s="1300"/>
      <c r="AD552" s="1300"/>
      <c r="AE552" s="1300"/>
      <c r="AF552" s="828">
        <v>48.951520000000002</v>
      </c>
      <c r="AG552" s="835">
        <v>42355</v>
      </c>
      <c r="AH552" s="834">
        <v>42429</v>
      </c>
    </row>
    <row r="553" spans="25:34" ht="15" hidden="1" customHeight="1">
      <c r="Y553" s="831" t="s">
        <v>532</v>
      </c>
      <c r="Z553" s="1300" t="s">
        <v>2136</v>
      </c>
      <c r="AA553" s="1300"/>
      <c r="AB553" s="1300"/>
      <c r="AC553" s="1300"/>
      <c r="AD553" s="1300"/>
      <c r="AE553" s="1300"/>
      <c r="AF553" s="871">
        <v>691.92121186440681</v>
      </c>
      <c r="AG553" s="835">
        <v>42359</v>
      </c>
      <c r="AH553" s="834">
        <v>42439</v>
      </c>
    </row>
    <row r="554" spans="25:34" ht="15" hidden="1" customHeight="1">
      <c r="Y554" s="831" t="s">
        <v>534</v>
      </c>
      <c r="Z554" s="1300" t="s">
        <v>2137</v>
      </c>
      <c r="AA554" s="1300"/>
      <c r="AB554" s="1300"/>
      <c r="AC554" s="1300"/>
      <c r="AD554" s="1300"/>
      <c r="AE554" s="1300"/>
      <c r="AF554" s="871">
        <v>129.60037</v>
      </c>
      <c r="AG554" s="835">
        <v>42485</v>
      </c>
      <c r="AH554" s="835">
        <v>42485</v>
      </c>
    </row>
    <row r="555" spans="25:34" ht="15" hidden="1" customHeight="1">
      <c r="Y555" s="831" t="s">
        <v>536</v>
      </c>
      <c r="Z555" s="1300" t="s">
        <v>2138</v>
      </c>
      <c r="AA555" s="1300"/>
      <c r="AB555" s="1300"/>
      <c r="AC555" s="1300"/>
      <c r="AD555" s="1300"/>
      <c r="AE555" s="1300"/>
      <c r="AF555" s="828">
        <v>727.41877999999997</v>
      </c>
      <c r="AG555" s="835">
        <v>42485</v>
      </c>
      <c r="AH555" s="835">
        <v>42485</v>
      </c>
    </row>
    <row r="556" spans="25:34" ht="15" hidden="1" customHeight="1">
      <c r="Y556" s="831" t="s">
        <v>537</v>
      </c>
      <c r="Z556" s="1300" t="s">
        <v>2139</v>
      </c>
      <c r="AA556" s="1300"/>
      <c r="AB556" s="1300"/>
      <c r="AC556" s="1300"/>
      <c r="AD556" s="1300"/>
      <c r="AE556" s="1300"/>
      <c r="AF556" s="47">
        <v>733.88909000000001</v>
      </c>
      <c r="AG556" s="835">
        <v>42485</v>
      </c>
      <c r="AH556" s="835">
        <v>42485</v>
      </c>
    </row>
    <row r="557" spans="25:34" ht="15" hidden="1" customHeight="1">
      <c r="Y557" s="831" t="s">
        <v>538</v>
      </c>
      <c r="Z557" s="1300" t="s">
        <v>2140</v>
      </c>
      <c r="AA557" s="1300"/>
      <c r="AB557" s="1300"/>
      <c r="AC557" s="1300"/>
      <c r="AD557" s="1300"/>
      <c r="AE557" s="1300"/>
      <c r="AF557" s="47">
        <v>368.73</v>
      </c>
      <c r="AG557" s="835">
        <v>42485</v>
      </c>
      <c r="AH557" s="835">
        <v>42485</v>
      </c>
    </row>
    <row r="558" spans="25:34" ht="15" hidden="1" customHeight="1">
      <c r="Y558" s="831" t="s">
        <v>2129</v>
      </c>
      <c r="Z558" s="1300" t="s">
        <v>2141</v>
      </c>
      <c r="AA558" s="1300"/>
      <c r="AB558" s="1300"/>
      <c r="AC558" s="1300"/>
      <c r="AD558" s="1300"/>
      <c r="AE558" s="1300"/>
      <c r="AF558" s="47">
        <v>832.62007000000006</v>
      </c>
      <c r="AG558" s="835">
        <v>42503</v>
      </c>
      <c r="AH558" s="834">
        <v>42534</v>
      </c>
    </row>
    <row r="559" spans="25:34" ht="15" hidden="1" customHeight="1">
      <c r="Y559" s="831" t="s">
        <v>2180</v>
      </c>
      <c r="Z559" s="1300" t="s">
        <v>2142</v>
      </c>
      <c r="AA559" s="1300"/>
      <c r="AB559" s="1300"/>
      <c r="AC559" s="1300"/>
      <c r="AD559" s="1300"/>
      <c r="AE559" s="1300"/>
      <c r="AF559" s="47">
        <v>301.83749999999998</v>
      </c>
      <c r="AG559" s="835">
        <v>42503</v>
      </c>
      <c r="AH559" s="834">
        <v>42534</v>
      </c>
    </row>
    <row r="560" spans="25:34" ht="15" hidden="1" customHeight="1">
      <c r="Y560" s="831" t="s">
        <v>2181</v>
      </c>
      <c r="Z560" s="1300" t="s">
        <v>2143</v>
      </c>
      <c r="AA560" s="1300"/>
      <c r="AB560" s="1300"/>
      <c r="AC560" s="1300"/>
      <c r="AD560" s="1300"/>
      <c r="AE560" s="1300"/>
      <c r="AF560" s="47">
        <v>464.51738999999998</v>
      </c>
      <c r="AG560" s="835">
        <v>42503</v>
      </c>
      <c r="AH560" s="834">
        <v>42534</v>
      </c>
    </row>
    <row r="561" spans="25:34" ht="15" hidden="1" customHeight="1">
      <c r="Y561" s="831" t="s">
        <v>2182</v>
      </c>
      <c r="Z561" s="1300" t="s">
        <v>2144</v>
      </c>
      <c r="AA561" s="1300"/>
      <c r="AB561" s="1300"/>
      <c r="AC561" s="1300"/>
      <c r="AD561" s="1300"/>
      <c r="AE561" s="1300"/>
      <c r="AF561" s="871">
        <v>131.90635</v>
      </c>
      <c r="AG561" s="835">
        <v>42503</v>
      </c>
      <c r="AH561" s="834">
        <v>42534</v>
      </c>
    </row>
    <row r="562" spans="25:34" ht="15" hidden="1" customHeight="1">
      <c r="Y562" s="831" t="s">
        <v>2183</v>
      </c>
      <c r="Z562" s="1300" t="s">
        <v>2145</v>
      </c>
      <c r="AA562" s="1300"/>
      <c r="AB562" s="1300"/>
      <c r="AC562" s="1300"/>
      <c r="AD562" s="1300"/>
      <c r="AE562" s="1300"/>
      <c r="AF562" s="871">
        <v>375.27</v>
      </c>
      <c r="AG562" s="835">
        <v>42501</v>
      </c>
      <c r="AH562" s="834">
        <v>42532</v>
      </c>
    </row>
    <row r="563" spans="25:34" ht="15" hidden="1" customHeight="1">
      <c r="Y563" s="831" t="s">
        <v>2184</v>
      </c>
      <c r="Z563" s="1300" t="s">
        <v>2146</v>
      </c>
      <c r="AA563" s="1300"/>
      <c r="AB563" s="1300"/>
      <c r="AC563" s="1300"/>
      <c r="AD563" s="1300"/>
      <c r="AE563" s="1300"/>
      <c r="AF563" s="871">
        <v>96</v>
      </c>
      <c r="AG563" s="835">
        <v>42501</v>
      </c>
      <c r="AH563" s="834">
        <v>42532</v>
      </c>
    </row>
    <row r="564" spans="25:34" ht="15" hidden="1" customHeight="1">
      <c r="Y564" s="831" t="s">
        <v>2185</v>
      </c>
      <c r="Z564" s="1300" t="s">
        <v>303</v>
      </c>
      <c r="AA564" s="1300"/>
      <c r="AB564" s="1300"/>
      <c r="AC564" s="1300"/>
      <c r="AD564" s="1300"/>
      <c r="AE564" s="1300"/>
      <c r="AF564" s="828">
        <v>193.63</v>
      </c>
      <c r="AG564" s="835">
        <v>42501</v>
      </c>
      <c r="AH564" s="834">
        <v>42532</v>
      </c>
    </row>
    <row r="565" spans="25:34" ht="15" hidden="1" customHeight="1">
      <c r="Y565" s="831" t="s">
        <v>2186</v>
      </c>
      <c r="Z565" s="1300" t="s">
        <v>2147</v>
      </c>
      <c r="AA565" s="1300"/>
      <c r="AB565" s="1300"/>
      <c r="AC565" s="1300"/>
      <c r="AD565" s="1300"/>
      <c r="AE565" s="1300"/>
      <c r="AF565" s="871">
        <v>116.44999999999999</v>
      </c>
      <c r="AG565" s="835">
        <v>42501</v>
      </c>
      <c r="AH565" s="834">
        <v>42532</v>
      </c>
    </row>
    <row r="566" spans="25:34" ht="15" hidden="1" customHeight="1">
      <c r="Y566" s="831" t="s">
        <v>2187</v>
      </c>
      <c r="Z566" s="1300" t="s">
        <v>1280</v>
      </c>
      <c r="AA566" s="1300"/>
      <c r="AB566" s="1300"/>
      <c r="AC566" s="1300"/>
      <c r="AD566" s="1300"/>
      <c r="AE566" s="1300"/>
      <c r="AF566" s="828">
        <v>135.28</v>
      </c>
      <c r="AG566" s="592" t="s">
        <v>2148</v>
      </c>
      <c r="AH566" s="834">
        <v>42625</v>
      </c>
    </row>
    <row r="567" spans="25:34" ht="15" hidden="1" customHeight="1">
      <c r="Y567" s="831" t="s">
        <v>2188</v>
      </c>
      <c r="Z567" s="1300" t="s">
        <v>2149</v>
      </c>
      <c r="AA567" s="1300"/>
      <c r="AB567" s="1300"/>
      <c r="AC567" s="1300"/>
      <c r="AD567" s="1300"/>
      <c r="AE567" s="1300"/>
      <c r="AF567" s="47">
        <v>197.28</v>
      </c>
      <c r="AG567" s="592" t="s">
        <v>2148</v>
      </c>
      <c r="AH567" s="834">
        <v>42625</v>
      </c>
    </row>
    <row r="568" spans="25:34" ht="15" hidden="1" customHeight="1">
      <c r="Y568" s="831" t="s">
        <v>2189</v>
      </c>
      <c r="Z568" s="1300" t="s">
        <v>2150</v>
      </c>
      <c r="AA568" s="1300"/>
      <c r="AB568" s="1300"/>
      <c r="AC568" s="1300"/>
      <c r="AD568" s="1300"/>
      <c r="AE568" s="1300"/>
      <c r="AF568" s="47">
        <v>242.06404237288137</v>
      </c>
      <c r="AG568" s="592" t="s">
        <v>2148</v>
      </c>
      <c r="AH568" s="834">
        <v>42625</v>
      </c>
    </row>
    <row r="569" spans="25:34" ht="15" hidden="1" customHeight="1">
      <c r="Y569" s="831" t="s">
        <v>2190</v>
      </c>
      <c r="Z569" s="1300" t="s">
        <v>2151</v>
      </c>
      <c r="AA569" s="1300"/>
      <c r="AB569" s="1300"/>
      <c r="AC569" s="1300"/>
      <c r="AD569" s="1300"/>
      <c r="AE569" s="1300"/>
      <c r="AF569" s="47">
        <v>435.22542372881361</v>
      </c>
      <c r="AG569" s="592" t="s">
        <v>2148</v>
      </c>
      <c r="AH569" s="834">
        <v>42625</v>
      </c>
    </row>
    <row r="570" spans="25:34" ht="15" hidden="1" customHeight="1">
      <c r="Y570" s="831" t="s">
        <v>2191</v>
      </c>
      <c r="Z570" s="1300" t="s">
        <v>2152</v>
      </c>
      <c r="AA570" s="1300"/>
      <c r="AB570" s="1300"/>
      <c r="AC570" s="1300"/>
      <c r="AD570" s="1300"/>
      <c r="AE570" s="1300"/>
      <c r="AF570" s="871">
        <v>253.26525423728816</v>
      </c>
      <c r="AG570" s="592" t="s">
        <v>2148</v>
      </c>
      <c r="AH570" s="834">
        <v>42625</v>
      </c>
    </row>
    <row r="571" spans="25:34" ht="15" hidden="1" customHeight="1">
      <c r="Y571" s="831" t="s">
        <v>2192</v>
      </c>
      <c r="Z571" s="1300" t="s">
        <v>2153</v>
      </c>
      <c r="AA571" s="1300"/>
      <c r="AB571" s="1300"/>
      <c r="AC571" s="1300"/>
      <c r="AD571" s="1300"/>
      <c r="AE571" s="1300"/>
      <c r="AF571" s="828">
        <v>371.65423728813562</v>
      </c>
      <c r="AG571" s="592" t="s">
        <v>2148</v>
      </c>
      <c r="AH571" s="834">
        <v>42625</v>
      </c>
    </row>
    <row r="572" spans="25:34" ht="15" hidden="1" customHeight="1">
      <c r="Y572" s="831" t="s">
        <v>2193</v>
      </c>
      <c r="Z572" s="1300" t="s">
        <v>2154</v>
      </c>
      <c r="AA572" s="1300"/>
      <c r="AB572" s="1300"/>
      <c r="AC572" s="1300"/>
      <c r="AD572" s="1300"/>
      <c r="AE572" s="1300"/>
      <c r="AF572" s="47">
        <v>393.3661016949153</v>
      </c>
      <c r="AG572" s="592" t="s">
        <v>2148</v>
      </c>
      <c r="AH572" s="834">
        <v>42625</v>
      </c>
    </row>
    <row r="573" spans="25:34" ht="15" hidden="1" customHeight="1">
      <c r="Y573" s="831" t="s">
        <v>2194</v>
      </c>
      <c r="Z573" s="1300" t="s">
        <v>2155</v>
      </c>
      <c r="AA573" s="1300"/>
      <c r="AB573" s="1300"/>
      <c r="AC573" s="1300"/>
      <c r="AD573" s="1300"/>
      <c r="AE573" s="1300"/>
      <c r="AF573" s="871">
        <v>449.2</v>
      </c>
      <c r="AG573" s="835" t="s">
        <v>2156</v>
      </c>
      <c r="AH573" s="835">
        <v>42618</v>
      </c>
    </row>
    <row r="574" spans="25:34" ht="15" hidden="1" customHeight="1">
      <c r="Y574" s="831" t="s">
        <v>2195</v>
      </c>
      <c r="Z574" s="1300" t="s">
        <v>2157</v>
      </c>
      <c r="AA574" s="1300"/>
      <c r="AB574" s="1300"/>
      <c r="AC574" s="1300"/>
      <c r="AD574" s="1300"/>
      <c r="AE574" s="1300"/>
      <c r="AF574" s="828">
        <v>256</v>
      </c>
      <c r="AG574" s="835" t="s">
        <v>2156</v>
      </c>
      <c r="AH574" s="835">
        <v>42618</v>
      </c>
    </row>
    <row r="575" spans="25:34" ht="15" hidden="1" customHeight="1">
      <c r="Y575" s="831" t="s">
        <v>2196</v>
      </c>
      <c r="Z575" s="1300" t="s">
        <v>2158</v>
      </c>
      <c r="AA575" s="1300"/>
      <c r="AB575" s="1300"/>
      <c r="AC575" s="1300"/>
      <c r="AD575" s="1300"/>
      <c r="AE575" s="1300"/>
      <c r="AF575" s="871">
        <v>312.40219000000002</v>
      </c>
      <c r="AG575" s="835" t="s">
        <v>2156</v>
      </c>
      <c r="AH575" s="835">
        <v>42618</v>
      </c>
    </row>
    <row r="576" spans="25:34" ht="15" hidden="1" customHeight="1">
      <c r="Y576" s="831" t="s">
        <v>2197</v>
      </c>
      <c r="Z576" s="1300" t="s">
        <v>2159</v>
      </c>
      <c r="AA576" s="1300"/>
      <c r="AB576" s="1300"/>
      <c r="AC576" s="1300"/>
      <c r="AD576" s="1300"/>
      <c r="AE576" s="1300"/>
      <c r="AF576" s="828">
        <v>296.89</v>
      </c>
      <c r="AG576" s="835" t="s">
        <v>2156</v>
      </c>
      <c r="AH576" s="835">
        <v>42618</v>
      </c>
    </row>
    <row r="577" spans="25:34" ht="15" hidden="1" customHeight="1">
      <c r="Y577" s="831" t="s">
        <v>2198</v>
      </c>
      <c r="Z577" s="1300" t="s">
        <v>2160</v>
      </c>
      <c r="AA577" s="1300"/>
      <c r="AB577" s="1300"/>
      <c r="AC577" s="1300"/>
      <c r="AD577" s="1300"/>
      <c r="AE577" s="1300"/>
      <c r="AF577" s="47">
        <v>693.09</v>
      </c>
      <c r="AG577" s="835" t="s">
        <v>2156</v>
      </c>
      <c r="AH577" s="835">
        <v>42618</v>
      </c>
    </row>
    <row r="578" spans="25:34" ht="15" hidden="1" customHeight="1">
      <c r="Y578" s="831" t="s">
        <v>2199</v>
      </c>
      <c r="Z578" s="1300" t="s">
        <v>2161</v>
      </c>
      <c r="AA578" s="1300"/>
      <c r="AB578" s="1300"/>
      <c r="AC578" s="1300"/>
      <c r="AD578" s="1300"/>
      <c r="AE578" s="1300"/>
      <c r="AF578" s="47">
        <v>263</v>
      </c>
      <c r="AG578" s="835" t="s">
        <v>2156</v>
      </c>
      <c r="AH578" s="835">
        <v>42618</v>
      </c>
    </row>
    <row r="579" spans="25:34" ht="15" hidden="1" customHeight="1">
      <c r="Y579" s="831" t="s">
        <v>2200</v>
      </c>
      <c r="Z579" s="1300" t="s">
        <v>2162</v>
      </c>
      <c r="AA579" s="1300"/>
      <c r="AB579" s="1300"/>
      <c r="AC579" s="1300"/>
      <c r="AD579" s="1300"/>
      <c r="AE579" s="1300"/>
      <c r="AF579" s="47">
        <v>73.739320000000006</v>
      </c>
      <c r="AG579" s="835" t="s">
        <v>2156</v>
      </c>
      <c r="AH579" s="835">
        <v>42618</v>
      </c>
    </row>
    <row r="580" spans="25:34" ht="15" hidden="1" customHeight="1">
      <c r="Y580" s="831" t="s">
        <v>2201</v>
      </c>
      <c r="Z580" s="1300" t="s">
        <v>2163</v>
      </c>
      <c r="AA580" s="1300"/>
      <c r="AB580" s="1300"/>
      <c r="AC580" s="1300"/>
      <c r="AD580" s="1300"/>
      <c r="AE580" s="1300"/>
      <c r="AF580" s="47">
        <v>1243.4906779661017</v>
      </c>
      <c r="AG580" s="835" t="s">
        <v>2148</v>
      </c>
      <c r="AH580" s="835">
        <v>42593</v>
      </c>
    </row>
    <row r="581" spans="25:34" ht="15" hidden="1" customHeight="1">
      <c r="Y581" s="831" t="s">
        <v>2202</v>
      </c>
      <c r="Z581" s="1300" t="s">
        <v>2164</v>
      </c>
      <c r="AA581" s="1300"/>
      <c r="AB581" s="1300"/>
      <c r="AC581" s="1300"/>
      <c r="AD581" s="1300"/>
      <c r="AE581" s="1300"/>
      <c r="AF581" s="47">
        <v>42.499652542372885</v>
      </c>
      <c r="AG581" s="835" t="s">
        <v>2165</v>
      </c>
      <c r="AH581" s="835">
        <v>42616</v>
      </c>
    </row>
    <row r="582" spans="25:34" ht="15.75" hidden="1">
      <c r="Y582" s="1299" t="s">
        <v>2203</v>
      </c>
      <c r="Z582" s="1299"/>
      <c r="AA582" s="1299"/>
      <c r="AB582" s="1299"/>
      <c r="AC582" s="1299"/>
      <c r="AD582" s="1299"/>
      <c r="AE582" s="1299"/>
      <c r="AF582" s="870">
        <v>12991.911025423731</v>
      </c>
      <c r="AG582" s="836"/>
      <c r="AH582" s="837"/>
    </row>
    <row r="583" spans="25:34" ht="15" hidden="1" customHeight="1">
      <c r="Y583" s="1309" t="s">
        <v>225</v>
      </c>
      <c r="Z583" s="1310" t="s">
        <v>2166</v>
      </c>
      <c r="AA583" s="1310"/>
      <c r="AB583" s="1310"/>
      <c r="AC583" s="1310"/>
      <c r="AD583" s="1310"/>
      <c r="AE583" s="1310"/>
      <c r="AF583" s="828">
        <v>847.04750000000001</v>
      </c>
      <c r="AG583" s="832" t="s">
        <v>2167</v>
      </c>
      <c r="AH583" s="834">
        <v>42454</v>
      </c>
    </row>
    <row r="584" spans="25:34" hidden="1">
      <c r="Y584" s="1309"/>
      <c r="Z584" s="1310"/>
      <c r="AA584" s="1310"/>
      <c r="AB584" s="1310"/>
      <c r="AC584" s="1310"/>
      <c r="AD584" s="1310"/>
      <c r="AE584" s="1310"/>
      <c r="AF584" s="47">
        <v>5167.6542372881358</v>
      </c>
      <c r="AG584" s="832" t="s">
        <v>2168</v>
      </c>
      <c r="AH584" s="834">
        <v>42735</v>
      </c>
    </row>
    <row r="585" spans="25:34" hidden="1">
      <c r="Y585" s="1309"/>
      <c r="Z585" s="1310"/>
      <c r="AA585" s="1310"/>
      <c r="AB585" s="1310"/>
      <c r="AC585" s="1310"/>
      <c r="AD585" s="1310"/>
      <c r="AE585" s="1310"/>
      <c r="AF585" s="47">
        <v>5419.0792881355937</v>
      </c>
      <c r="AG585" s="833">
        <v>42503</v>
      </c>
      <c r="AH585" s="834">
        <v>42735</v>
      </c>
    </row>
    <row r="586" spans="25:34" hidden="1">
      <c r="Y586" s="1309"/>
      <c r="Z586" s="1310"/>
      <c r="AA586" s="1310"/>
      <c r="AB586" s="1310"/>
      <c r="AC586" s="1310"/>
      <c r="AD586" s="1310"/>
      <c r="AE586" s="1310"/>
      <c r="AF586" s="47">
        <v>1558.13</v>
      </c>
      <c r="AG586" s="832" t="s">
        <v>2169</v>
      </c>
      <c r="AH586" s="834">
        <v>42505</v>
      </c>
    </row>
    <row r="587" spans="25:34" ht="15.75" hidden="1">
      <c r="Y587" s="1299" t="s">
        <v>2204</v>
      </c>
      <c r="Z587" s="1299"/>
      <c r="AA587" s="1299"/>
      <c r="AB587" s="1299"/>
      <c r="AC587" s="1299"/>
      <c r="AD587" s="1299"/>
      <c r="AE587" s="1299"/>
      <c r="AF587" s="869">
        <v>636.40838000000008</v>
      </c>
      <c r="AG587" s="836"/>
      <c r="AH587" s="837"/>
    </row>
    <row r="588" spans="25:34" ht="15" hidden="1" customHeight="1">
      <c r="Y588" s="831" t="s">
        <v>240</v>
      </c>
      <c r="Z588" s="1307" t="s">
        <v>580</v>
      </c>
      <c r="AA588" s="1307"/>
      <c r="AB588" s="1307"/>
      <c r="AC588" s="1307"/>
      <c r="AD588" s="1307"/>
      <c r="AE588" s="1307"/>
      <c r="AF588" s="871">
        <v>71.804919999999996</v>
      </c>
      <c r="AG588" s="592" t="s">
        <v>2170</v>
      </c>
      <c r="AH588" s="835">
        <v>42536</v>
      </c>
    </row>
    <row r="589" spans="25:34" ht="15" hidden="1" customHeight="1">
      <c r="Y589" s="831" t="s">
        <v>241</v>
      </c>
      <c r="Z589" s="1307" t="s">
        <v>582</v>
      </c>
      <c r="AA589" s="1307"/>
      <c r="AB589" s="1307"/>
      <c r="AC589" s="1307"/>
      <c r="AD589" s="1307"/>
      <c r="AE589" s="1307"/>
      <c r="AF589" s="871">
        <v>55.883510000000001</v>
      </c>
      <c r="AG589" s="592" t="s">
        <v>2170</v>
      </c>
      <c r="AH589" s="834">
        <v>42507</v>
      </c>
    </row>
    <row r="590" spans="25:34" ht="15" hidden="1" customHeight="1">
      <c r="Y590" s="831" t="s">
        <v>557</v>
      </c>
      <c r="Z590" s="1307" t="s">
        <v>584</v>
      </c>
      <c r="AA590" s="1307"/>
      <c r="AB590" s="1307"/>
      <c r="AC590" s="1307"/>
      <c r="AD590" s="1307"/>
      <c r="AE590" s="1307"/>
      <c r="AF590" s="871">
        <v>76.872990000000001</v>
      </c>
      <c r="AG590" s="592" t="s">
        <v>2170</v>
      </c>
      <c r="AH590" s="834">
        <v>42507</v>
      </c>
    </row>
    <row r="591" spans="25:34" ht="15" hidden="1" customHeight="1">
      <c r="Y591" s="831" t="s">
        <v>558</v>
      </c>
      <c r="Z591" s="1307" t="s">
        <v>586</v>
      </c>
      <c r="AA591" s="1307"/>
      <c r="AB591" s="1307"/>
      <c r="AC591" s="1307"/>
      <c r="AD591" s="1307"/>
      <c r="AE591" s="1307"/>
      <c r="AF591" s="871">
        <v>27.415880000000001</v>
      </c>
      <c r="AG591" s="592" t="s">
        <v>2170</v>
      </c>
      <c r="AH591" s="834">
        <v>42507</v>
      </c>
    </row>
    <row r="592" spans="25:34" ht="15" hidden="1" customHeight="1">
      <c r="Y592" s="831" t="s">
        <v>559</v>
      </c>
      <c r="Z592" s="1307" t="s">
        <v>588</v>
      </c>
      <c r="AA592" s="1307"/>
      <c r="AB592" s="1307"/>
      <c r="AC592" s="1307"/>
      <c r="AD592" s="1307"/>
      <c r="AE592" s="1307"/>
      <c r="AF592" s="871">
        <v>32.513339999999999</v>
      </c>
      <c r="AG592" s="592" t="s">
        <v>2170</v>
      </c>
      <c r="AH592" s="834">
        <v>42507</v>
      </c>
    </row>
    <row r="593" spans="25:34" ht="15" hidden="1" customHeight="1">
      <c r="Y593" s="831" t="s">
        <v>561</v>
      </c>
      <c r="Z593" s="1307" t="s">
        <v>590</v>
      </c>
      <c r="AA593" s="1307"/>
      <c r="AB593" s="1307"/>
      <c r="AC593" s="1307"/>
      <c r="AD593" s="1307"/>
      <c r="AE593" s="1307"/>
      <c r="AF593" s="871">
        <v>29.73967</v>
      </c>
      <c r="AG593" s="592" t="s">
        <v>2170</v>
      </c>
      <c r="AH593" s="834">
        <v>42536</v>
      </c>
    </row>
    <row r="594" spans="25:34" ht="15" hidden="1" customHeight="1">
      <c r="Y594" s="831" t="s">
        <v>562</v>
      </c>
      <c r="Z594" s="1307" t="s">
        <v>592</v>
      </c>
      <c r="AA594" s="1307"/>
      <c r="AB594" s="1307"/>
      <c r="AC594" s="1307"/>
      <c r="AD594" s="1307"/>
      <c r="AE594" s="1307"/>
      <c r="AF594" s="871">
        <v>28.159680000000002</v>
      </c>
      <c r="AG594" s="592" t="s">
        <v>2170</v>
      </c>
      <c r="AH594" s="834">
        <v>42507</v>
      </c>
    </row>
    <row r="595" spans="25:34" ht="15" hidden="1" customHeight="1">
      <c r="Y595" s="831" t="s">
        <v>1956</v>
      </c>
      <c r="Z595" s="1307" t="s">
        <v>594</v>
      </c>
      <c r="AA595" s="1307"/>
      <c r="AB595" s="1307"/>
      <c r="AC595" s="1307"/>
      <c r="AD595" s="1307"/>
      <c r="AE595" s="1307"/>
      <c r="AF595" s="871">
        <v>37.468110000000003</v>
      </c>
      <c r="AG595" s="592" t="s">
        <v>2170</v>
      </c>
      <c r="AH595" s="834">
        <v>42536</v>
      </c>
    </row>
    <row r="596" spans="25:34" ht="15" hidden="1" customHeight="1">
      <c r="Y596" s="831" t="s">
        <v>1957</v>
      </c>
      <c r="Z596" s="1307" t="s">
        <v>596</v>
      </c>
      <c r="AA596" s="1307"/>
      <c r="AB596" s="1307"/>
      <c r="AC596" s="1307"/>
      <c r="AD596" s="1307"/>
      <c r="AE596" s="1307"/>
      <c r="AF596" s="871">
        <v>23.641459999999999</v>
      </c>
      <c r="AG596" s="592" t="s">
        <v>2170</v>
      </c>
      <c r="AH596" s="834">
        <v>42507</v>
      </c>
    </row>
    <row r="597" spans="25:34" ht="15" hidden="1" customHeight="1">
      <c r="Y597" s="831" t="s">
        <v>1959</v>
      </c>
      <c r="Z597" s="1307" t="s">
        <v>598</v>
      </c>
      <c r="AA597" s="1307"/>
      <c r="AB597" s="1307"/>
      <c r="AC597" s="1307"/>
      <c r="AD597" s="1307"/>
      <c r="AE597" s="1307"/>
      <c r="AF597" s="871">
        <v>42.237180000000002</v>
      </c>
      <c r="AG597" s="592" t="s">
        <v>2170</v>
      </c>
      <c r="AH597" s="834">
        <v>42507</v>
      </c>
    </row>
    <row r="598" spans="25:34" ht="15" hidden="1" customHeight="1">
      <c r="Y598" s="831" t="s">
        <v>2205</v>
      </c>
      <c r="Z598" s="1307" t="s">
        <v>600</v>
      </c>
      <c r="AA598" s="1307"/>
      <c r="AB598" s="1307"/>
      <c r="AC598" s="1307"/>
      <c r="AD598" s="1307"/>
      <c r="AE598" s="1307"/>
      <c r="AF598" s="871">
        <v>23.48847</v>
      </c>
      <c r="AG598" s="592" t="s">
        <v>2170</v>
      </c>
      <c r="AH598" s="834">
        <v>42536</v>
      </c>
    </row>
    <row r="599" spans="25:34" ht="15" hidden="1" customHeight="1">
      <c r="Y599" s="831" t="s">
        <v>2206</v>
      </c>
      <c r="Z599" s="1307" t="s">
        <v>602</v>
      </c>
      <c r="AA599" s="1307"/>
      <c r="AB599" s="1307"/>
      <c r="AC599" s="1307"/>
      <c r="AD599" s="1307"/>
      <c r="AE599" s="1307"/>
      <c r="AF599" s="871">
        <v>24.940650000000002</v>
      </c>
      <c r="AG599" s="592" t="s">
        <v>2170</v>
      </c>
      <c r="AH599" s="834">
        <v>42507</v>
      </c>
    </row>
    <row r="600" spans="25:34" ht="15" hidden="1" customHeight="1">
      <c r="Y600" s="831" t="s">
        <v>2207</v>
      </c>
      <c r="Z600" s="1307" t="s">
        <v>604</v>
      </c>
      <c r="AA600" s="1307"/>
      <c r="AB600" s="1307"/>
      <c r="AC600" s="1307"/>
      <c r="AD600" s="1307"/>
      <c r="AE600" s="1307"/>
      <c r="AF600" s="871">
        <v>27.087119999999999</v>
      </c>
      <c r="AG600" s="592" t="s">
        <v>2170</v>
      </c>
      <c r="AH600" s="834">
        <v>42507</v>
      </c>
    </row>
    <row r="601" spans="25:34" ht="15" hidden="1" customHeight="1">
      <c r="Y601" s="831" t="s">
        <v>2208</v>
      </c>
      <c r="Z601" s="1307" t="s">
        <v>606</v>
      </c>
      <c r="AA601" s="1307"/>
      <c r="AB601" s="1307"/>
      <c r="AC601" s="1307"/>
      <c r="AD601" s="1307"/>
      <c r="AE601" s="1307"/>
      <c r="AF601" s="871">
        <v>27.727119999999999</v>
      </c>
      <c r="AG601" s="592" t="s">
        <v>2170</v>
      </c>
      <c r="AH601" s="834">
        <v>42507</v>
      </c>
    </row>
    <row r="602" spans="25:34" ht="15" hidden="1" customHeight="1">
      <c r="Y602" s="831" t="s">
        <v>2209</v>
      </c>
      <c r="Z602" s="1307" t="s">
        <v>608</v>
      </c>
      <c r="AA602" s="1307"/>
      <c r="AB602" s="1307"/>
      <c r="AC602" s="1307"/>
      <c r="AD602" s="1307"/>
      <c r="AE602" s="1307"/>
      <c r="AF602" s="871">
        <v>28.095040000000001</v>
      </c>
      <c r="AG602" s="592" t="s">
        <v>2170</v>
      </c>
      <c r="AH602" s="834">
        <v>42507</v>
      </c>
    </row>
    <row r="603" spans="25:34" ht="15" hidden="1" customHeight="1">
      <c r="Y603" s="831" t="s">
        <v>2210</v>
      </c>
      <c r="Z603" s="1307" t="s">
        <v>610</v>
      </c>
      <c r="AA603" s="1307"/>
      <c r="AB603" s="1307"/>
      <c r="AC603" s="1307"/>
      <c r="AD603" s="1307"/>
      <c r="AE603" s="1307"/>
      <c r="AF603" s="871">
        <v>41.340620000000001</v>
      </c>
      <c r="AG603" s="592" t="s">
        <v>2170</v>
      </c>
      <c r="AH603" s="834">
        <v>42507</v>
      </c>
    </row>
    <row r="604" spans="25:34" ht="15" hidden="1" customHeight="1">
      <c r="Y604" s="831" t="s">
        <v>2211</v>
      </c>
      <c r="Z604" s="1307" t="s">
        <v>612</v>
      </c>
      <c r="AA604" s="1307"/>
      <c r="AB604" s="1307"/>
      <c r="AC604" s="1307"/>
      <c r="AD604" s="1307"/>
      <c r="AE604" s="1307"/>
      <c r="AF604" s="871">
        <v>37.992620000000002</v>
      </c>
      <c r="AG604" s="592" t="s">
        <v>2170</v>
      </c>
      <c r="AH604" s="834">
        <v>42507</v>
      </c>
    </row>
    <row r="605" spans="25:34" ht="15.75" hidden="1" customHeight="1">
      <c r="Y605" s="1312" t="s">
        <v>410</v>
      </c>
      <c r="Z605" s="1312"/>
      <c r="AA605" s="1312"/>
      <c r="AB605" s="1312"/>
      <c r="AC605" s="1312"/>
      <c r="AD605" s="1312"/>
      <c r="AE605" s="1312"/>
      <c r="AF605" s="870">
        <v>8224.6909999999989</v>
      </c>
      <c r="AG605" s="832"/>
      <c r="AH605" s="833"/>
    </row>
    <row r="606" spans="25:34" ht="15" hidden="1" customHeight="1">
      <c r="Y606" s="831" t="s">
        <v>248</v>
      </c>
      <c r="Z606" s="1307" t="s">
        <v>621</v>
      </c>
      <c r="AA606" s="1307"/>
      <c r="AB606" s="1307"/>
      <c r="AC606" s="1307"/>
      <c r="AD606" s="1307"/>
      <c r="AE606" s="1307"/>
      <c r="AF606" s="871">
        <v>2578.8910000000001</v>
      </c>
      <c r="AG606" s="832" t="s">
        <v>2171</v>
      </c>
      <c r="AH606" s="834">
        <v>42704</v>
      </c>
    </row>
    <row r="607" spans="25:34" ht="15" hidden="1" customHeight="1">
      <c r="Y607" s="831" t="s">
        <v>249</v>
      </c>
      <c r="Z607" s="1307" t="s">
        <v>622</v>
      </c>
      <c r="AA607" s="1307"/>
      <c r="AB607" s="1307"/>
      <c r="AC607" s="1307"/>
      <c r="AD607" s="1307"/>
      <c r="AE607" s="1307"/>
      <c r="AF607" s="871">
        <v>2601.23</v>
      </c>
      <c r="AG607" s="832" t="s">
        <v>2171</v>
      </c>
      <c r="AH607" s="834">
        <v>42704</v>
      </c>
    </row>
    <row r="608" spans="25:34" ht="15" hidden="1" customHeight="1">
      <c r="Y608" s="831" t="s">
        <v>250</v>
      </c>
      <c r="Z608" s="1307" t="s">
        <v>2172</v>
      </c>
      <c r="AA608" s="1307"/>
      <c r="AB608" s="1307"/>
      <c r="AC608" s="1307"/>
      <c r="AD608" s="1307"/>
      <c r="AE608" s="1307"/>
      <c r="AF608" s="871">
        <v>882.56999999999994</v>
      </c>
      <c r="AG608" s="832" t="s">
        <v>2173</v>
      </c>
      <c r="AH608" s="834">
        <v>42541</v>
      </c>
    </row>
    <row r="609" spans="25:34" ht="15" hidden="1" customHeight="1">
      <c r="Y609" s="831" t="s">
        <v>251</v>
      </c>
      <c r="Z609" s="1307" t="s">
        <v>2174</v>
      </c>
      <c r="AA609" s="1307"/>
      <c r="AB609" s="1307"/>
      <c r="AC609" s="1307"/>
      <c r="AD609" s="1307"/>
      <c r="AE609" s="1307"/>
      <c r="AF609" s="871">
        <v>2162</v>
      </c>
      <c r="AG609" s="832" t="s">
        <v>2175</v>
      </c>
      <c r="AH609" s="834">
        <v>42651</v>
      </c>
    </row>
    <row r="610" spans="25:34" ht="15.75" hidden="1">
      <c r="Y610" s="1311" t="s">
        <v>2176</v>
      </c>
      <c r="Z610" s="1311"/>
      <c r="AA610" s="1311"/>
      <c r="AB610" s="1311"/>
      <c r="AC610" s="1311"/>
      <c r="AD610" s="1311"/>
      <c r="AE610" s="1311"/>
      <c r="AF610" s="870">
        <v>59480.314332711874</v>
      </c>
      <c r="AG610" s="46"/>
      <c r="AH610" s="419"/>
    </row>
    <row r="611" spans="25:34" ht="18.75" customHeight="1">
      <c r="Y611" s="1125" t="s">
        <v>320</v>
      </c>
      <c r="Z611" s="1126"/>
      <c r="AA611" s="1126"/>
      <c r="AB611" s="1126"/>
      <c r="AC611" s="1126"/>
      <c r="AD611" s="1126"/>
      <c r="AE611" s="1126"/>
      <c r="AF611" s="1126"/>
      <c r="AG611" s="1126"/>
      <c r="AH611" s="1127"/>
    </row>
    <row r="612" spans="25:34" ht="16.5" customHeight="1">
      <c r="Y612" s="951">
        <v>1</v>
      </c>
      <c r="Z612" s="1040" t="s">
        <v>633</v>
      </c>
      <c r="AA612" s="1040"/>
      <c r="AB612" s="1040"/>
      <c r="AC612" s="1040"/>
      <c r="AD612" s="1040"/>
      <c r="AE612" s="1041"/>
      <c r="AF612" s="539"/>
      <c r="AG612" s="57"/>
      <c r="AH612" s="426"/>
    </row>
    <row r="613" spans="25:34" ht="21" customHeight="1">
      <c r="Y613" s="1053" t="s">
        <v>1895</v>
      </c>
      <c r="Z613" s="1054"/>
      <c r="AA613" s="1054"/>
      <c r="AB613" s="1054"/>
      <c r="AC613" s="1054"/>
      <c r="AD613" s="1054"/>
      <c r="AE613" s="1054"/>
      <c r="AF613" s="540">
        <f>SUM(AF614:AF674)</f>
        <v>27640.784789999994</v>
      </c>
      <c r="AG613" s="430"/>
      <c r="AH613" s="430"/>
    </row>
    <row r="614" spans="25:34" ht="15" customHeight="1">
      <c r="Y614" s="1086" t="s">
        <v>137</v>
      </c>
      <c r="Z614" s="1082" t="s">
        <v>1492</v>
      </c>
      <c r="AA614" s="1083"/>
      <c r="AB614" s="1083"/>
      <c r="AC614" s="1083"/>
      <c r="AD614" s="1083"/>
      <c r="AE614" s="1084"/>
      <c r="AF614" s="1089">
        <v>1015.46099</v>
      </c>
      <c r="AG614" s="1080">
        <v>42736</v>
      </c>
      <c r="AH614" s="1080">
        <v>43100</v>
      </c>
    </row>
    <row r="615" spans="25:34" ht="15" customHeight="1">
      <c r="Y615" s="1088"/>
      <c r="Z615" s="361" t="s">
        <v>438</v>
      </c>
      <c r="AA615" s="408">
        <v>100</v>
      </c>
      <c r="AB615" s="408" t="s">
        <v>496</v>
      </c>
      <c r="AC615" s="409" t="s">
        <v>497</v>
      </c>
      <c r="AD615" s="410">
        <v>450</v>
      </c>
      <c r="AE615" s="411" t="s">
        <v>440</v>
      </c>
      <c r="AF615" s="1091"/>
      <c r="AG615" s="1081"/>
      <c r="AH615" s="1081"/>
    </row>
    <row r="616" spans="25:34">
      <c r="Y616" s="1086" t="s">
        <v>138</v>
      </c>
      <c r="Z616" s="1082" t="s">
        <v>1493</v>
      </c>
      <c r="AA616" s="1083"/>
      <c r="AB616" s="1083"/>
      <c r="AC616" s="1083"/>
      <c r="AD616" s="1083"/>
      <c r="AE616" s="1084"/>
      <c r="AF616" s="1089">
        <v>1375.65661</v>
      </c>
      <c r="AG616" s="1080">
        <v>42736</v>
      </c>
      <c r="AH616" s="1080">
        <v>43100</v>
      </c>
    </row>
    <row r="617" spans="25:34" ht="15" customHeight="1">
      <c r="Y617" s="1088"/>
      <c r="Z617" s="361" t="s">
        <v>438</v>
      </c>
      <c r="AA617" s="408">
        <v>200</v>
      </c>
      <c r="AB617" s="408" t="s">
        <v>496</v>
      </c>
      <c r="AC617" s="409" t="s">
        <v>497</v>
      </c>
      <c r="AD617" s="410">
        <v>350</v>
      </c>
      <c r="AE617" s="411" t="s">
        <v>440</v>
      </c>
      <c r="AF617" s="1091"/>
      <c r="AG617" s="1081"/>
      <c r="AH617" s="1081"/>
    </row>
    <row r="618" spans="25:34">
      <c r="Y618" s="1086" t="s">
        <v>139</v>
      </c>
      <c r="Z618" s="1082" t="s">
        <v>1494</v>
      </c>
      <c r="AA618" s="1083"/>
      <c r="AB618" s="1083"/>
      <c r="AC618" s="1083"/>
      <c r="AD618" s="1083"/>
      <c r="AE618" s="1084"/>
      <c r="AF618" s="1089">
        <v>254.22913</v>
      </c>
      <c r="AG618" s="1080">
        <v>42736</v>
      </c>
      <c r="AH618" s="1080">
        <v>43100</v>
      </c>
    </row>
    <row r="619" spans="25:34" ht="15" customHeight="1">
      <c r="Y619" s="1205"/>
      <c r="Z619" s="364" t="s">
        <v>438</v>
      </c>
      <c r="AA619" s="35">
        <v>50</v>
      </c>
      <c r="AB619" s="35" t="s">
        <v>496</v>
      </c>
      <c r="AC619" s="36" t="s">
        <v>497</v>
      </c>
      <c r="AD619" s="949">
        <v>15</v>
      </c>
      <c r="AE619" s="37" t="s">
        <v>440</v>
      </c>
      <c r="AF619" s="1103"/>
      <c r="AG619" s="1092"/>
      <c r="AH619" s="1092"/>
    </row>
    <row r="620" spans="25:34">
      <c r="Y620" s="1088"/>
      <c r="Z620" s="361" t="s">
        <v>438</v>
      </c>
      <c r="AA620" s="408">
        <v>50</v>
      </c>
      <c r="AB620" s="408" t="s">
        <v>496</v>
      </c>
      <c r="AC620" s="409" t="s">
        <v>497</v>
      </c>
      <c r="AD620" s="410">
        <v>65</v>
      </c>
      <c r="AE620" s="411" t="s">
        <v>440</v>
      </c>
      <c r="AF620" s="1091"/>
      <c r="AG620" s="1081"/>
      <c r="AH620" s="1081"/>
    </row>
    <row r="621" spans="25:34">
      <c r="Y621" s="1086" t="s">
        <v>136</v>
      </c>
      <c r="Z621" s="1082" t="s">
        <v>1495</v>
      </c>
      <c r="AA621" s="1083"/>
      <c r="AB621" s="1083"/>
      <c r="AC621" s="1083"/>
      <c r="AD621" s="1083"/>
      <c r="AE621" s="1084"/>
      <c r="AF621" s="1089">
        <v>295.06024000000002</v>
      </c>
      <c r="AG621" s="1080">
        <v>42736</v>
      </c>
      <c r="AH621" s="1080">
        <v>43100</v>
      </c>
    </row>
    <row r="622" spans="25:34" ht="15" customHeight="1">
      <c r="Y622" s="1088"/>
      <c r="Z622" s="361" t="s">
        <v>438</v>
      </c>
      <c r="AA622" s="408">
        <v>50</v>
      </c>
      <c r="AB622" s="408" t="s">
        <v>496</v>
      </c>
      <c r="AC622" s="409" t="s">
        <v>497</v>
      </c>
      <c r="AD622" s="410">
        <v>120</v>
      </c>
      <c r="AE622" s="411" t="s">
        <v>440</v>
      </c>
      <c r="AF622" s="1091"/>
      <c r="AG622" s="1081"/>
      <c r="AH622" s="1081"/>
    </row>
    <row r="623" spans="25:34">
      <c r="Y623" s="1086" t="s">
        <v>140</v>
      </c>
      <c r="Z623" s="1082" t="s">
        <v>1496</v>
      </c>
      <c r="AA623" s="1083"/>
      <c r="AB623" s="1083"/>
      <c r="AC623" s="1083"/>
      <c r="AD623" s="1083"/>
      <c r="AE623" s="1084"/>
      <c r="AF623" s="1089">
        <v>1191.07132</v>
      </c>
      <c r="AG623" s="1080">
        <v>42736</v>
      </c>
      <c r="AH623" s="1080">
        <v>43100</v>
      </c>
    </row>
    <row r="624" spans="25:34" ht="15" customHeight="1">
      <c r="Y624" s="1088"/>
      <c r="Z624" s="361" t="s">
        <v>438</v>
      </c>
      <c r="AA624" s="408">
        <v>200</v>
      </c>
      <c r="AB624" s="408" t="s">
        <v>496</v>
      </c>
      <c r="AC624" s="409" t="s">
        <v>497</v>
      </c>
      <c r="AD624" s="410">
        <v>280</v>
      </c>
      <c r="AE624" s="411" t="s">
        <v>440</v>
      </c>
      <c r="AF624" s="1091"/>
      <c r="AG624" s="1081"/>
      <c r="AH624" s="1081"/>
    </row>
    <row r="625" spans="25:34">
      <c r="Y625" s="1086" t="s">
        <v>141</v>
      </c>
      <c r="Z625" s="1082" t="s">
        <v>1497</v>
      </c>
      <c r="AA625" s="1083"/>
      <c r="AB625" s="1083"/>
      <c r="AC625" s="1083"/>
      <c r="AD625" s="1083"/>
      <c r="AE625" s="1084"/>
      <c r="AF625" s="1089">
        <v>144.90146999999999</v>
      </c>
      <c r="AG625" s="1080">
        <v>42736</v>
      </c>
      <c r="AH625" s="1080">
        <v>43100</v>
      </c>
    </row>
    <row r="626" spans="25:34" ht="15" customHeight="1">
      <c r="Y626" s="1088"/>
      <c r="Z626" s="361" t="s">
        <v>438</v>
      </c>
      <c r="AA626" s="408">
        <v>50</v>
      </c>
      <c r="AB626" s="408" t="s">
        <v>496</v>
      </c>
      <c r="AC626" s="409" t="s">
        <v>497</v>
      </c>
      <c r="AD626" s="410">
        <v>50</v>
      </c>
      <c r="AE626" s="411" t="s">
        <v>440</v>
      </c>
      <c r="AF626" s="1091"/>
      <c r="AG626" s="1081"/>
      <c r="AH626" s="1081"/>
    </row>
    <row r="627" spans="25:34">
      <c r="Y627" s="1086" t="s">
        <v>142</v>
      </c>
      <c r="Z627" s="1082" t="s">
        <v>1498</v>
      </c>
      <c r="AA627" s="1083"/>
      <c r="AB627" s="1083"/>
      <c r="AC627" s="1083"/>
      <c r="AD627" s="1083"/>
      <c r="AE627" s="1084"/>
      <c r="AF627" s="1089">
        <v>206.54676000000001</v>
      </c>
      <c r="AG627" s="1080">
        <v>42736</v>
      </c>
      <c r="AH627" s="1080">
        <v>43100</v>
      </c>
    </row>
    <row r="628" spans="25:34" ht="15" customHeight="1">
      <c r="Y628" s="1088"/>
      <c r="Z628" s="361" t="s">
        <v>438</v>
      </c>
      <c r="AA628" s="408">
        <v>65</v>
      </c>
      <c r="AB628" s="408" t="s">
        <v>496</v>
      </c>
      <c r="AC628" s="409" t="s">
        <v>497</v>
      </c>
      <c r="AD628" s="410">
        <v>120</v>
      </c>
      <c r="AE628" s="411" t="s">
        <v>440</v>
      </c>
      <c r="AF628" s="1091"/>
      <c r="AG628" s="1081"/>
      <c r="AH628" s="1081"/>
    </row>
    <row r="629" spans="25:34">
      <c r="Y629" s="1086" t="s">
        <v>143</v>
      </c>
      <c r="Z629" s="1082" t="s">
        <v>1499</v>
      </c>
      <c r="AA629" s="1083"/>
      <c r="AB629" s="1083"/>
      <c r="AC629" s="1083"/>
      <c r="AD629" s="1083"/>
      <c r="AE629" s="1084"/>
      <c r="AF629" s="1089">
        <v>895.92458999999997</v>
      </c>
      <c r="AG629" s="1080">
        <v>42736</v>
      </c>
      <c r="AH629" s="1080">
        <v>43100</v>
      </c>
    </row>
    <row r="630" spans="25:34" ht="15" customHeight="1">
      <c r="Y630" s="1088"/>
      <c r="Z630" s="361" t="s">
        <v>438</v>
      </c>
      <c r="AA630" s="408">
        <v>100</v>
      </c>
      <c r="AB630" s="408" t="s">
        <v>496</v>
      </c>
      <c r="AC630" s="409" t="s">
        <v>497</v>
      </c>
      <c r="AD630" s="410">
        <v>500</v>
      </c>
      <c r="AE630" s="411" t="s">
        <v>440</v>
      </c>
      <c r="AF630" s="1091"/>
      <c r="AG630" s="1081"/>
      <c r="AH630" s="1081"/>
    </row>
    <row r="631" spans="25:34">
      <c r="Y631" s="1086" t="s">
        <v>144</v>
      </c>
      <c r="Z631" s="1082" t="s">
        <v>1500</v>
      </c>
      <c r="AA631" s="1083"/>
      <c r="AB631" s="1083"/>
      <c r="AC631" s="1083"/>
      <c r="AD631" s="1083"/>
      <c r="AE631" s="1084"/>
      <c r="AF631" s="1089">
        <v>226.26057</v>
      </c>
      <c r="AG631" s="1080">
        <v>42736</v>
      </c>
      <c r="AH631" s="1080">
        <v>43100</v>
      </c>
    </row>
    <row r="632" spans="25:34" ht="15" customHeight="1">
      <c r="Y632" s="1088"/>
      <c r="Z632" s="361" t="s">
        <v>438</v>
      </c>
      <c r="AA632" s="408">
        <v>65</v>
      </c>
      <c r="AB632" s="408" t="s">
        <v>496</v>
      </c>
      <c r="AC632" s="409" t="s">
        <v>497</v>
      </c>
      <c r="AD632" s="410">
        <v>50</v>
      </c>
      <c r="AE632" s="411" t="s">
        <v>440</v>
      </c>
      <c r="AF632" s="1091"/>
      <c r="AG632" s="1081"/>
      <c r="AH632" s="1081"/>
    </row>
    <row r="633" spans="25:34">
      <c r="Y633" s="1086" t="s">
        <v>145</v>
      </c>
      <c r="Z633" s="1082" t="s">
        <v>1501</v>
      </c>
      <c r="AA633" s="1083"/>
      <c r="AB633" s="1083"/>
      <c r="AC633" s="1083"/>
      <c r="AD633" s="1083"/>
      <c r="AE633" s="1084"/>
      <c r="AF633" s="1089">
        <v>199.86909</v>
      </c>
      <c r="AG633" s="1080">
        <v>42736</v>
      </c>
      <c r="AH633" s="1080">
        <v>43100</v>
      </c>
    </row>
    <row r="634" spans="25:34" ht="15" customHeight="1">
      <c r="Y634" s="1088"/>
      <c r="Z634" s="361" t="s">
        <v>438</v>
      </c>
      <c r="AA634" s="408">
        <v>65</v>
      </c>
      <c r="AB634" s="408" t="s">
        <v>496</v>
      </c>
      <c r="AC634" s="409" t="s">
        <v>497</v>
      </c>
      <c r="AD634" s="410">
        <v>50</v>
      </c>
      <c r="AE634" s="411" t="s">
        <v>440</v>
      </c>
      <c r="AF634" s="1091"/>
      <c r="AG634" s="1081"/>
      <c r="AH634" s="1081"/>
    </row>
    <row r="635" spans="25:34">
      <c r="Y635" s="1086" t="s">
        <v>146</v>
      </c>
      <c r="Z635" s="1082" t="s">
        <v>1502</v>
      </c>
      <c r="AA635" s="1083"/>
      <c r="AB635" s="1083"/>
      <c r="AC635" s="1083"/>
      <c r="AD635" s="1083"/>
      <c r="AE635" s="1084"/>
      <c r="AF635" s="1089">
        <v>133.18756999999999</v>
      </c>
      <c r="AG635" s="1080">
        <v>42736</v>
      </c>
      <c r="AH635" s="1080">
        <v>43100</v>
      </c>
    </row>
    <row r="636" spans="25:34" ht="15" customHeight="1">
      <c r="Y636" s="1088"/>
      <c r="Z636" s="361" t="s">
        <v>438</v>
      </c>
      <c r="AA636" s="408">
        <v>100</v>
      </c>
      <c r="AB636" s="408" t="s">
        <v>496</v>
      </c>
      <c r="AC636" s="409" t="s">
        <v>497</v>
      </c>
      <c r="AD636" s="410">
        <v>70</v>
      </c>
      <c r="AE636" s="411" t="s">
        <v>440</v>
      </c>
      <c r="AF636" s="1091"/>
      <c r="AG636" s="1081"/>
      <c r="AH636" s="1081"/>
    </row>
    <row r="637" spans="25:34">
      <c r="Y637" s="1100" t="s">
        <v>147</v>
      </c>
      <c r="Z637" s="1083" t="s">
        <v>1503</v>
      </c>
      <c r="AA637" s="1083"/>
      <c r="AB637" s="1083"/>
      <c r="AC637" s="1083"/>
      <c r="AD637" s="1083"/>
      <c r="AE637" s="1084"/>
      <c r="AF637" s="1089">
        <v>149.82094000000001</v>
      </c>
      <c r="AG637" s="1080">
        <v>42736</v>
      </c>
      <c r="AH637" s="1080">
        <v>43100</v>
      </c>
    </row>
    <row r="638" spans="25:34" ht="15" customHeight="1">
      <c r="Y638" s="1101"/>
      <c r="Z638" s="427" t="s">
        <v>438</v>
      </c>
      <c r="AA638" s="35">
        <v>65</v>
      </c>
      <c r="AB638" s="35" t="s">
        <v>496</v>
      </c>
      <c r="AC638" s="36" t="s">
        <v>497</v>
      </c>
      <c r="AD638" s="949">
        <v>35</v>
      </c>
      <c r="AE638" s="37" t="s">
        <v>440</v>
      </c>
      <c r="AF638" s="1103"/>
      <c r="AG638" s="1092"/>
      <c r="AH638" s="1092"/>
    </row>
    <row r="639" spans="25:34">
      <c r="Y639" s="1102"/>
      <c r="Z639" s="428" t="s">
        <v>438</v>
      </c>
      <c r="AA639" s="408">
        <v>50</v>
      </c>
      <c r="AB639" s="408" t="s">
        <v>496</v>
      </c>
      <c r="AC639" s="409" t="s">
        <v>497</v>
      </c>
      <c r="AD639" s="410">
        <v>15</v>
      </c>
      <c r="AE639" s="411" t="s">
        <v>440</v>
      </c>
      <c r="AF639" s="1091"/>
      <c r="AG639" s="1081"/>
      <c r="AH639" s="1081"/>
    </row>
    <row r="640" spans="25:34">
      <c r="Y640" s="1086" t="s">
        <v>148</v>
      </c>
      <c r="Z640" s="1082" t="s">
        <v>1504</v>
      </c>
      <c r="AA640" s="1083"/>
      <c r="AB640" s="1083"/>
      <c r="AC640" s="1083"/>
      <c r="AD640" s="1083"/>
      <c r="AE640" s="1084"/>
      <c r="AF640" s="1089">
        <v>507.37083000000001</v>
      </c>
      <c r="AG640" s="1080">
        <v>42736</v>
      </c>
      <c r="AH640" s="1080">
        <v>43100</v>
      </c>
    </row>
    <row r="641" spans="25:34" ht="15" customHeight="1">
      <c r="Y641" s="1087"/>
      <c r="Z641" s="427" t="s">
        <v>438</v>
      </c>
      <c r="AA641" s="35">
        <v>65</v>
      </c>
      <c r="AB641" s="35" t="s">
        <v>496</v>
      </c>
      <c r="AC641" s="36" t="s">
        <v>497</v>
      </c>
      <c r="AD641" s="949">
        <v>80</v>
      </c>
      <c r="AE641" s="37" t="s">
        <v>440</v>
      </c>
      <c r="AF641" s="1090"/>
      <c r="AG641" s="1092"/>
      <c r="AH641" s="1092"/>
    </row>
    <row r="642" spans="25:34">
      <c r="Y642" s="1088"/>
      <c r="Z642" s="361" t="s">
        <v>438</v>
      </c>
      <c r="AA642" s="408">
        <v>25</v>
      </c>
      <c r="AB642" s="408" t="s">
        <v>496</v>
      </c>
      <c r="AC642" s="409" t="s">
        <v>497</v>
      </c>
      <c r="AD642" s="410">
        <v>50</v>
      </c>
      <c r="AE642" s="411" t="s">
        <v>440</v>
      </c>
      <c r="AF642" s="1091"/>
      <c r="AG642" s="1081"/>
      <c r="AH642" s="1081"/>
    </row>
    <row r="643" spans="25:34">
      <c r="Y643" s="1093" t="s">
        <v>149</v>
      </c>
      <c r="Z643" s="1096" t="s">
        <v>1505</v>
      </c>
      <c r="AA643" s="1097"/>
      <c r="AB643" s="1097"/>
      <c r="AC643" s="1097"/>
      <c r="AD643" s="1097"/>
      <c r="AE643" s="1098"/>
      <c r="AF643" s="1089">
        <v>2497.6689999999999</v>
      </c>
      <c r="AG643" s="1080">
        <v>42736</v>
      </c>
      <c r="AH643" s="1080">
        <v>43100</v>
      </c>
    </row>
    <row r="644" spans="25:34" ht="15" customHeight="1">
      <c r="Y644" s="1094"/>
      <c r="Z644" s="952" t="s">
        <v>438</v>
      </c>
      <c r="AA644" s="953">
        <v>100</v>
      </c>
      <c r="AB644" s="953" t="s">
        <v>496</v>
      </c>
      <c r="AC644" s="954" t="s">
        <v>497</v>
      </c>
      <c r="AD644" s="955">
        <v>285</v>
      </c>
      <c r="AE644" s="956" t="s">
        <v>440</v>
      </c>
      <c r="AF644" s="1090"/>
      <c r="AG644" s="1092"/>
      <c r="AH644" s="1092"/>
    </row>
    <row r="645" spans="25:34">
      <c r="Y645" s="1095"/>
      <c r="Z645" s="957" t="s">
        <v>438</v>
      </c>
      <c r="AA645" s="950">
        <v>160</v>
      </c>
      <c r="AB645" s="950" t="s">
        <v>496</v>
      </c>
      <c r="AC645" s="958" t="s">
        <v>497</v>
      </c>
      <c r="AD645" s="959">
        <v>525</v>
      </c>
      <c r="AE645" s="960" t="s">
        <v>440</v>
      </c>
      <c r="AF645" s="1091"/>
      <c r="AG645" s="1081"/>
      <c r="AH645" s="1081"/>
    </row>
    <row r="646" spans="25:34">
      <c r="Y646" s="1093" t="s">
        <v>150</v>
      </c>
      <c r="Z646" s="1096" t="s">
        <v>1506</v>
      </c>
      <c r="AA646" s="1097"/>
      <c r="AB646" s="1097"/>
      <c r="AC646" s="1097"/>
      <c r="AD646" s="1097"/>
      <c r="AE646" s="1098"/>
      <c r="AF646" s="1089">
        <v>3872.2492000000002</v>
      </c>
      <c r="AG646" s="1080">
        <v>42736</v>
      </c>
      <c r="AH646" s="1080">
        <v>43100</v>
      </c>
    </row>
    <row r="647" spans="25:34" ht="15" customHeight="1">
      <c r="Y647" s="1094"/>
      <c r="Z647" s="952" t="s">
        <v>438</v>
      </c>
      <c r="AA647" s="953">
        <v>100</v>
      </c>
      <c r="AB647" s="953" t="s">
        <v>496</v>
      </c>
      <c r="AC647" s="954" t="s">
        <v>497</v>
      </c>
      <c r="AD647" s="955">
        <v>75</v>
      </c>
      <c r="AE647" s="956" t="s">
        <v>440</v>
      </c>
      <c r="AF647" s="1090"/>
      <c r="AG647" s="1092"/>
      <c r="AH647" s="1092"/>
    </row>
    <row r="648" spans="25:34">
      <c r="Y648" s="1094"/>
      <c r="Z648" s="952" t="s">
        <v>438</v>
      </c>
      <c r="AA648" s="953">
        <v>160</v>
      </c>
      <c r="AB648" s="953" t="s">
        <v>496</v>
      </c>
      <c r="AC648" s="954" t="s">
        <v>497</v>
      </c>
      <c r="AD648" s="955">
        <v>125</v>
      </c>
      <c r="AE648" s="956" t="s">
        <v>440</v>
      </c>
      <c r="AF648" s="1090"/>
      <c r="AG648" s="1092"/>
      <c r="AH648" s="1092"/>
    </row>
    <row r="649" spans="25:34">
      <c r="Y649" s="1095"/>
      <c r="Z649" s="957" t="s">
        <v>438</v>
      </c>
      <c r="AA649" s="950">
        <v>225</v>
      </c>
      <c r="AB649" s="950" t="s">
        <v>496</v>
      </c>
      <c r="AC649" s="958" t="s">
        <v>497</v>
      </c>
      <c r="AD649" s="959">
        <v>508</v>
      </c>
      <c r="AE649" s="960" t="s">
        <v>440</v>
      </c>
      <c r="AF649" s="1091"/>
      <c r="AG649" s="1081"/>
      <c r="AH649" s="1081"/>
    </row>
    <row r="650" spans="25:34" ht="25.5" customHeight="1">
      <c r="Y650" s="1313" t="s">
        <v>151</v>
      </c>
      <c r="Z650" s="1315" t="s">
        <v>493</v>
      </c>
      <c r="AA650" s="1316"/>
      <c r="AB650" s="1316"/>
      <c r="AC650" s="1316"/>
      <c r="AD650" s="1316"/>
      <c r="AE650" s="1317"/>
      <c r="AF650" s="1318">
        <v>1754.2950000000001</v>
      </c>
      <c r="AG650" s="1320">
        <v>42736</v>
      </c>
      <c r="AH650" s="1320">
        <v>43100</v>
      </c>
    </row>
    <row r="651" spans="25:34" ht="15" customHeight="1">
      <c r="Y651" s="1314"/>
      <c r="Z651" s="961" t="s">
        <v>438</v>
      </c>
      <c r="AA651" s="962">
        <v>200</v>
      </c>
      <c r="AB651" s="962" t="s">
        <v>496</v>
      </c>
      <c r="AC651" s="963" t="s">
        <v>497</v>
      </c>
      <c r="AD651" s="964">
        <v>900</v>
      </c>
      <c r="AE651" s="965" t="s">
        <v>440</v>
      </c>
      <c r="AF651" s="1319"/>
      <c r="AG651" s="1321"/>
      <c r="AH651" s="1321"/>
    </row>
    <row r="652" spans="25:34">
      <c r="Y652" s="1322" t="s">
        <v>152</v>
      </c>
      <c r="Z652" s="1325" t="s">
        <v>2281</v>
      </c>
      <c r="AA652" s="1326"/>
      <c r="AB652" s="1326"/>
      <c r="AC652" s="1326"/>
      <c r="AD652" s="1326"/>
      <c r="AE652" s="1327"/>
      <c r="AF652" s="1099">
        <f>5809.831-671.66</f>
        <v>5138.1710000000003</v>
      </c>
      <c r="AG652" s="1080">
        <v>42736</v>
      </c>
      <c r="AH652" s="1080">
        <v>43100</v>
      </c>
    </row>
    <row r="653" spans="25:34" ht="15" customHeight="1">
      <c r="Y653" s="1323"/>
      <c r="Z653" s="364" t="s">
        <v>438</v>
      </c>
      <c r="AA653" s="35">
        <v>150</v>
      </c>
      <c r="AB653" s="35" t="s">
        <v>496</v>
      </c>
      <c r="AC653" s="36" t="s">
        <v>497</v>
      </c>
      <c r="AD653" s="949">
        <v>100</v>
      </c>
      <c r="AE653" s="37" t="s">
        <v>440</v>
      </c>
      <c r="AF653" s="1099"/>
      <c r="AG653" s="1092"/>
      <c r="AH653" s="1092"/>
    </row>
    <row r="654" spans="25:34">
      <c r="Y654" s="1324"/>
      <c r="Z654" s="361" t="s">
        <v>438</v>
      </c>
      <c r="AA654" s="408">
        <v>500</v>
      </c>
      <c r="AB654" s="408" t="s">
        <v>496</v>
      </c>
      <c r="AC654" s="409" t="s">
        <v>497</v>
      </c>
      <c r="AD654" s="410">
        <v>100</v>
      </c>
      <c r="AE654" s="411" t="s">
        <v>440</v>
      </c>
      <c r="AF654" s="1099"/>
      <c r="AG654" s="1081"/>
      <c r="AH654" s="1081"/>
    </row>
    <row r="655" spans="25:34">
      <c r="Y655" s="1328" t="s">
        <v>153</v>
      </c>
      <c r="Z655" s="1082" t="s">
        <v>1214</v>
      </c>
      <c r="AA655" s="1083"/>
      <c r="AB655" s="1083"/>
      <c r="AC655" s="1083"/>
      <c r="AD655" s="1083"/>
      <c r="AE655" s="1084"/>
      <c r="AF655" s="1078">
        <v>1036.57</v>
      </c>
      <c r="AG655" s="1080">
        <v>42736</v>
      </c>
      <c r="AH655" s="1080">
        <v>43100</v>
      </c>
    </row>
    <row r="656" spans="25:34" ht="15" customHeight="1">
      <c r="Y656" s="1074"/>
      <c r="Z656" s="361" t="s">
        <v>438</v>
      </c>
      <c r="AA656" s="408">
        <v>100</v>
      </c>
      <c r="AB656" s="408" t="s">
        <v>496</v>
      </c>
      <c r="AC656" s="409" t="s">
        <v>497</v>
      </c>
      <c r="AD656" s="410">
        <v>190</v>
      </c>
      <c r="AE656" s="411" t="s">
        <v>440</v>
      </c>
      <c r="AF656" s="1079"/>
      <c r="AG656" s="1081"/>
      <c r="AH656" s="1081"/>
    </row>
    <row r="657" spans="25:34">
      <c r="Y657" s="1073" t="s">
        <v>154</v>
      </c>
      <c r="Z657" s="1082" t="s">
        <v>1210</v>
      </c>
      <c r="AA657" s="1083"/>
      <c r="AB657" s="1083"/>
      <c r="AC657" s="1083"/>
      <c r="AD657" s="1083"/>
      <c r="AE657" s="1084"/>
      <c r="AF657" s="1099">
        <f>1533.69-488.76712</f>
        <v>1044.9228800000001</v>
      </c>
      <c r="AG657" s="1080">
        <v>42736</v>
      </c>
      <c r="AH657" s="1080">
        <v>43100</v>
      </c>
    </row>
    <row r="658" spans="25:34" ht="15" customHeight="1">
      <c r="Y658" s="1074"/>
      <c r="Z658" s="361" t="s">
        <v>438</v>
      </c>
      <c r="AA658" s="408">
        <v>100</v>
      </c>
      <c r="AB658" s="408" t="s">
        <v>496</v>
      </c>
      <c r="AC658" s="409" t="s">
        <v>497</v>
      </c>
      <c r="AD658" s="410">
        <v>210</v>
      </c>
      <c r="AE658" s="411" t="s">
        <v>440</v>
      </c>
      <c r="AF658" s="1099"/>
      <c r="AG658" s="1081"/>
      <c r="AH658" s="1081"/>
    </row>
    <row r="659" spans="25:34">
      <c r="Y659" s="1073" t="s">
        <v>155</v>
      </c>
      <c r="Z659" s="1082" t="s">
        <v>1220</v>
      </c>
      <c r="AA659" s="1083"/>
      <c r="AB659" s="1083"/>
      <c r="AC659" s="1083"/>
      <c r="AD659" s="1083"/>
      <c r="AE659" s="1084"/>
      <c r="AF659" s="1078">
        <f>193.37-95.527</f>
        <v>97.843000000000004</v>
      </c>
      <c r="AG659" s="1080">
        <v>42736</v>
      </c>
      <c r="AH659" s="1080">
        <v>43100</v>
      </c>
    </row>
    <row r="660" spans="25:34" ht="15" customHeight="1">
      <c r="Y660" s="1074"/>
      <c r="Z660" s="361" t="s">
        <v>438</v>
      </c>
      <c r="AA660" s="408">
        <v>63</v>
      </c>
      <c r="AB660" s="408" t="s">
        <v>496</v>
      </c>
      <c r="AC660" s="409" t="s">
        <v>497</v>
      </c>
      <c r="AD660" s="410">
        <v>50</v>
      </c>
      <c r="AE660" s="411" t="s">
        <v>440</v>
      </c>
      <c r="AF660" s="1079"/>
      <c r="AG660" s="1081"/>
      <c r="AH660" s="1081"/>
    </row>
    <row r="661" spans="25:34" ht="28.5" customHeight="1">
      <c r="Y661" s="1073" t="s">
        <v>156</v>
      </c>
      <c r="Z661" s="1082" t="s">
        <v>1211</v>
      </c>
      <c r="AA661" s="1083"/>
      <c r="AB661" s="1083"/>
      <c r="AC661" s="1083"/>
      <c r="AD661" s="1083"/>
      <c r="AE661" s="1084"/>
      <c r="AF661" s="1078">
        <f>560.78+950</f>
        <v>1510.78</v>
      </c>
      <c r="AG661" s="1080">
        <v>42736</v>
      </c>
      <c r="AH661" s="1080">
        <v>43100</v>
      </c>
    </row>
    <row r="662" spans="25:34" ht="15" customHeight="1">
      <c r="Y662" s="1074"/>
      <c r="Z662" s="361" t="s">
        <v>438</v>
      </c>
      <c r="AA662" s="408">
        <v>150</v>
      </c>
      <c r="AB662" s="408" t="s">
        <v>496</v>
      </c>
      <c r="AC662" s="409" t="s">
        <v>497</v>
      </c>
      <c r="AD662" s="410">
        <v>400</v>
      </c>
      <c r="AE662" s="411" t="s">
        <v>440</v>
      </c>
      <c r="AF662" s="1079"/>
      <c r="AG662" s="1081"/>
      <c r="AH662" s="1081"/>
    </row>
    <row r="663" spans="25:34">
      <c r="Y663" s="1073" t="s">
        <v>157</v>
      </c>
      <c r="Z663" s="1082" t="s">
        <v>1212</v>
      </c>
      <c r="AA663" s="1083"/>
      <c r="AB663" s="1083"/>
      <c r="AC663" s="1083"/>
      <c r="AD663" s="1083"/>
      <c r="AE663" s="1084"/>
      <c r="AF663" s="1078">
        <f>469.227+588.93</f>
        <v>1058.1569999999999</v>
      </c>
      <c r="AG663" s="1080">
        <v>42736</v>
      </c>
      <c r="AH663" s="1080">
        <v>43100</v>
      </c>
    </row>
    <row r="664" spans="25:34" ht="15" customHeight="1">
      <c r="Y664" s="1085"/>
      <c r="Z664" s="412" t="s">
        <v>438</v>
      </c>
      <c r="AA664" s="413">
        <v>200</v>
      </c>
      <c r="AB664" s="413" t="s">
        <v>496</v>
      </c>
      <c r="AC664" s="409" t="s">
        <v>497</v>
      </c>
      <c r="AD664" s="410">
        <v>230</v>
      </c>
      <c r="AE664" s="411" t="s">
        <v>440</v>
      </c>
      <c r="AF664" s="1079"/>
      <c r="AG664" s="1081"/>
      <c r="AH664" s="1081"/>
    </row>
    <row r="665" spans="25:34">
      <c r="Y665" s="1073" t="s">
        <v>158</v>
      </c>
      <c r="Z665" s="1082" t="s">
        <v>1213</v>
      </c>
      <c r="AA665" s="1083"/>
      <c r="AB665" s="1083"/>
      <c r="AC665" s="1083"/>
      <c r="AD665" s="1083"/>
      <c r="AE665" s="1084"/>
      <c r="AF665" s="1078">
        <f>1947.5-570.489</f>
        <v>1377.011</v>
      </c>
      <c r="AG665" s="1080">
        <v>42736</v>
      </c>
      <c r="AH665" s="1080">
        <v>43100</v>
      </c>
    </row>
    <row r="666" spans="25:34" ht="15" customHeight="1">
      <c r="Y666" s="1074"/>
      <c r="Z666" s="412" t="s">
        <v>438</v>
      </c>
      <c r="AA666" s="413">
        <v>100</v>
      </c>
      <c r="AB666" s="413" t="s">
        <v>496</v>
      </c>
      <c r="AC666" s="409" t="s">
        <v>497</v>
      </c>
      <c r="AD666" s="410">
        <v>560</v>
      </c>
      <c r="AE666" s="411" t="s">
        <v>440</v>
      </c>
      <c r="AF666" s="1079"/>
      <c r="AG666" s="1081"/>
      <c r="AH666" s="1081"/>
    </row>
    <row r="667" spans="25:34">
      <c r="Y667" s="1073" t="s">
        <v>159</v>
      </c>
      <c r="Z667" s="1075" t="s">
        <v>1215</v>
      </c>
      <c r="AA667" s="1076"/>
      <c r="AB667" s="1076"/>
      <c r="AC667" s="1076"/>
      <c r="AD667" s="1076"/>
      <c r="AE667" s="1077"/>
      <c r="AF667" s="1078">
        <f>571.93-273.725</f>
        <v>298.20499999999993</v>
      </c>
      <c r="AG667" s="1080">
        <v>42736</v>
      </c>
      <c r="AH667" s="1080">
        <v>43100</v>
      </c>
    </row>
    <row r="668" spans="25:34" ht="15" customHeight="1">
      <c r="Y668" s="1074"/>
      <c r="Z668" s="359" t="s">
        <v>438</v>
      </c>
      <c r="AA668" s="360">
        <v>200</v>
      </c>
      <c r="AB668" s="360" t="s">
        <v>496</v>
      </c>
      <c r="AC668" s="36" t="s">
        <v>497</v>
      </c>
      <c r="AD668" s="949">
        <v>115</v>
      </c>
      <c r="AE668" s="37" t="s">
        <v>440</v>
      </c>
      <c r="AF668" s="1079"/>
      <c r="AG668" s="1081"/>
      <c r="AH668" s="1081"/>
    </row>
    <row r="669" spans="25:34">
      <c r="Y669" s="1073" t="s">
        <v>160</v>
      </c>
      <c r="Z669" s="1082" t="s">
        <v>1219</v>
      </c>
      <c r="AA669" s="1083"/>
      <c r="AB669" s="1083"/>
      <c r="AC669" s="1083"/>
      <c r="AD669" s="1083"/>
      <c r="AE669" s="1084"/>
      <c r="AF669" s="1078">
        <f>625.31-226.121</f>
        <v>399.18899999999996</v>
      </c>
      <c r="AG669" s="1080">
        <v>42736</v>
      </c>
      <c r="AH669" s="1080">
        <v>43100</v>
      </c>
    </row>
    <row r="670" spans="25:34" ht="15" customHeight="1">
      <c r="Y670" s="1074"/>
      <c r="Z670" s="359" t="s">
        <v>438</v>
      </c>
      <c r="AA670" s="360">
        <v>100</v>
      </c>
      <c r="AB670" s="360" t="s">
        <v>496</v>
      </c>
      <c r="AC670" s="36" t="s">
        <v>497</v>
      </c>
      <c r="AD670" s="949">
        <v>60</v>
      </c>
      <c r="AE670" s="37" t="s">
        <v>440</v>
      </c>
      <c r="AF670" s="1079"/>
      <c r="AG670" s="1081"/>
      <c r="AH670" s="1081"/>
    </row>
    <row r="671" spans="25:34" ht="25.5" customHeight="1">
      <c r="Y671" s="1073" t="s">
        <v>161</v>
      </c>
      <c r="Z671" s="1082" t="s">
        <v>1223</v>
      </c>
      <c r="AA671" s="1083"/>
      <c r="AB671" s="1083"/>
      <c r="AC671" s="1083"/>
      <c r="AD671" s="1083"/>
      <c r="AE671" s="1084"/>
      <c r="AF671" s="1329">
        <f>384.18-359.4524</f>
        <v>24.727599999999995</v>
      </c>
      <c r="AG671" s="1080">
        <v>42736</v>
      </c>
      <c r="AH671" s="1080">
        <v>43100</v>
      </c>
    </row>
    <row r="672" spans="25:34" ht="20.25" customHeight="1">
      <c r="Y672" s="1074"/>
      <c r="Z672" s="361" t="s">
        <v>438</v>
      </c>
      <c r="AA672" s="408">
        <v>100</v>
      </c>
      <c r="AB672" s="408" t="s">
        <v>496</v>
      </c>
      <c r="AC672" s="409" t="s">
        <v>497</v>
      </c>
      <c r="AD672" s="410">
        <v>120</v>
      </c>
      <c r="AE672" s="411" t="s">
        <v>440</v>
      </c>
      <c r="AF672" s="1330"/>
      <c r="AG672" s="1081"/>
      <c r="AH672" s="1081"/>
    </row>
    <row r="673" spans="25:34">
      <c r="Y673" s="1073" t="s">
        <v>162</v>
      </c>
      <c r="Z673" s="1075" t="s">
        <v>1224</v>
      </c>
      <c r="AA673" s="1076"/>
      <c r="AB673" s="1076"/>
      <c r="AC673" s="1076"/>
      <c r="AD673" s="1076"/>
      <c r="AE673" s="1077"/>
      <c r="AF673" s="1078">
        <v>935.63499999999999</v>
      </c>
      <c r="AG673" s="1080">
        <v>42736</v>
      </c>
      <c r="AH673" s="1080">
        <v>43100</v>
      </c>
    </row>
    <row r="674" spans="25:34" ht="15" customHeight="1">
      <c r="Y674" s="1074"/>
      <c r="Z674" s="361" t="s">
        <v>438</v>
      </c>
      <c r="AA674" s="408">
        <v>150</v>
      </c>
      <c r="AB674" s="408" t="s">
        <v>496</v>
      </c>
      <c r="AC674" s="409" t="s">
        <v>497</v>
      </c>
      <c r="AD674" s="410">
        <v>152</v>
      </c>
      <c r="AE674" s="411" t="s">
        <v>440</v>
      </c>
      <c r="AF674" s="1079"/>
      <c r="AG674" s="1081"/>
      <c r="AH674" s="1081"/>
    </row>
    <row r="675" spans="25:34">
      <c r="Y675" s="1053" t="s">
        <v>1896</v>
      </c>
      <c r="Z675" s="1054"/>
      <c r="AA675" s="1054"/>
      <c r="AB675" s="1054"/>
      <c r="AC675" s="1054"/>
      <c r="AD675" s="1054"/>
      <c r="AE675" s="1055"/>
      <c r="AF675" s="542">
        <f>AF676</f>
        <v>120.43319999999994</v>
      </c>
      <c r="AG675" s="75"/>
      <c r="AH675" s="75"/>
    </row>
    <row r="676" spans="25:34" ht="15" customHeight="1">
      <c r="Y676" s="415" t="s">
        <v>176</v>
      </c>
      <c r="Z676" s="1066" t="s">
        <v>629</v>
      </c>
      <c r="AA676" s="1067"/>
      <c r="AB676" s="1067"/>
      <c r="AC676" s="1067"/>
      <c r="AD676" s="1067"/>
      <c r="AE676" s="1068"/>
      <c r="AF676" s="553">
        <f>2995.9432-2875.51</f>
        <v>120.43319999999994</v>
      </c>
      <c r="AG676" s="70">
        <v>42736</v>
      </c>
      <c r="AH676" s="70">
        <v>43100</v>
      </c>
    </row>
    <row r="677" spans="25:34" ht="15" customHeight="1">
      <c r="Y677" s="1053" t="s">
        <v>1897</v>
      </c>
      <c r="Z677" s="1054"/>
      <c r="AA677" s="1054"/>
      <c r="AB677" s="1054"/>
      <c r="AC677" s="1054"/>
      <c r="AD677" s="1054"/>
      <c r="AE677" s="1054"/>
      <c r="AF677" s="542">
        <f>SUM(AF678:AF681)</f>
        <v>3618.4542000000001</v>
      </c>
      <c r="AG677" s="70"/>
      <c r="AH677" s="70"/>
    </row>
    <row r="678" spans="25:34" ht="19.5" customHeight="1">
      <c r="Y678" s="59" t="s">
        <v>185</v>
      </c>
      <c r="Z678" s="1047" t="s">
        <v>1943</v>
      </c>
      <c r="AA678" s="1048"/>
      <c r="AB678" s="1048"/>
      <c r="AC678" s="1048"/>
      <c r="AD678" s="1048"/>
      <c r="AE678" s="1048"/>
      <c r="AF678" s="554">
        <v>963.55759999999998</v>
      </c>
      <c r="AG678" s="70">
        <v>42736</v>
      </c>
      <c r="AH678" s="70">
        <v>43100</v>
      </c>
    </row>
    <row r="679" spans="25:34" ht="15.75" customHeight="1">
      <c r="Y679" s="59" t="s">
        <v>186</v>
      </c>
      <c r="Z679" s="1047" t="s">
        <v>1944</v>
      </c>
      <c r="AA679" s="1048"/>
      <c r="AB679" s="1048"/>
      <c r="AC679" s="1048"/>
      <c r="AD679" s="1048"/>
      <c r="AE679" s="1048"/>
      <c r="AF679" s="554">
        <v>975.22280000000001</v>
      </c>
      <c r="AG679" s="70">
        <v>42736</v>
      </c>
      <c r="AH679" s="70">
        <v>43100</v>
      </c>
    </row>
    <row r="680" spans="25:34" ht="15.75" customHeight="1">
      <c r="Y680" s="59" t="s">
        <v>187</v>
      </c>
      <c r="Z680" s="1047" t="s">
        <v>1945</v>
      </c>
      <c r="AA680" s="1048"/>
      <c r="AB680" s="1048"/>
      <c r="AC680" s="1048"/>
      <c r="AD680" s="1048"/>
      <c r="AE680" s="1048"/>
      <c r="AF680" s="554">
        <v>745.57550000000003</v>
      </c>
      <c r="AG680" s="70">
        <v>42736</v>
      </c>
      <c r="AH680" s="70">
        <v>43100</v>
      </c>
    </row>
    <row r="681" spans="25:34" ht="15.75" customHeight="1">
      <c r="Y681" s="59" t="s">
        <v>188</v>
      </c>
      <c r="Z681" s="1047" t="s">
        <v>1946</v>
      </c>
      <c r="AA681" s="1048"/>
      <c r="AB681" s="1048"/>
      <c r="AC681" s="1048"/>
      <c r="AD681" s="1048"/>
      <c r="AE681" s="1048"/>
      <c r="AF681" s="554">
        <v>934.09829999999999</v>
      </c>
      <c r="AG681" s="70">
        <v>42736</v>
      </c>
      <c r="AH681" s="70">
        <v>43100</v>
      </c>
    </row>
    <row r="682" spans="25:34" ht="15.75" customHeight="1">
      <c r="Y682" s="1053" t="s">
        <v>1898</v>
      </c>
      <c r="Z682" s="1054"/>
      <c r="AA682" s="1054"/>
      <c r="AB682" s="1054"/>
      <c r="AC682" s="1054"/>
      <c r="AD682" s="1054"/>
      <c r="AE682" s="1055"/>
      <c r="AF682" s="541">
        <f>SUM(AF683:AF697)</f>
        <v>2388.41725</v>
      </c>
      <c r="AG682" s="75"/>
      <c r="AH682" s="75"/>
    </row>
    <row r="683" spans="25:34" ht="15.75" customHeight="1">
      <c r="Y683" s="59" t="s">
        <v>198</v>
      </c>
      <c r="Z683" s="1047" t="s">
        <v>1507</v>
      </c>
      <c r="AA683" s="1048"/>
      <c r="AB683" s="1048"/>
      <c r="AC683" s="1048"/>
      <c r="AD683" s="1048"/>
      <c r="AE683" s="1049"/>
      <c r="AF683" s="555">
        <v>485.33859999999999</v>
      </c>
      <c r="AG683" s="70">
        <v>42736</v>
      </c>
      <c r="AH683" s="70">
        <v>43100</v>
      </c>
    </row>
    <row r="684" spans="25:34" ht="15.75" customHeight="1">
      <c r="Y684" s="59" t="s">
        <v>199</v>
      </c>
      <c r="Z684" s="1047" t="s">
        <v>1508</v>
      </c>
      <c r="AA684" s="1048"/>
      <c r="AB684" s="1048"/>
      <c r="AC684" s="1048"/>
      <c r="AD684" s="1048"/>
      <c r="AE684" s="1049"/>
      <c r="AF684" s="555">
        <v>151.36833999999999</v>
      </c>
      <c r="AG684" s="70">
        <v>42736</v>
      </c>
      <c r="AH684" s="70">
        <v>43100</v>
      </c>
    </row>
    <row r="685" spans="25:34" ht="15.75" customHeight="1">
      <c r="Y685" s="59" t="s">
        <v>200</v>
      </c>
      <c r="Z685" s="1047" t="s">
        <v>1509</v>
      </c>
      <c r="AA685" s="1048"/>
      <c r="AB685" s="1048"/>
      <c r="AC685" s="1048"/>
      <c r="AD685" s="1048"/>
      <c r="AE685" s="1049"/>
      <c r="AF685" s="555">
        <v>77.151989999999998</v>
      </c>
      <c r="AG685" s="70">
        <v>42736</v>
      </c>
      <c r="AH685" s="70">
        <v>43100</v>
      </c>
    </row>
    <row r="686" spans="25:34" ht="15.75" customHeight="1">
      <c r="Y686" s="59" t="s">
        <v>201</v>
      </c>
      <c r="Z686" s="1047" t="s">
        <v>1510</v>
      </c>
      <c r="AA686" s="1048"/>
      <c r="AB686" s="1048"/>
      <c r="AC686" s="1048"/>
      <c r="AD686" s="1048"/>
      <c r="AE686" s="1049"/>
      <c r="AF686" s="555">
        <v>28.674569999999999</v>
      </c>
      <c r="AG686" s="70">
        <v>42736</v>
      </c>
      <c r="AH686" s="70">
        <v>43100</v>
      </c>
    </row>
    <row r="687" spans="25:34" ht="15.75" customHeight="1">
      <c r="Y687" s="59" t="s">
        <v>202</v>
      </c>
      <c r="Z687" s="1047" t="s">
        <v>1511</v>
      </c>
      <c r="AA687" s="1048"/>
      <c r="AB687" s="1048"/>
      <c r="AC687" s="1048"/>
      <c r="AD687" s="1048"/>
      <c r="AE687" s="1049"/>
      <c r="AF687" s="555">
        <v>337.45877999999999</v>
      </c>
      <c r="AG687" s="70">
        <v>42736</v>
      </c>
      <c r="AH687" s="70">
        <v>43100</v>
      </c>
    </row>
    <row r="688" spans="25:34" ht="15.75" customHeight="1">
      <c r="Y688" s="59" t="s">
        <v>203</v>
      </c>
      <c r="Z688" s="1047" t="s">
        <v>1512</v>
      </c>
      <c r="AA688" s="1048"/>
      <c r="AB688" s="1048"/>
      <c r="AC688" s="1048"/>
      <c r="AD688" s="1048"/>
      <c r="AE688" s="1049"/>
      <c r="AF688" s="555">
        <v>100.30701999999999</v>
      </c>
      <c r="AG688" s="70">
        <v>42736</v>
      </c>
      <c r="AH688" s="70">
        <v>43100</v>
      </c>
    </row>
    <row r="689" spans="25:34" ht="15" customHeight="1">
      <c r="Y689" s="59" t="s">
        <v>204</v>
      </c>
      <c r="Z689" s="1047" t="s">
        <v>1513</v>
      </c>
      <c r="AA689" s="1048"/>
      <c r="AB689" s="1048"/>
      <c r="AC689" s="1048"/>
      <c r="AD689" s="1048"/>
      <c r="AE689" s="1049"/>
      <c r="AF689" s="555">
        <v>100.86960999999999</v>
      </c>
      <c r="AG689" s="70">
        <v>42736</v>
      </c>
      <c r="AH689" s="70">
        <v>43100</v>
      </c>
    </row>
    <row r="690" spans="25:34" ht="15" customHeight="1">
      <c r="Y690" s="59" t="s">
        <v>205</v>
      </c>
      <c r="Z690" s="1047" t="s">
        <v>1514</v>
      </c>
      <c r="AA690" s="1048"/>
      <c r="AB690" s="1048"/>
      <c r="AC690" s="1048"/>
      <c r="AD690" s="1048"/>
      <c r="AE690" s="1049"/>
      <c r="AF690" s="555">
        <v>168.01836</v>
      </c>
      <c r="AG690" s="70">
        <v>42736</v>
      </c>
      <c r="AH690" s="70">
        <v>43100</v>
      </c>
    </row>
    <row r="691" spans="25:34" ht="15" customHeight="1">
      <c r="Y691" s="59" t="s">
        <v>206</v>
      </c>
      <c r="Z691" s="1047" t="s">
        <v>1515</v>
      </c>
      <c r="AA691" s="1048"/>
      <c r="AB691" s="1048"/>
      <c r="AC691" s="1048"/>
      <c r="AD691" s="1048"/>
      <c r="AE691" s="1049"/>
      <c r="AF691" s="555">
        <v>74.314059999999998</v>
      </c>
      <c r="AG691" s="70">
        <v>42736</v>
      </c>
      <c r="AH691" s="70">
        <v>43100</v>
      </c>
    </row>
    <row r="692" spans="25:34" ht="15" customHeight="1">
      <c r="Y692" s="59" t="s">
        <v>207</v>
      </c>
      <c r="Z692" s="1047" t="s">
        <v>1516</v>
      </c>
      <c r="AA692" s="1048"/>
      <c r="AB692" s="1048"/>
      <c r="AC692" s="1048"/>
      <c r="AD692" s="1048"/>
      <c r="AE692" s="1049"/>
      <c r="AF692" s="555">
        <v>66.339150000000004</v>
      </c>
      <c r="AG692" s="70">
        <v>42736</v>
      </c>
      <c r="AH692" s="70">
        <v>43100</v>
      </c>
    </row>
    <row r="693" spans="25:34" ht="15" customHeight="1">
      <c r="Y693" s="59" t="s">
        <v>208</v>
      </c>
      <c r="Z693" s="1047" t="s">
        <v>1517</v>
      </c>
      <c r="AA693" s="1048"/>
      <c r="AB693" s="1048"/>
      <c r="AC693" s="1048"/>
      <c r="AD693" s="1048"/>
      <c r="AE693" s="1049"/>
      <c r="AF693" s="555">
        <v>280.08465999999999</v>
      </c>
      <c r="AG693" s="70">
        <v>42736</v>
      </c>
      <c r="AH693" s="70">
        <v>43100</v>
      </c>
    </row>
    <row r="694" spans="25:34" ht="15" customHeight="1">
      <c r="Y694" s="59" t="s">
        <v>209</v>
      </c>
      <c r="Z694" s="1047" t="s">
        <v>1518</v>
      </c>
      <c r="AA694" s="1048"/>
      <c r="AB694" s="1048"/>
      <c r="AC694" s="1048"/>
      <c r="AD694" s="1048"/>
      <c r="AE694" s="1049"/>
      <c r="AF694" s="555">
        <v>155.99664000000001</v>
      </c>
      <c r="AG694" s="70">
        <v>42736</v>
      </c>
      <c r="AH694" s="70">
        <v>43100</v>
      </c>
    </row>
    <row r="695" spans="25:34" ht="15" customHeight="1">
      <c r="Y695" s="59" t="s">
        <v>210</v>
      </c>
      <c r="Z695" s="1047" t="s">
        <v>1519</v>
      </c>
      <c r="AA695" s="1048"/>
      <c r="AB695" s="1048"/>
      <c r="AC695" s="1048"/>
      <c r="AD695" s="1048"/>
      <c r="AE695" s="1049"/>
      <c r="AF695" s="555">
        <v>119.29577999999999</v>
      </c>
      <c r="AG695" s="70">
        <v>42736</v>
      </c>
      <c r="AH695" s="70">
        <v>43100</v>
      </c>
    </row>
    <row r="696" spans="25:34" ht="15" customHeight="1">
      <c r="Y696" s="59" t="s">
        <v>211</v>
      </c>
      <c r="Z696" s="1047" t="s">
        <v>1520</v>
      </c>
      <c r="AA696" s="1048"/>
      <c r="AB696" s="1048"/>
      <c r="AC696" s="1048"/>
      <c r="AD696" s="1048"/>
      <c r="AE696" s="1049"/>
      <c r="AF696" s="555">
        <v>25.352360000000001</v>
      </c>
      <c r="AG696" s="70">
        <v>42736</v>
      </c>
      <c r="AH696" s="70">
        <v>43100</v>
      </c>
    </row>
    <row r="697" spans="25:34" ht="15" customHeight="1">
      <c r="Y697" s="59" t="s">
        <v>212</v>
      </c>
      <c r="Z697" s="1047" t="s">
        <v>1521</v>
      </c>
      <c r="AA697" s="1048"/>
      <c r="AB697" s="1048"/>
      <c r="AC697" s="1048"/>
      <c r="AD697" s="1048"/>
      <c r="AE697" s="1049"/>
      <c r="AF697" s="555">
        <v>217.84733</v>
      </c>
      <c r="AG697" s="70">
        <v>42736</v>
      </c>
      <c r="AH697" s="70">
        <v>43100</v>
      </c>
    </row>
    <row r="698" spans="25:34" ht="15" customHeight="1">
      <c r="Y698" s="1053" t="s">
        <v>1899</v>
      </c>
      <c r="Z698" s="1054"/>
      <c r="AA698" s="1054"/>
      <c r="AB698" s="1054"/>
      <c r="AC698" s="1054"/>
      <c r="AD698" s="1054"/>
      <c r="AE698" s="1055"/>
      <c r="AF698" s="541">
        <f>SUM(AF699:AF704)</f>
        <v>8415.1019699999997</v>
      </c>
      <c r="AG698" s="75"/>
      <c r="AH698" s="75"/>
    </row>
    <row r="699" spans="25:34" ht="15" customHeight="1">
      <c r="Y699" s="59" t="s">
        <v>224</v>
      </c>
      <c r="Z699" s="1047" t="s">
        <v>1522</v>
      </c>
      <c r="AA699" s="1048"/>
      <c r="AB699" s="1048"/>
      <c r="AC699" s="1048"/>
      <c r="AD699" s="1048"/>
      <c r="AE699" s="1049"/>
      <c r="AF699" s="555">
        <v>246.04625999999999</v>
      </c>
      <c r="AG699" s="70">
        <v>42736</v>
      </c>
      <c r="AH699" s="70">
        <v>43100</v>
      </c>
    </row>
    <row r="700" spans="25:34" ht="15" customHeight="1">
      <c r="Y700" s="59" t="s">
        <v>461</v>
      </c>
      <c r="Z700" s="1047" t="s">
        <v>1523</v>
      </c>
      <c r="AA700" s="1048"/>
      <c r="AB700" s="1048"/>
      <c r="AC700" s="1048"/>
      <c r="AD700" s="1048"/>
      <c r="AE700" s="1049"/>
      <c r="AF700" s="555">
        <v>908.43361000000004</v>
      </c>
      <c r="AG700" s="70">
        <v>42736</v>
      </c>
      <c r="AH700" s="70">
        <v>43100</v>
      </c>
    </row>
    <row r="701" spans="25:34" ht="15" customHeight="1">
      <c r="Y701" s="59" t="s">
        <v>462</v>
      </c>
      <c r="Z701" s="1069" t="s">
        <v>1528</v>
      </c>
      <c r="AA701" s="1070"/>
      <c r="AB701" s="1070"/>
      <c r="AC701" s="1070"/>
      <c r="AD701" s="1070"/>
      <c r="AE701" s="1071"/>
      <c r="AF701" s="555">
        <v>2315.9232200000001</v>
      </c>
      <c r="AG701" s="70">
        <v>42736</v>
      </c>
      <c r="AH701" s="70">
        <v>43100</v>
      </c>
    </row>
    <row r="702" spans="25:34" ht="15" customHeight="1">
      <c r="Y702" s="59" t="s">
        <v>514</v>
      </c>
      <c r="Z702" s="1069" t="s">
        <v>1529</v>
      </c>
      <c r="AA702" s="1070"/>
      <c r="AB702" s="1070"/>
      <c r="AC702" s="1070"/>
      <c r="AD702" s="1070"/>
      <c r="AE702" s="1071"/>
      <c r="AF702" s="555">
        <f>339.9035+201.19352+0.4</f>
        <v>541.49702000000002</v>
      </c>
      <c r="AG702" s="70">
        <v>42736</v>
      </c>
      <c r="AH702" s="70">
        <v>43100</v>
      </c>
    </row>
    <row r="703" spans="25:34" ht="15" customHeight="1">
      <c r="Y703" s="59" t="s">
        <v>516</v>
      </c>
      <c r="Z703" s="1069" t="s">
        <v>1947</v>
      </c>
      <c r="AA703" s="1070"/>
      <c r="AB703" s="1070"/>
      <c r="AC703" s="1070"/>
      <c r="AD703" s="1070"/>
      <c r="AE703" s="1070"/>
      <c r="AF703" s="554">
        <f>1163.72264+2075.71252</f>
        <v>3239.43516</v>
      </c>
      <c r="AG703" s="70">
        <v>42736</v>
      </c>
      <c r="AH703" s="70">
        <v>43100</v>
      </c>
    </row>
    <row r="704" spans="25:34" ht="15" customHeight="1">
      <c r="Y704" s="59" t="s">
        <v>518</v>
      </c>
      <c r="Z704" s="1069" t="s">
        <v>2282</v>
      </c>
      <c r="AA704" s="1070"/>
      <c r="AB704" s="1070"/>
      <c r="AC704" s="1070"/>
      <c r="AD704" s="1070"/>
      <c r="AE704" s="1072"/>
      <c r="AF704" s="554">
        <f>882.72348+281.04322</f>
        <v>1163.7667000000001</v>
      </c>
      <c r="AG704" s="70">
        <v>42736</v>
      </c>
      <c r="AH704" s="70">
        <v>43100</v>
      </c>
    </row>
    <row r="705" spans="25:34" ht="15" customHeight="1">
      <c r="Y705" s="1053" t="s">
        <v>1963</v>
      </c>
      <c r="Z705" s="1054"/>
      <c r="AA705" s="1054"/>
      <c r="AB705" s="1054"/>
      <c r="AC705" s="1054"/>
      <c r="AD705" s="1054"/>
      <c r="AE705" s="1055"/>
      <c r="AF705" s="598">
        <f>SUM(AF706:AF706)</f>
        <v>73.374120000000005</v>
      </c>
      <c r="AG705" s="70"/>
      <c r="AH705" s="70"/>
    </row>
    <row r="706" spans="25:34" ht="16.5" customHeight="1">
      <c r="Y706" s="59" t="s">
        <v>225</v>
      </c>
      <c r="Z706" s="1047" t="s">
        <v>1524</v>
      </c>
      <c r="AA706" s="1048"/>
      <c r="AB706" s="1048"/>
      <c r="AC706" s="1048"/>
      <c r="AD706" s="1048"/>
      <c r="AE706" s="1049"/>
      <c r="AF706" s="555">
        <v>73.374120000000005</v>
      </c>
      <c r="AG706" s="70">
        <v>42736</v>
      </c>
      <c r="AH706" s="70">
        <v>43100</v>
      </c>
    </row>
    <row r="707" spans="25:34" ht="15" customHeight="1">
      <c r="Y707" s="60" t="s">
        <v>667</v>
      </c>
      <c r="Z707" s="1059" t="s">
        <v>133</v>
      </c>
      <c r="AA707" s="1060"/>
      <c r="AB707" s="1060"/>
      <c r="AC707" s="1060"/>
      <c r="AD707" s="1060"/>
      <c r="AE707" s="1061"/>
      <c r="AF707" s="598">
        <f>SUM(AF708:AF710)</f>
        <v>15802.88658</v>
      </c>
      <c r="AG707" s="70"/>
      <c r="AH707" s="70"/>
    </row>
    <row r="708" spans="25:34" ht="15" customHeight="1">
      <c r="Y708" s="59" t="s">
        <v>419</v>
      </c>
      <c r="Z708" s="1047" t="s">
        <v>1525</v>
      </c>
      <c r="AA708" s="1048"/>
      <c r="AB708" s="1048"/>
      <c r="AC708" s="1048"/>
      <c r="AD708" s="1048"/>
      <c r="AE708" s="1049"/>
      <c r="AF708" s="555">
        <v>4535.5246299999999</v>
      </c>
      <c r="AG708" s="70">
        <v>42736</v>
      </c>
      <c r="AH708" s="70">
        <v>43100</v>
      </c>
    </row>
    <row r="709" spans="25:34" ht="15" customHeight="1">
      <c r="Y709" s="59" t="s">
        <v>420</v>
      </c>
      <c r="Z709" s="1047" t="s">
        <v>1526</v>
      </c>
      <c r="AA709" s="1048"/>
      <c r="AB709" s="1048"/>
      <c r="AC709" s="1048"/>
      <c r="AD709" s="1048"/>
      <c r="AE709" s="1049"/>
      <c r="AF709" s="555">
        <v>5734.15416</v>
      </c>
      <c r="AG709" s="70">
        <v>42736</v>
      </c>
      <c r="AH709" s="70">
        <v>43100</v>
      </c>
    </row>
    <row r="710" spans="25:34" ht="15" customHeight="1">
      <c r="Y710" s="59" t="s">
        <v>888</v>
      </c>
      <c r="Z710" s="1047" t="s">
        <v>1527</v>
      </c>
      <c r="AA710" s="1048"/>
      <c r="AB710" s="1048"/>
      <c r="AC710" s="1048"/>
      <c r="AD710" s="1048"/>
      <c r="AE710" s="1049"/>
      <c r="AF710" s="555">
        <v>5533.2077900000004</v>
      </c>
      <c r="AG710" s="70">
        <v>42736</v>
      </c>
      <c r="AH710" s="70">
        <v>43100</v>
      </c>
    </row>
    <row r="711" spans="25:34" ht="15" customHeight="1">
      <c r="Y711" s="60" t="s">
        <v>670</v>
      </c>
      <c r="Z711" s="1059" t="s">
        <v>1948</v>
      </c>
      <c r="AA711" s="1060"/>
      <c r="AB711" s="1060"/>
      <c r="AC711" s="1060"/>
      <c r="AD711" s="1060"/>
      <c r="AE711" s="1061"/>
      <c r="AF711" s="966">
        <f>17139.92-561.611</f>
        <v>16578.308999999997</v>
      </c>
      <c r="AG711" s="70">
        <v>42736</v>
      </c>
      <c r="AH711" s="70">
        <v>43100</v>
      </c>
    </row>
    <row r="712" spans="25:34" ht="15" customHeight="1">
      <c r="Y712" s="1063" t="s">
        <v>2283</v>
      </c>
      <c r="Z712" s="1064"/>
      <c r="AA712" s="1064"/>
      <c r="AB712" s="1064"/>
      <c r="AC712" s="1064"/>
      <c r="AD712" s="1064"/>
      <c r="AE712" s="1065"/>
      <c r="AF712" s="967">
        <f>AF707+AF705+AF698+AF682+AF677+AF675+AF613+AF711</f>
        <v>74637.761109999992</v>
      </c>
      <c r="AG712" s="62"/>
      <c r="AH712" s="62"/>
    </row>
    <row r="713" spans="25:34" ht="18.75" customHeight="1">
      <c r="Y713" s="1050" t="s">
        <v>321</v>
      </c>
      <c r="Z713" s="1051"/>
      <c r="AA713" s="1051"/>
      <c r="AB713" s="1051"/>
      <c r="AC713" s="1051"/>
      <c r="AD713" s="1051"/>
      <c r="AE713" s="1051"/>
      <c r="AF713" s="1051"/>
      <c r="AG713" s="1051"/>
      <c r="AH713" s="1052"/>
    </row>
    <row r="714" spans="25:34" ht="15.75">
      <c r="Y714" s="55">
        <v>1</v>
      </c>
      <c r="Z714" s="1046" t="s">
        <v>633</v>
      </c>
      <c r="AA714" s="1046"/>
      <c r="AB714" s="1046"/>
      <c r="AC714" s="1046"/>
      <c r="AD714" s="1046"/>
      <c r="AE714" s="1046"/>
      <c r="AF714" s="56">
        <v>43946.825072799991</v>
      </c>
      <c r="AG714" s="64"/>
      <c r="AH714" s="64"/>
    </row>
    <row r="715" spans="25:34">
      <c r="Y715" s="58" t="s">
        <v>634</v>
      </c>
      <c r="Z715" s="1034" t="s">
        <v>1420</v>
      </c>
      <c r="AA715" s="1034"/>
      <c r="AB715" s="1034"/>
      <c r="AC715" s="1034"/>
      <c r="AD715" s="1034"/>
      <c r="AE715" s="1034"/>
      <c r="AF715" s="67">
        <v>25756.298703199991</v>
      </c>
      <c r="AG715" s="68">
        <v>43101</v>
      </c>
      <c r="AH715" s="68">
        <v>43465</v>
      </c>
    </row>
    <row r="716" spans="25:34">
      <c r="Y716" s="58" t="s">
        <v>636</v>
      </c>
      <c r="Z716" s="1028" t="s">
        <v>1414</v>
      </c>
      <c r="AA716" s="1028"/>
      <c r="AB716" s="1028"/>
      <c r="AC716" s="1028"/>
      <c r="AD716" s="1028"/>
      <c r="AE716" s="1028"/>
      <c r="AF716" s="69">
        <v>3115.7809280000001</v>
      </c>
      <c r="AG716" s="70">
        <v>43101</v>
      </c>
      <c r="AH716" s="70">
        <v>43465</v>
      </c>
    </row>
    <row r="717" spans="25:34">
      <c r="Y717" s="58" t="s">
        <v>638</v>
      </c>
      <c r="Z717" s="1028" t="s">
        <v>1415</v>
      </c>
      <c r="AA717" s="1028"/>
      <c r="AB717" s="1028"/>
      <c r="AC717" s="1028"/>
      <c r="AD717" s="1028"/>
      <c r="AE717" s="1028"/>
      <c r="AF717" s="72">
        <v>3763.1923680000004</v>
      </c>
      <c r="AG717" s="70">
        <v>43101</v>
      </c>
      <c r="AH717" s="70">
        <v>43465</v>
      </c>
    </row>
    <row r="718" spans="25:34">
      <c r="Y718" s="58" t="s">
        <v>640</v>
      </c>
      <c r="Z718" s="1028" t="s">
        <v>1416</v>
      </c>
      <c r="AA718" s="1028"/>
      <c r="AB718" s="1028"/>
      <c r="AC718" s="1028"/>
      <c r="AD718" s="1028"/>
      <c r="AE718" s="1028"/>
      <c r="AF718" s="72">
        <v>2483.9539399999999</v>
      </c>
      <c r="AG718" s="70">
        <v>43101</v>
      </c>
      <c r="AH718" s="70">
        <v>43465</v>
      </c>
    </row>
    <row r="719" spans="25:34">
      <c r="Y719" s="58" t="s">
        <v>642</v>
      </c>
      <c r="Z719" s="1028" t="s">
        <v>1417</v>
      </c>
      <c r="AA719" s="1028"/>
      <c r="AB719" s="1028"/>
      <c r="AC719" s="1028"/>
      <c r="AD719" s="1028"/>
      <c r="AE719" s="1028"/>
      <c r="AF719" s="73">
        <v>8751.2900487999996</v>
      </c>
      <c r="AG719" s="70">
        <v>43101</v>
      </c>
      <c r="AH719" s="70">
        <v>43465</v>
      </c>
    </row>
    <row r="720" spans="25:34">
      <c r="Y720" s="58" t="s">
        <v>644</v>
      </c>
      <c r="Z720" s="1028" t="s">
        <v>1418</v>
      </c>
      <c r="AA720" s="1028"/>
      <c r="AB720" s="1028"/>
      <c r="AC720" s="1028"/>
      <c r="AD720" s="1028"/>
      <c r="AE720" s="1028"/>
      <c r="AF720" s="429">
        <v>76.309084800000008</v>
      </c>
      <c r="AG720" s="78">
        <v>43101</v>
      </c>
      <c r="AH720" s="78">
        <v>43465</v>
      </c>
    </row>
    <row r="721" spans="25:34">
      <c r="Y721" s="60">
        <v>2</v>
      </c>
      <c r="Z721" s="1032" t="s">
        <v>1419</v>
      </c>
      <c r="AA721" s="1032"/>
      <c r="AB721" s="1032"/>
      <c r="AC721" s="1032"/>
      <c r="AD721" s="1032"/>
      <c r="AE721" s="1032"/>
      <c r="AF721" s="79">
        <v>16435.002043200002</v>
      </c>
      <c r="AG721" s="75">
        <v>43101</v>
      </c>
      <c r="AH721" s="75">
        <v>43465</v>
      </c>
    </row>
    <row r="722" spans="25:34">
      <c r="Y722" s="60" t="s">
        <v>670</v>
      </c>
      <c r="Z722" s="1059" t="s">
        <v>1948</v>
      </c>
      <c r="AA722" s="1060"/>
      <c r="AB722" s="1060"/>
      <c r="AC722" s="1060"/>
      <c r="AD722" s="1060"/>
      <c r="AE722" s="1061"/>
      <c r="AF722" s="79">
        <v>17241.441359999997</v>
      </c>
      <c r="AG722" s="75">
        <v>43101</v>
      </c>
      <c r="AH722" s="75">
        <v>43465</v>
      </c>
    </row>
    <row r="723" spans="25:34" ht="15.75">
      <c r="Y723" s="1056" t="s">
        <v>654</v>
      </c>
      <c r="Z723" s="1057"/>
      <c r="AA723" s="1057"/>
      <c r="AB723" s="1057"/>
      <c r="AC723" s="1057"/>
      <c r="AD723" s="1057"/>
      <c r="AE723" s="1062"/>
      <c r="AF723" s="65">
        <v>77623.268475999997</v>
      </c>
      <c r="AG723" s="62"/>
      <c r="AH723" s="62"/>
    </row>
    <row r="724" spans="25:34" ht="18.75" customHeight="1">
      <c r="Y724" s="1050" t="s">
        <v>322</v>
      </c>
      <c r="Z724" s="1051"/>
      <c r="AA724" s="1051"/>
      <c r="AB724" s="1051"/>
      <c r="AC724" s="1051"/>
      <c r="AD724" s="1051"/>
      <c r="AE724" s="1051"/>
      <c r="AF724" s="1051"/>
      <c r="AG724" s="1051"/>
      <c r="AH724" s="1052"/>
    </row>
    <row r="725" spans="25:34" ht="15.75">
      <c r="Y725" s="55">
        <v>1</v>
      </c>
      <c r="Z725" s="1039" t="s">
        <v>633</v>
      </c>
      <c r="AA725" s="1040"/>
      <c r="AB725" s="1040"/>
      <c r="AC725" s="1040"/>
      <c r="AD725" s="1040"/>
      <c r="AE725" s="1041"/>
      <c r="AF725" s="56">
        <v>45704.698075711996</v>
      </c>
      <c r="AG725" s="66"/>
      <c r="AH725" s="66"/>
    </row>
    <row r="726" spans="25:34">
      <c r="Y726" s="58" t="s">
        <v>634</v>
      </c>
      <c r="Z726" s="1034" t="s">
        <v>1421</v>
      </c>
      <c r="AA726" s="1034"/>
      <c r="AB726" s="1034"/>
      <c r="AC726" s="1034"/>
      <c r="AD726" s="1034"/>
      <c r="AE726" s="1034"/>
      <c r="AF726" s="67">
        <v>26786.550651327991</v>
      </c>
      <c r="AG726" s="68">
        <v>43466</v>
      </c>
      <c r="AH726" s="68">
        <v>43830</v>
      </c>
    </row>
    <row r="727" spans="25:34">
      <c r="Y727" s="58" t="s">
        <v>636</v>
      </c>
      <c r="Z727" s="1028" t="s">
        <v>1414</v>
      </c>
      <c r="AA727" s="1028"/>
      <c r="AB727" s="1028"/>
      <c r="AC727" s="1028"/>
      <c r="AD727" s="1028"/>
      <c r="AE727" s="1028"/>
      <c r="AF727" s="67">
        <v>3240.4121651200003</v>
      </c>
      <c r="AG727" s="70">
        <v>43466</v>
      </c>
      <c r="AH727" s="70">
        <v>43830</v>
      </c>
    </row>
    <row r="728" spans="25:34">
      <c r="Y728" s="58" t="s">
        <v>638</v>
      </c>
      <c r="Z728" s="1028" t="s">
        <v>1415</v>
      </c>
      <c r="AA728" s="1028"/>
      <c r="AB728" s="1028"/>
      <c r="AC728" s="1028"/>
      <c r="AD728" s="1028"/>
      <c r="AE728" s="1028"/>
      <c r="AF728" s="72">
        <v>3913.7200627200004</v>
      </c>
      <c r="AG728" s="70">
        <v>43466</v>
      </c>
      <c r="AH728" s="70">
        <v>43830</v>
      </c>
    </row>
    <row r="729" spans="25:34">
      <c r="Y729" s="58" t="s">
        <v>640</v>
      </c>
      <c r="Z729" s="1028" t="s">
        <v>1416</v>
      </c>
      <c r="AA729" s="1028"/>
      <c r="AB729" s="1028"/>
      <c r="AC729" s="1028"/>
      <c r="AD729" s="1028"/>
      <c r="AE729" s="1028"/>
      <c r="AF729" s="72">
        <v>2583.3120976</v>
      </c>
      <c r="AG729" s="70">
        <v>43466</v>
      </c>
      <c r="AH729" s="70">
        <v>43830</v>
      </c>
    </row>
    <row r="730" spans="25:34">
      <c r="Y730" s="58" t="s">
        <v>642</v>
      </c>
      <c r="Z730" s="1028" t="s">
        <v>1417</v>
      </c>
      <c r="AA730" s="1028"/>
      <c r="AB730" s="1028"/>
      <c r="AC730" s="1028"/>
      <c r="AD730" s="1028"/>
      <c r="AE730" s="1028"/>
      <c r="AF730" s="73">
        <v>9101.3416507519996</v>
      </c>
      <c r="AG730" s="70">
        <v>43466</v>
      </c>
      <c r="AH730" s="70">
        <v>43830</v>
      </c>
    </row>
    <row r="731" spans="25:34">
      <c r="Y731" s="58" t="s">
        <v>644</v>
      </c>
      <c r="Z731" s="1028" t="s">
        <v>1418</v>
      </c>
      <c r="AA731" s="1028"/>
      <c r="AB731" s="1028"/>
      <c r="AC731" s="1028"/>
      <c r="AD731" s="1028"/>
      <c r="AE731" s="1028"/>
      <c r="AF731" s="71">
        <v>79.361448192000012</v>
      </c>
      <c r="AG731" s="70">
        <v>43466</v>
      </c>
      <c r="AH731" s="70">
        <v>43830</v>
      </c>
    </row>
    <row r="732" spans="25:34">
      <c r="Y732" s="60">
        <v>2</v>
      </c>
      <c r="Z732" s="1032" t="s">
        <v>1419</v>
      </c>
      <c r="AA732" s="1032"/>
      <c r="AB732" s="1032"/>
      <c r="AC732" s="1032"/>
      <c r="AD732" s="1032"/>
      <c r="AE732" s="1032"/>
      <c r="AF732" s="74">
        <v>17092.402124928001</v>
      </c>
      <c r="AG732" s="75">
        <v>43466</v>
      </c>
      <c r="AH732" s="75">
        <v>43830</v>
      </c>
    </row>
    <row r="733" spans="25:34">
      <c r="Y733" s="60" t="s">
        <v>670</v>
      </c>
      <c r="Z733" s="1059" t="s">
        <v>1948</v>
      </c>
      <c r="AA733" s="1060"/>
      <c r="AB733" s="1060"/>
      <c r="AC733" s="1060"/>
      <c r="AD733" s="1060"/>
      <c r="AE733" s="1061"/>
      <c r="AF733" s="74">
        <v>17931.099014399999</v>
      </c>
      <c r="AG733" s="75">
        <v>43466</v>
      </c>
      <c r="AH733" s="75">
        <v>43830</v>
      </c>
    </row>
    <row r="734" spans="25:34" ht="15.75">
      <c r="Y734" s="1056" t="s">
        <v>656</v>
      </c>
      <c r="Z734" s="1057"/>
      <c r="AA734" s="1057"/>
      <c r="AB734" s="1057"/>
      <c r="AC734" s="1057"/>
      <c r="AD734" s="1057"/>
      <c r="AE734" s="1058"/>
      <c r="AF734" s="80">
        <v>80728.199215039989</v>
      </c>
      <c r="AG734" s="62"/>
      <c r="AH734" s="62"/>
    </row>
  </sheetData>
  <mergeCells count="1358">
    <mergeCell ref="Y667:Y668"/>
    <mergeCell ref="Z667:AE667"/>
    <mergeCell ref="AF667:AF668"/>
    <mergeCell ref="AG667:AG668"/>
    <mergeCell ref="AH667:AH668"/>
    <mergeCell ref="Y669:Y670"/>
    <mergeCell ref="Z669:AE669"/>
    <mergeCell ref="AF669:AF670"/>
    <mergeCell ref="AG669:AG670"/>
    <mergeCell ref="AH669:AH670"/>
    <mergeCell ref="Y671:Y672"/>
    <mergeCell ref="Z671:AE671"/>
    <mergeCell ref="AF671:AF672"/>
    <mergeCell ref="AG671:AG672"/>
    <mergeCell ref="AH671:AH672"/>
    <mergeCell ref="AF633:AF634"/>
    <mergeCell ref="AG633:AG634"/>
    <mergeCell ref="AH633:AH634"/>
    <mergeCell ref="AF646:AF649"/>
    <mergeCell ref="AG646:AG649"/>
    <mergeCell ref="AH646:AH649"/>
    <mergeCell ref="Y650:Y651"/>
    <mergeCell ref="Z650:AE650"/>
    <mergeCell ref="AF650:AF651"/>
    <mergeCell ref="AG650:AG651"/>
    <mergeCell ref="AH650:AH651"/>
    <mergeCell ref="Y652:Y654"/>
    <mergeCell ref="Z652:AE652"/>
    <mergeCell ref="AF652:AF654"/>
    <mergeCell ref="AG652:AG654"/>
    <mergeCell ref="AH652:AH654"/>
    <mergeCell ref="Y655:Y656"/>
    <mergeCell ref="Z655:AE655"/>
    <mergeCell ref="AF655:AF656"/>
    <mergeCell ref="AG655:AG656"/>
    <mergeCell ref="AH655:AH656"/>
    <mergeCell ref="Y614:Y615"/>
    <mergeCell ref="Z614:AE614"/>
    <mergeCell ref="AF614:AF615"/>
    <mergeCell ref="AG614:AG615"/>
    <mergeCell ref="AH614:AH615"/>
    <mergeCell ref="Y616:Y617"/>
    <mergeCell ref="Z616:AE616"/>
    <mergeCell ref="AF616:AF617"/>
    <mergeCell ref="AG616:AG617"/>
    <mergeCell ref="AH616:AH617"/>
    <mergeCell ref="Y618:Y620"/>
    <mergeCell ref="Z618:AE618"/>
    <mergeCell ref="AF618:AF620"/>
    <mergeCell ref="AG618:AG620"/>
    <mergeCell ref="AH618:AH620"/>
    <mergeCell ref="Y621:Y622"/>
    <mergeCell ref="Z621:AE621"/>
    <mergeCell ref="AF621:AF622"/>
    <mergeCell ref="AG621:AG622"/>
    <mergeCell ref="AH621:AH622"/>
    <mergeCell ref="AG495:AG496"/>
    <mergeCell ref="AH495:AH496"/>
    <mergeCell ref="AG502:AG503"/>
    <mergeCell ref="AH502:AH503"/>
    <mergeCell ref="Y610:AE610"/>
    <mergeCell ref="AG480:AG481"/>
    <mergeCell ref="AH480:AH481"/>
    <mergeCell ref="AG484:AG485"/>
    <mergeCell ref="AH484:AH485"/>
    <mergeCell ref="Z609:AE609"/>
    <mergeCell ref="Y605:AE605"/>
    <mergeCell ref="Z606:AE606"/>
    <mergeCell ref="Z607:AE607"/>
    <mergeCell ref="Z608:AE608"/>
    <mergeCell ref="Z602:AE602"/>
    <mergeCell ref="Z603:AE603"/>
    <mergeCell ref="Z604:AE604"/>
    <mergeCell ref="Z596:AE596"/>
    <mergeCell ref="Z597:AE597"/>
    <mergeCell ref="Z598:AE598"/>
    <mergeCell ref="Z599:AE599"/>
    <mergeCell ref="Z600:AE600"/>
    <mergeCell ref="Z601:AE601"/>
    <mergeCell ref="Z590:AE590"/>
    <mergeCell ref="Z591:AE591"/>
    <mergeCell ref="Z592:AE592"/>
    <mergeCell ref="Z593:AE593"/>
    <mergeCell ref="Z594:AE594"/>
    <mergeCell ref="Z595:AE595"/>
    <mergeCell ref="Z588:AE588"/>
    <mergeCell ref="Z589:AE589"/>
    <mergeCell ref="Y587:AE587"/>
    <mergeCell ref="Y582:AE582"/>
    <mergeCell ref="Y583:Y586"/>
    <mergeCell ref="Z583:AE586"/>
    <mergeCell ref="Z580:AE580"/>
    <mergeCell ref="Z581:AE581"/>
    <mergeCell ref="Z574:AE574"/>
    <mergeCell ref="Z575:AE575"/>
    <mergeCell ref="Z576:AE576"/>
    <mergeCell ref="Z577:AE577"/>
    <mergeCell ref="Z578:AE578"/>
    <mergeCell ref="Z579:AE579"/>
    <mergeCell ref="Z568:AE568"/>
    <mergeCell ref="Z569:AE569"/>
    <mergeCell ref="Z570:AE570"/>
    <mergeCell ref="Z571:AE571"/>
    <mergeCell ref="Z572:AE572"/>
    <mergeCell ref="Z573:AE573"/>
    <mergeCell ref="Z562:AE562"/>
    <mergeCell ref="Z563:AE563"/>
    <mergeCell ref="Z564:AE564"/>
    <mergeCell ref="Z565:AE565"/>
    <mergeCell ref="Z566:AE566"/>
    <mergeCell ref="Z567:AE567"/>
    <mergeCell ref="Z556:AE556"/>
    <mergeCell ref="Z557:AE557"/>
    <mergeCell ref="Z558:AE558"/>
    <mergeCell ref="Z559:AE559"/>
    <mergeCell ref="Z560:AE560"/>
    <mergeCell ref="Z561:AE561"/>
    <mergeCell ref="Z550:AE550"/>
    <mergeCell ref="Z551:AE551"/>
    <mergeCell ref="Z552:AE552"/>
    <mergeCell ref="Z553:AE553"/>
    <mergeCell ref="Z554:AE554"/>
    <mergeCell ref="Z555:AE555"/>
    <mergeCell ref="Z544:AE544"/>
    <mergeCell ref="Z545:AE545"/>
    <mergeCell ref="Z546:AE546"/>
    <mergeCell ref="Z547:AE547"/>
    <mergeCell ref="Z548:AE548"/>
    <mergeCell ref="Z549:AE549"/>
    <mergeCell ref="Z540:AE540"/>
    <mergeCell ref="Z541:AE541"/>
    <mergeCell ref="Z542:AE542"/>
    <mergeCell ref="Z543:AE543"/>
    <mergeCell ref="Z538:AE538"/>
    <mergeCell ref="Y539:AE539"/>
    <mergeCell ref="Z536:AE536"/>
    <mergeCell ref="Z537:AE537"/>
    <mergeCell ref="Z534:AE534"/>
    <mergeCell ref="Z535:AE535"/>
    <mergeCell ref="Y531:AE531"/>
    <mergeCell ref="Z532:AE532"/>
    <mergeCell ref="Z533:AE533"/>
    <mergeCell ref="Z529:AE529"/>
    <mergeCell ref="Z530:AE530"/>
    <mergeCell ref="Y524:AE524"/>
    <mergeCell ref="Z525:AE525"/>
    <mergeCell ref="Z526:AE526"/>
    <mergeCell ref="Z527:AE527"/>
    <mergeCell ref="Y522:Y523"/>
    <mergeCell ref="Z522:AE522"/>
    <mergeCell ref="AG522:AG523"/>
    <mergeCell ref="AH522:AH523"/>
    <mergeCell ref="Y520:Y521"/>
    <mergeCell ref="Z520:AE520"/>
    <mergeCell ref="AG520:AG521"/>
    <mergeCell ref="AH520:AH521"/>
    <mergeCell ref="Y518:Y519"/>
    <mergeCell ref="Z518:AE518"/>
    <mergeCell ref="AG518:AG519"/>
    <mergeCell ref="AH518:AH519"/>
    <mergeCell ref="Y12:Y13"/>
    <mergeCell ref="Z12:AE12"/>
    <mergeCell ref="AF12:AF13"/>
    <mergeCell ref="AG12:AG13"/>
    <mergeCell ref="AH12:AH13"/>
    <mergeCell ref="Y14:Y15"/>
    <mergeCell ref="Y490:Y492"/>
    <mergeCell ref="Z490:AE490"/>
    <mergeCell ref="AG490:AG492"/>
    <mergeCell ref="AH490:AH492"/>
    <mergeCell ref="Y488:Y489"/>
    <mergeCell ref="Z488:AE488"/>
    <mergeCell ref="AG488:AG489"/>
    <mergeCell ref="AH488:AH489"/>
    <mergeCell ref="Y486:Y487"/>
    <mergeCell ref="Z486:AE486"/>
    <mergeCell ref="AG486:AG487"/>
    <mergeCell ref="AH486:AH487"/>
    <mergeCell ref="Y484:Y485"/>
    <mergeCell ref="Z484:AE484"/>
    <mergeCell ref="Y482:Y483"/>
    <mergeCell ref="Z482:AE482"/>
    <mergeCell ref="AG482:AG483"/>
    <mergeCell ref="AH482:AH483"/>
    <mergeCell ref="Z14:AE14"/>
    <mergeCell ref="AF14:AF15"/>
    <mergeCell ref="AG14:AG15"/>
    <mergeCell ref="AH14:AH15"/>
    <mergeCell ref="Y16:Y17"/>
    <mergeCell ref="Z16:AE16"/>
    <mergeCell ref="AF16:AF17"/>
    <mergeCell ref="AG16:AG17"/>
    <mergeCell ref="A1:K1"/>
    <mergeCell ref="Y1:AH1"/>
    <mergeCell ref="A3:A4"/>
    <mergeCell ref="B3:G4"/>
    <mergeCell ref="H3:H4"/>
    <mergeCell ref="I3:J3"/>
    <mergeCell ref="Y3:Y4"/>
    <mergeCell ref="Z3:AE4"/>
    <mergeCell ref="AF3:AF4"/>
    <mergeCell ref="AG3:AH3"/>
    <mergeCell ref="B5:G5"/>
    <mergeCell ref="Z5:AE5"/>
    <mergeCell ref="Y6:AH6"/>
    <mergeCell ref="Y7:AE7"/>
    <mergeCell ref="Y8:AE8"/>
    <mergeCell ref="Y9:Y11"/>
    <mergeCell ref="Z9:AE9"/>
    <mergeCell ref="AF9:AF11"/>
    <mergeCell ref="AG9:AG11"/>
    <mergeCell ref="AH9:AH11"/>
    <mergeCell ref="AH16:AH17"/>
    <mergeCell ref="Y18:Y19"/>
    <mergeCell ref="Z18:AE18"/>
    <mergeCell ref="AF18:AF19"/>
    <mergeCell ref="AG18:AG19"/>
    <mergeCell ref="AH18:AH19"/>
    <mergeCell ref="Y20:Y21"/>
    <mergeCell ref="Z20:AE20"/>
    <mergeCell ref="AF20:AF21"/>
    <mergeCell ref="AG20:AG21"/>
    <mergeCell ref="AH20:AH21"/>
    <mergeCell ref="Y22:Y23"/>
    <mergeCell ref="Z22:AE22"/>
    <mergeCell ref="AF22:AF23"/>
    <mergeCell ref="AG22:AG23"/>
    <mergeCell ref="AH22:AH23"/>
    <mergeCell ref="Y24:Y25"/>
    <mergeCell ref="Z24:AE24"/>
    <mergeCell ref="AF24:AF25"/>
    <mergeCell ref="AG24:AG25"/>
    <mergeCell ref="AH24:AH25"/>
    <mergeCell ref="Y26:Y27"/>
    <mergeCell ref="Z26:AE26"/>
    <mergeCell ref="AF26:AF27"/>
    <mergeCell ref="AG26:AG27"/>
    <mergeCell ref="AH26:AH27"/>
    <mergeCell ref="Y28:Y29"/>
    <mergeCell ref="Z28:AE28"/>
    <mergeCell ref="AF28:AF29"/>
    <mergeCell ref="AG28:AG29"/>
    <mergeCell ref="AH28:AH29"/>
    <mergeCell ref="Y30:Y31"/>
    <mergeCell ref="Z30:AE30"/>
    <mergeCell ref="AF30:AF31"/>
    <mergeCell ref="AG30:AG31"/>
    <mergeCell ref="AH30:AH31"/>
    <mergeCell ref="Y32:Y33"/>
    <mergeCell ref="Z32:AE32"/>
    <mergeCell ref="AF32:AF33"/>
    <mergeCell ref="AG32:AG33"/>
    <mergeCell ref="AH32:AH33"/>
    <mergeCell ref="Y34:Y35"/>
    <mergeCell ref="Z34:AE34"/>
    <mergeCell ref="AF34:AF35"/>
    <mergeCell ref="AG34:AG35"/>
    <mergeCell ref="AH34:AH35"/>
    <mergeCell ref="Y36:Y37"/>
    <mergeCell ref="Z36:AE36"/>
    <mergeCell ref="AF36:AF37"/>
    <mergeCell ref="AG36:AG37"/>
    <mergeCell ref="AH36:AH37"/>
    <mergeCell ref="Y38:Y39"/>
    <mergeCell ref="Z38:AE38"/>
    <mergeCell ref="AF38:AF39"/>
    <mergeCell ref="AG38:AG39"/>
    <mergeCell ref="AH38:AH39"/>
    <mergeCell ref="Y40:Y41"/>
    <mergeCell ref="Z40:AE40"/>
    <mergeCell ref="AF40:AF41"/>
    <mergeCell ref="AG40:AG41"/>
    <mergeCell ref="AH40:AH41"/>
    <mergeCell ref="Y42:Y44"/>
    <mergeCell ref="Z42:AE42"/>
    <mergeCell ref="AF42:AF44"/>
    <mergeCell ref="AG42:AG44"/>
    <mergeCell ref="AH42:AH44"/>
    <mergeCell ref="Y45:Y46"/>
    <mergeCell ref="Z45:AE45"/>
    <mergeCell ref="AF45:AF46"/>
    <mergeCell ref="AG45:AG46"/>
    <mergeCell ref="AH45:AH46"/>
    <mergeCell ref="Y47:Y48"/>
    <mergeCell ref="Z47:AE47"/>
    <mergeCell ref="AF47:AF48"/>
    <mergeCell ref="AG47:AG48"/>
    <mergeCell ref="AH47:AH48"/>
    <mergeCell ref="Y49:Y50"/>
    <mergeCell ref="Z49:AE49"/>
    <mergeCell ref="AF49:AF50"/>
    <mergeCell ref="AG49:AG50"/>
    <mergeCell ref="AH49:AH50"/>
    <mergeCell ref="Y51:Y52"/>
    <mergeCell ref="Z51:AE51"/>
    <mergeCell ref="AF51:AF52"/>
    <mergeCell ref="AG51:AG52"/>
    <mergeCell ref="AH51:AH52"/>
    <mergeCell ref="Y53:Y54"/>
    <mergeCell ref="Z53:AE53"/>
    <mergeCell ref="AF53:AF54"/>
    <mergeCell ref="AG53:AG54"/>
    <mergeCell ref="AH53:AH54"/>
    <mergeCell ref="Y55:Y56"/>
    <mergeCell ref="Z55:AE55"/>
    <mergeCell ref="AF55:AF56"/>
    <mergeCell ref="AG55:AG56"/>
    <mergeCell ref="AH55:AH56"/>
    <mergeCell ref="Y57:Y58"/>
    <mergeCell ref="Z57:AE57"/>
    <mergeCell ref="AF57:AF58"/>
    <mergeCell ref="AG57:AG58"/>
    <mergeCell ref="AH57:AH58"/>
    <mergeCell ref="Y59:Y60"/>
    <mergeCell ref="Z59:AE59"/>
    <mergeCell ref="AF59:AF60"/>
    <mergeCell ref="AG59:AG60"/>
    <mergeCell ref="AH59:AH60"/>
    <mergeCell ref="Y61:Y62"/>
    <mergeCell ref="Z61:AE61"/>
    <mergeCell ref="AF61:AF62"/>
    <mergeCell ref="AG61:AG62"/>
    <mergeCell ref="AH61:AH62"/>
    <mergeCell ref="Y63:Y64"/>
    <mergeCell ref="Z63:AE63"/>
    <mergeCell ref="AF63:AF64"/>
    <mergeCell ref="AG63:AG64"/>
    <mergeCell ref="AH63:AH64"/>
    <mergeCell ref="Y65:Y66"/>
    <mergeCell ref="Z65:AE65"/>
    <mergeCell ref="AF65:AF66"/>
    <mergeCell ref="AG65:AG66"/>
    <mergeCell ref="AH65:AH66"/>
    <mergeCell ref="Y67:Y68"/>
    <mergeCell ref="Z67:AE67"/>
    <mergeCell ref="AF67:AF68"/>
    <mergeCell ref="AG67:AG68"/>
    <mergeCell ref="AH67:AH68"/>
    <mergeCell ref="Y69:Y70"/>
    <mergeCell ref="Z69:AE69"/>
    <mergeCell ref="AF69:AF70"/>
    <mergeCell ref="AG69:AG70"/>
    <mergeCell ref="AH69:AH70"/>
    <mergeCell ref="Y71:Y72"/>
    <mergeCell ref="Z71:AE71"/>
    <mergeCell ref="AF71:AF72"/>
    <mergeCell ref="AG71:AG72"/>
    <mergeCell ref="AH71:AH72"/>
    <mergeCell ref="Y73:Y74"/>
    <mergeCell ref="Z73:AE73"/>
    <mergeCell ref="AF73:AF74"/>
    <mergeCell ref="AG73:AG74"/>
    <mergeCell ref="AH73:AH74"/>
    <mergeCell ref="Y75:Y77"/>
    <mergeCell ref="Z75:AE75"/>
    <mergeCell ref="AF75:AF77"/>
    <mergeCell ref="AG75:AG77"/>
    <mergeCell ref="AH75:AH77"/>
    <mergeCell ref="Y78:Y79"/>
    <mergeCell ref="Z78:AE78"/>
    <mergeCell ref="AF78:AF79"/>
    <mergeCell ref="AG78:AG79"/>
    <mergeCell ref="AH78:AH79"/>
    <mergeCell ref="Y80:Y81"/>
    <mergeCell ref="Z80:AE80"/>
    <mergeCell ref="AF80:AF81"/>
    <mergeCell ref="AG80:AG81"/>
    <mergeCell ref="AH80:AH81"/>
    <mergeCell ref="Y82:Y83"/>
    <mergeCell ref="Z82:AE82"/>
    <mergeCell ref="AF82:AF83"/>
    <mergeCell ref="AG82:AG83"/>
    <mergeCell ref="AH82:AH83"/>
    <mergeCell ref="Y84:Y86"/>
    <mergeCell ref="Z84:AE84"/>
    <mergeCell ref="AF84:AF86"/>
    <mergeCell ref="AG84:AG86"/>
    <mergeCell ref="AH84:AH86"/>
    <mergeCell ref="Y87:Y89"/>
    <mergeCell ref="Z87:AE87"/>
    <mergeCell ref="AF87:AF89"/>
    <mergeCell ref="AG87:AG89"/>
    <mergeCell ref="AH87:AH89"/>
    <mergeCell ref="Y90:Y91"/>
    <mergeCell ref="Z90:AE90"/>
    <mergeCell ref="AF90:AF91"/>
    <mergeCell ref="AG90:AG91"/>
    <mergeCell ref="AH90:AH91"/>
    <mergeCell ref="Y92:Y93"/>
    <mergeCell ref="Z92:AE92"/>
    <mergeCell ref="AF92:AF93"/>
    <mergeCell ref="AG92:AG93"/>
    <mergeCell ref="AH92:AH93"/>
    <mergeCell ref="Y94:Y95"/>
    <mergeCell ref="Z94:AE94"/>
    <mergeCell ref="AF94:AF95"/>
    <mergeCell ref="AG94:AG95"/>
    <mergeCell ref="AH94:AH95"/>
    <mergeCell ref="Y96:Y97"/>
    <mergeCell ref="Z96:AE96"/>
    <mergeCell ref="AF96:AF97"/>
    <mergeCell ref="AG96:AG97"/>
    <mergeCell ref="AH96:AH97"/>
    <mergeCell ref="Y98:Y99"/>
    <mergeCell ref="Z98:AE98"/>
    <mergeCell ref="AF98:AF99"/>
    <mergeCell ref="AG98:AG99"/>
    <mergeCell ref="AH98:AH99"/>
    <mergeCell ref="Y100:Y101"/>
    <mergeCell ref="Z100:AE100"/>
    <mergeCell ref="AF100:AF101"/>
    <mergeCell ref="AG100:AG101"/>
    <mergeCell ref="AH100:AH101"/>
    <mergeCell ref="Y102:Y103"/>
    <mergeCell ref="Z102:AE102"/>
    <mergeCell ref="AF102:AF103"/>
    <mergeCell ref="AG102:AG103"/>
    <mergeCell ref="AH102:AH103"/>
    <mergeCell ref="Y104:Y105"/>
    <mergeCell ref="Z104:AE104"/>
    <mergeCell ref="AF104:AF105"/>
    <mergeCell ref="AG104:AG105"/>
    <mergeCell ref="AH104:AH105"/>
    <mergeCell ref="Y106:Y107"/>
    <mergeCell ref="Z106:AE106"/>
    <mergeCell ref="AF106:AF107"/>
    <mergeCell ref="AG106:AG107"/>
    <mergeCell ref="AH106:AH107"/>
    <mergeCell ref="Y108:Y109"/>
    <mergeCell ref="Z108:AE108"/>
    <mergeCell ref="AF108:AF109"/>
    <mergeCell ref="AG108:AG109"/>
    <mergeCell ref="AH108:AH109"/>
    <mergeCell ref="Y110:Y111"/>
    <mergeCell ref="Z110:AE110"/>
    <mergeCell ref="AF110:AF111"/>
    <mergeCell ref="AG110:AG111"/>
    <mergeCell ref="AH110:AH111"/>
    <mergeCell ref="Y112:AE112"/>
    <mergeCell ref="Y113:Y114"/>
    <mergeCell ref="Z113:AE114"/>
    <mergeCell ref="AF113:AF114"/>
    <mergeCell ref="AG113:AG114"/>
    <mergeCell ref="AH113:AH114"/>
    <mergeCell ref="Y115:Y116"/>
    <mergeCell ref="Z115:AE116"/>
    <mergeCell ref="AF115:AF116"/>
    <mergeCell ref="AG115:AG116"/>
    <mergeCell ref="AH115:AH116"/>
    <mergeCell ref="Y117:Y118"/>
    <mergeCell ref="Z117:AE118"/>
    <mergeCell ref="AF117:AF118"/>
    <mergeCell ref="AG117:AG118"/>
    <mergeCell ref="AH117:AH118"/>
    <mergeCell ref="Y119:Y120"/>
    <mergeCell ref="Z119:AE120"/>
    <mergeCell ref="AF119:AF120"/>
    <mergeCell ref="AG119:AG120"/>
    <mergeCell ref="AH119:AH120"/>
    <mergeCell ref="Y121:Y122"/>
    <mergeCell ref="Z121:AE122"/>
    <mergeCell ref="AF121:AF122"/>
    <mergeCell ref="AG121:AG122"/>
    <mergeCell ref="AH121:AH122"/>
    <mergeCell ref="Y123:Y124"/>
    <mergeCell ref="Z123:AE124"/>
    <mergeCell ref="AF123:AF124"/>
    <mergeCell ref="AG123:AG124"/>
    <mergeCell ref="AH123:AH124"/>
    <mergeCell ref="Y125:Y126"/>
    <mergeCell ref="Z125:AE126"/>
    <mergeCell ref="AF125:AF126"/>
    <mergeCell ref="AG125:AG126"/>
    <mergeCell ref="AH125:AH126"/>
    <mergeCell ref="Y127:Y128"/>
    <mergeCell ref="Z127:AE128"/>
    <mergeCell ref="AF127:AF128"/>
    <mergeCell ref="AG127:AG128"/>
    <mergeCell ref="AH127:AH128"/>
    <mergeCell ref="Y129:AE129"/>
    <mergeCell ref="Y130:Y131"/>
    <mergeCell ref="Z130:AE131"/>
    <mergeCell ref="AF130:AF131"/>
    <mergeCell ref="AG130:AG131"/>
    <mergeCell ref="AH130:AH131"/>
    <mergeCell ref="Y132:Y133"/>
    <mergeCell ref="Z132:AE133"/>
    <mergeCell ref="AF132:AF133"/>
    <mergeCell ref="AG132:AG133"/>
    <mergeCell ref="AH132:AH133"/>
    <mergeCell ref="Y134:Y135"/>
    <mergeCell ref="Z134:AE135"/>
    <mergeCell ref="AF134:AF135"/>
    <mergeCell ref="AG134:AG135"/>
    <mergeCell ref="AH134:AH135"/>
    <mergeCell ref="Y136:Y137"/>
    <mergeCell ref="Z136:AE137"/>
    <mergeCell ref="AF136:AF137"/>
    <mergeCell ref="AG136:AG137"/>
    <mergeCell ref="AH136:AH137"/>
    <mergeCell ref="Y138:Y139"/>
    <mergeCell ref="Z138:AE139"/>
    <mergeCell ref="AF138:AF139"/>
    <mergeCell ref="AG138:AG139"/>
    <mergeCell ref="AH138:AH139"/>
    <mergeCell ref="Y140:Y141"/>
    <mergeCell ref="Z140:AE141"/>
    <mergeCell ref="AF140:AF141"/>
    <mergeCell ref="AG140:AG141"/>
    <mergeCell ref="AH140:AH141"/>
    <mergeCell ref="Y142:Y143"/>
    <mergeCell ref="Z142:AE143"/>
    <mergeCell ref="AF142:AF143"/>
    <mergeCell ref="AG142:AG143"/>
    <mergeCell ref="AH142:AH143"/>
    <mergeCell ref="Y144:Y145"/>
    <mergeCell ref="Z144:AE145"/>
    <mergeCell ref="AF144:AF145"/>
    <mergeCell ref="AG144:AG145"/>
    <mergeCell ref="AH144:AH145"/>
    <mergeCell ref="Y146:Y147"/>
    <mergeCell ref="Z146:AE147"/>
    <mergeCell ref="AF146:AF147"/>
    <mergeCell ref="AG146:AG147"/>
    <mergeCell ref="AH146:AH147"/>
    <mergeCell ref="Y148:Y149"/>
    <mergeCell ref="Z148:AE149"/>
    <mergeCell ref="AF148:AF149"/>
    <mergeCell ref="AG148:AG149"/>
    <mergeCell ref="AH148:AH149"/>
    <mergeCell ref="Y150:Y151"/>
    <mergeCell ref="Z150:AE151"/>
    <mergeCell ref="AF150:AF151"/>
    <mergeCell ref="AG150:AG151"/>
    <mergeCell ref="AH150:AH151"/>
    <mergeCell ref="Y152:Y153"/>
    <mergeCell ref="Z152:AE153"/>
    <mergeCell ref="AF152:AF153"/>
    <mergeCell ref="AG152:AG153"/>
    <mergeCell ref="AH152:AH153"/>
    <mergeCell ref="Y154:Y155"/>
    <mergeCell ref="Z154:AE155"/>
    <mergeCell ref="AF154:AF155"/>
    <mergeCell ref="AG154:AG155"/>
    <mergeCell ref="AH154:AH155"/>
    <mergeCell ref="Y156:Y157"/>
    <mergeCell ref="Z156:AE157"/>
    <mergeCell ref="AF156:AF157"/>
    <mergeCell ref="AG156:AG157"/>
    <mergeCell ref="AH156:AH157"/>
    <mergeCell ref="Y158:Y159"/>
    <mergeCell ref="Z158:AE159"/>
    <mergeCell ref="AF158:AF159"/>
    <mergeCell ref="AG158:AG159"/>
    <mergeCell ref="AH158:AH159"/>
    <mergeCell ref="Y160:Y161"/>
    <mergeCell ref="Z160:AE161"/>
    <mergeCell ref="AF160:AF161"/>
    <mergeCell ref="AG160:AG161"/>
    <mergeCell ref="AH160:AH161"/>
    <mergeCell ref="Y162:Y163"/>
    <mergeCell ref="Z162:AE163"/>
    <mergeCell ref="AF162:AF163"/>
    <mergeCell ref="AG162:AG163"/>
    <mergeCell ref="AH162:AH163"/>
    <mergeCell ref="Y164:Y165"/>
    <mergeCell ref="Z164:AE165"/>
    <mergeCell ref="AF164:AF165"/>
    <mergeCell ref="AG164:AG165"/>
    <mergeCell ref="AH164:AH165"/>
    <mergeCell ref="Y166:Y167"/>
    <mergeCell ref="Z166:AE167"/>
    <mergeCell ref="AF166:AF167"/>
    <mergeCell ref="AG166:AG167"/>
    <mergeCell ref="AH166:AH167"/>
    <mergeCell ref="Y168:Y169"/>
    <mergeCell ref="Z168:AE169"/>
    <mergeCell ref="AF168:AF169"/>
    <mergeCell ref="AG168:AG169"/>
    <mergeCell ref="AH168:AH169"/>
    <mergeCell ref="Y170:Y171"/>
    <mergeCell ref="Z170:AE171"/>
    <mergeCell ref="AF170:AF171"/>
    <mergeCell ref="AG170:AG171"/>
    <mergeCell ref="AH170:AH171"/>
    <mergeCell ref="Y172:Y173"/>
    <mergeCell ref="Z172:AE173"/>
    <mergeCell ref="AF172:AF173"/>
    <mergeCell ref="AG172:AG173"/>
    <mergeCell ref="AH172:AH173"/>
    <mergeCell ref="Y174:Y175"/>
    <mergeCell ref="Z174:AE175"/>
    <mergeCell ref="AF174:AF175"/>
    <mergeCell ref="AG174:AG175"/>
    <mergeCell ref="AH174:AH175"/>
    <mergeCell ref="Y176:Y177"/>
    <mergeCell ref="Z176:AE177"/>
    <mergeCell ref="AF176:AF177"/>
    <mergeCell ref="AG176:AG177"/>
    <mergeCell ref="AH176:AH177"/>
    <mergeCell ref="Y178:Y179"/>
    <mergeCell ref="Z178:AE179"/>
    <mergeCell ref="AF178:AF179"/>
    <mergeCell ref="AG178:AG179"/>
    <mergeCell ref="AH178:AH179"/>
    <mergeCell ref="Y180:Y181"/>
    <mergeCell ref="Z180:AE181"/>
    <mergeCell ref="AF180:AF181"/>
    <mergeCell ref="AG180:AG181"/>
    <mergeCell ref="AH180:AH181"/>
    <mergeCell ref="Y182:Y183"/>
    <mergeCell ref="Z182:AE183"/>
    <mergeCell ref="AF182:AF183"/>
    <mergeCell ref="AG182:AG183"/>
    <mergeCell ref="AH182:AH183"/>
    <mergeCell ref="Y184:Y185"/>
    <mergeCell ref="Z184:AE185"/>
    <mergeCell ref="AF184:AF185"/>
    <mergeCell ref="AG184:AG185"/>
    <mergeCell ref="AH184:AH185"/>
    <mergeCell ref="Y186:Y187"/>
    <mergeCell ref="Z186:AE187"/>
    <mergeCell ref="AF186:AF187"/>
    <mergeCell ref="AG186:AG187"/>
    <mergeCell ref="AH186:AH187"/>
    <mergeCell ref="Y188:AE188"/>
    <mergeCell ref="Y189:Y190"/>
    <mergeCell ref="Z189:AE190"/>
    <mergeCell ref="AF189:AF190"/>
    <mergeCell ref="AG189:AG190"/>
    <mergeCell ref="AH189:AH190"/>
    <mergeCell ref="Y191:Y192"/>
    <mergeCell ref="Z191:AE192"/>
    <mergeCell ref="AF191:AF192"/>
    <mergeCell ref="AG191:AG192"/>
    <mergeCell ref="AH191:AH192"/>
    <mergeCell ref="Y193:Y194"/>
    <mergeCell ref="Z193:AE194"/>
    <mergeCell ref="AF193:AF194"/>
    <mergeCell ref="AG193:AG194"/>
    <mergeCell ref="AH193:AH194"/>
    <mergeCell ref="Y195:Y196"/>
    <mergeCell ref="Z195:AE196"/>
    <mergeCell ref="AF195:AF196"/>
    <mergeCell ref="AG195:AG196"/>
    <mergeCell ref="AH195:AH196"/>
    <mergeCell ref="Y197:Y198"/>
    <mergeCell ref="Z197:AE198"/>
    <mergeCell ref="AF197:AF198"/>
    <mergeCell ref="AG197:AG198"/>
    <mergeCell ref="AH197:AH198"/>
    <mergeCell ref="Y199:Y200"/>
    <mergeCell ref="Z199:AE200"/>
    <mergeCell ref="AF199:AF200"/>
    <mergeCell ref="AG199:AG200"/>
    <mergeCell ref="AH199:AH200"/>
    <mergeCell ref="Y201:Y202"/>
    <mergeCell ref="Z201:AE202"/>
    <mergeCell ref="AF201:AF202"/>
    <mergeCell ref="AG201:AG202"/>
    <mergeCell ref="AH201:AH202"/>
    <mergeCell ref="Y203:Y204"/>
    <mergeCell ref="Z203:AE204"/>
    <mergeCell ref="AF203:AF204"/>
    <mergeCell ref="AG203:AG204"/>
    <mergeCell ref="AH203:AH204"/>
    <mergeCell ref="Y205:Y206"/>
    <mergeCell ref="Z205:AE206"/>
    <mergeCell ref="AF205:AF206"/>
    <mergeCell ref="AG205:AG206"/>
    <mergeCell ref="AH205:AH206"/>
    <mergeCell ref="Y207:Y208"/>
    <mergeCell ref="Z207:AE208"/>
    <mergeCell ref="AF207:AF208"/>
    <mergeCell ref="AG207:AG208"/>
    <mergeCell ref="AH207:AH208"/>
    <mergeCell ref="Y209:Y210"/>
    <mergeCell ref="Z209:AE210"/>
    <mergeCell ref="AF209:AF210"/>
    <mergeCell ref="AG209:AG210"/>
    <mergeCell ref="AH209:AH210"/>
    <mergeCell ref="Y211:Y212"/>
    <mergeCell ref="Z211:AE212"/>
    <mergeCell ref="AF211:AF212"/>
    <mergeCell ref="AG211:AG212"/>
    <mergeCell ref="AH211:AH212"/>
    <mergeCell ref="Y213:Y214"/>
    <mergeCell ref="Z213:AE214"/>
    <mergeCell ref="AF213:AF214"/>
    <mergeCell ref="AG213:AG214"/>
    <mergeCell ref="AH213:AH214"/>
    <mergeCell ref="Y215:Y216"/>
    <mergeCell ref="Z215:AE216"/>
    <mergeCell ref="AF215:AF216"/>
    <mergeCell ref="AG215:AG216"/>
    <mergeCell ref="AH215:AH216"/>
    <mergeCell ref="Y217:Y218"/>
    <mergeCell ref="Z217:AE218"/>
    <mergeCell ref="AF217:AF218"/>
    <mergeCell ref="AG217:AG218"/>
    <mergeCell ref="AH217:AH218"/>
    <mergeCell ref="Y219:Y220"/>
    <mergeCell ref="Z219:AE220"/>
    <mergeCell ref="AF219:AF220"/>
    <mergeCell ref="AG219:AG220"/>
    <mergeCell ref="AH219:AH220"/>
    <mergeCell ref="Y221:Y222"/>
    <mergeCell ref="Z221:AE222"/>
    <mergeCell ref="AF221:AF222"/>
    <mergeCell ref="AG221:AG222"/>
    <mergeCell ref="AH221:AH222"/>
    <mergeCell ref="Y223:Y224"/>
    <mergeCell ref="Z223:AE224"/>
    <mergeCell ref="AF223:AF224"/>
    <mergeCell ref="AG223:AG224"/>
    <mergeCell ref="AH223:AH224"/>
    <mergeCell ref="Y225:Y226"/>
    <mergeCell ref="Z225:AE226"/>
    <mergeCell ref="AF225:AF226"/>
    <mergeCell ref="AG225:AG226"/>
    <mergeCell ref="AH225:AH226"/>
    <mergeCell ref="Y227:Y228"/>
    <mergeCell ref="Z227:AE228"/>
    <mergeCell ref="AF227:AF228"/>
    <mergeCell ref="AG227:AG228"/>
    <mergeCell ref="AH227:AH228"/>
    <mergeCell ref="Y229:Y230"/>
    <mergeCell ref="Z229:AE230"/>
    <mergeCell ref="AF229:AF230"/>
    <mergeCell ref="AG229:AG230"/>
    <mergeCell ref="AH229:AH230"/>
    <mergeCell ref="Y231:Y232"/>
    <mergeCell ref="Z231:AE232"/>
    <mergeCell ref="AF231:AF232"/>
    <mergeCell ref="AG231:AG232"/>
    <mergeCell ref="AH231:AH232"/>
    <mergeCell ref="Y233:Y234"/>
    <mergeCell ref="Z233:AE234"/>
    <mergeCell ref="AF233:AF234"/>
    <mergeCell ref="AG233:AG234"/>
    <mergeCell ref="AH233:AH234"/>
    <mergeCell ref="Y235:Y236"/>
    <mergeCell ref="Z235:AE236"/>
    <mergeCell ref="AF235:AF236"/>
    <mergeCell ref="AG235:AG236"/>
    <mergeCell ref="AH235:AH236"/>
    <mergeCell ref="Y237:Y238"/>
    <mergeCell ref="Z237:AE238"/>
    <mergeCell ref="AF237:AF238"/>
    <mergeCell ref="AG237:AG238"/>
    <mergeCell ref="AH237:AH238"/>
    <mergeCell ref="Y239:Y240"/>
    <mergeCell ref="Z239:AE240"/>
    <mergeCell ref="AF239:AF240"/>
    <mergeCell ref="AG239:AG240"/>
    <mergeCell ref="AH239:AH240"/>
    <mergeCell ref="Y241:AE241"/>
    <mergeCell ref="Y242:Y243"/>
    <mergeCell ref="Z242:AE243"/>
    <mergeCell ref="AF242:AF243"/>
    <mergeCell ref="AG242:AG243"/>
    <mergeCell ref="AH242:AH243"/>
    <mergeCell ref="Y244:Y245"/>
    <mergeCell ref="Z244:AE245"/>
    <mergeCell ref="AF244:AF245"/>
    <mergeCell ref="AG244:AG245"/>
    <mergeCell ref="AH244:AH245"/>
    <mergeCell ref="Y246:Y247"/>
    <mergeCell ref="Z246:AE247"/>
    <mergeCell ref="AF246:AF247"/>
    <mergeCell ref="AG246:AG247"/>
    <mergeCell ref="AH246:AH247"/>
    <mergeCell ref="Y248:AE248"/>
    <mergeCell ref="Y249:Y250"/>
    <mergeCell ref="Z249:AE250"/>
    <mergeCell ref="AF249:AF250"/>
    <mergeCell ref="AG249:AG250"/>
    <mergeCell ref="AH249:AH250"/>
    <mergeCell ref="Y251:Y252"/>
    <mergeCell ref="Z251:AE252"/>
    <mergeCell ref="AF251:AF252"/>
    <mergeCell ref="AG251:AG252"/>
    <mergeCell ref="AH251:AH252"/>
    <mergeCell ref="Y253:Y254"/>
    <mergeCell ref="Z253:AE254"/>
    <mergeCell ref="AF253:AF254"/>
    <mergeCell ref="AG253:AG254"/>
    <mergeCell ref="AH253:AH254"/>
    <mergeCell ref="Y255:Y256"/>
    <mergeCell ref="Z255:AE256"/>
    <mergeCell ref="AF255:AF256"/>
    <mergeCell ref="AG255:AG256"/>
    <mergeCell ref="AH255:AH256"/>
    <mergeCell ref="Y257:Y258"/>
    <mergeCell ref="Z257:AE258"/>
    <mergeCell ref="AF257:AF258"/>
    <mergeCell ref="AG257:AG258"/>
    <mergeCell ref="AH257:AH258"/>
    <mergeCell ref="Y259:Y260"/>
    <mergeCell ref="Z259:AE260"/>
    <mergeCell ref="AF259:AF260"/>
    <mergeCell ref="AG259:AG260"/>
    <mergeCell ref="AH259:AH260"/>
    <mergeCell ref="Y261:Y262"/>
    <mergeCell ref="Z261:AE262"/>
    <mergeCell ref="AF261:AF262"/>
    <mergeCell ref="AG261:AG262"/>
    <mergeCell ref="AH261:AH262"/>
    <mergeCell ref="Y263:Y264"/>
    <mergeCell ref="Z263:AE264"/>
    <mergeCell ref="AF263:AF264"/>
    <mergeCell ref="AG263:AG264"/>
    <mergeCell ref="AH263:AH264"/>
    <mergeCell ref="Y265:Y266"/>
    <mergeCell ref="Z265:AE266"/>
    <mergeCell ref="AF265:AF266"/>
    <mergeCell ref="AG265:AG266"/>
    <mergeCell ref="AH265:AH266"/>
    <mergeCell ref="Y267:Y268"/>
    <mergeCell ref="Z267:AE268"/>
    <mergeCell ref="AF267:AF268"/>
    <mergeCell ref="AG267:AG268"/>
    <mergeCell ref="AH267:AH268"/>
    <mergeCell ref="Y269:Y270"/>
    <mergeCell ref="Z269:AE270"/>
    <mergeCell ref="AF269:AF270"/>
    <mergeCell ref="AG269:AG270"/>
    <mergeCell ref="AH269:AH270"/>
    <mergeCell ref="Y271:Y272"/>
    <mergeCell ref="Z271:AE272"/>
    <mergeCell ref="AF271:AF272"/>
    <mergeCell ref="AG271:AG272"/>
    <mergeCell ref="AH271:AH272"/>
    <mergeCell ref="Y273:Y274"/>
    <mergeCell ref="Z273:AE274"/>
    <mergeCell ref="AF273:AF274"/>
    <mergeCell ref="AG273:AG274"/>
    <mergeCell ref="AH273:AH274"/>
    <mergeCell ref="Y275:Y276"/>
    <mergeCell ref="Z275:AE276"/>
    <mergeCell ref="AF275:AF276"/>
    <mergeCell ref="AG275:AG276"/>
    <mergeCell ref="AH275:AH276"/>
    <mergeCell ref="Y277:Y278"/>
    <mergeCell ref="Z277:AE278"/>
    <mergeCell ref="AF277:AF278"/>
    <mergeCell ref="AG277:AG278"/>
    <mergeCell ref="AH277:AH278"/>
    <mergeCell ref="Y279:AE279"/>
    <mergeCell ref="Y280:Y281"/>
    <mergeCell ref="Z280:AE281"/>
    <mergeCell ref="AF280:AF281"/>
    <mergeCell ref="AG280:AG281"/>
    <mergeCell ref="AH280:AH281"/>
    <mergeCell ref="Y282:Y283"/>
    <mergeCell ref="Z282:AE283"/>
    <mergeCell ref="AF282:AF283"/>
    <mergeCell ref="AG282:AG283"/>
    <mergeCell ref="AH282:AH283"/>
    <mergeCell ref="Y284:Y285"/>
    <mergeCell ref="Z284:AE285"/>
    <mergeCell ref="AF284:AF285"/>
    <mergeCell ref="AG284:AG285"/>
    <mergeCell ref="AH284:AH285"/>
    <mergeCell ref="Y286:AE286"/>
    <mergeCell ref="Y287:Y288"/>
    <mergeCell ref="Z287:AE288"/>
    <mergeCell ref="AF287:AF288"/>
    <mergeCell ref="AG287:AG288"/>
    <mergeCell ref="AH287:AH288"/>
    <mergeCell ref="Y289:Y290"/>
    <mergeCell ref="Z289:AE290"/>
    <mergeCell ref="AF289:AF290"/>
    <mergeCell ref="AG289:AG290"/>
    <mergeCell ref="AH289:AH290"/>
    <mergeCell ref="Y291:Y292"/>
    <mergeCell ref="Z291:AE292"/>
    <mergeCell ref="AF291:AF292"/>
    <mergeCell ref="AG291:AG292"/>
    <mergeCell ref="AH291:AH292"/>
    <mergeCell ref="Y293:Y294"/>
    <mergeCell ref="Z293:AE294"/>
    <mergeCell ref="AF293:AF294"/>
    <mergeCell ref="AG293:AG294"/>
    <mergeCell ref="AH293:AH294"/>
    <mergeCell ref="Y295:Y296"/>
    <mergeCell ref="Z295:AE296"/>
    <mergeCell ref="AF295:AF296"/>
    <mergeCell ref="AG295:AG296"/>
    <mergeCell ref="AH295:AH296"/>
    <mergeCell ref="Y297:AE297"/>
    <mergeCell ref="Y298:Y299"/>
    <mergeCell ref="Z298:AE299"/>
    <mergeCell ref="AF298:AF299"/>
    <mergeCell ref="AG298:AG299"/>
    <mergeCell ref="AH298:AH299"/>
    <mergeCell ref="Y300:Y301"/>
    <mergeCell ref="Z300:AE301"/>
    <mergeCell ref="AF300:AF301"/>
    <mergeCell ref="AG300:AG301"/>
    <mergeCell ref="AH300:AH301"/>
    <mergeCell ref="Y302:Y303"/>
    <mergeCell ref="Z302:AE303"/>
    <mergeCell ref="AF302:AF303"/>
    <mergeCell ref="AG302:AG303"/>
    <mergeCell ref="AH302:AH303"/>
    <mergeCell ref="Y304:Y305"/>
    <mergeCell ref="Z304:AE305"/>
    <mergeCell ref="AF304:AF305"/>
    <mergeCell ref="AG304:AG305"/>
    <mergeCell ref="AH304:AH305"/>
    <mergeCell ref="Y306:AE306"/>
    <mergeCell ref="Y307:Y308"/>
    <mergeCell ref="Z307:AE308"/>
    <mergeCell ref="AF307:AF308"/>
    <mergeCell ref="AG307:AG308"/>
    <mergeCell ref="AH307:AH308"/>
    <mergeCell ref="Y309:Y310"/>
    <mergeCell ref="Z309:AE310"/>
    <mergeCell ref="AF309:AF310"/>
    <mergeCell ref="AG309:AG310"/>
    <mergeCell ref="AH309:AH310"/>
    <mergeCell ref="Y311:Y312"/>
    <mergeCell ref="Z311:AE312"/>
    <mergeCell ref="AF311:AF312"/>
    <mergeCell ref="AG311:AG312"/>
    <mergeCell ref="AH311:AH312"/>
    <mergeCell ref="Y313:Y314"/>
    <mergeCell ref="Z313:AE314"/>
    <mergeCell ref="AF313:AF314"/>
    <mergeCell ref="AG313:AG314"/>
    <mergeCell ref="AH313:AH314"/>
    <mergeCell ref="Y315:Y316"/>
    <mergeCell ref="Z315:AE316"/>
    <mergeCell ref="AF315:AF316"/>
    <mergeCell ref="AG315:AG316"/>
    <mergeCell ref="AH315:AH316"/>
    <mergeCell ref="Y317:Y318"/>
    <mergeCell ref="Z317:AE318"/>
    <mergeCell ref="AF317:AF318"/>
    <mergeCell ref="AG317:AG318"/>
    <mergeCell ref="AH317:AH318"/>
    <mergeCell ref="Y319:Y320"/>
    <mergeCell ref="Z319:AE320"/>
    <mergeCell ref="AF319:AF320"/>
    <mergeCell ref="AG319:AG320"/>
    <mergeCell ref="AH319:AH320"/>
    <mergeCell ref="Y321:Y322"/>
    <mergeCell ref="Z321:AE322"/>
    <mergeCell ref="AF321:AF322"/>
    <mergeCell ref="AG321:AG322"/>
    <mergeCell ref="AH321:AH322"/>
    <mergeCell ref="Y323:Y324"/>
    <mergeCell ref="Z323:AE324"/>
    <mergeCell ref="AF323:AF324"/>
    <mergeCell ref="AG323:AG324"/>
    <mergeCell ref="AH323:AH324"/>
    <mergeCell ref="Y325:Y326"/>
    <mergeCell ref="Z325:AE326"/>
    <mergeCell ref="AF325:AF326"/>
    <mergeCell ref="AG325:AG326"/>
    <mergeCell ref="AH325:AH326"/>
    <mergeCell ref="Y327:Y328"/>
    <mergeCell ref="Z327:AE328"/>
    <mergeCell ref="AF327:AF328"/>
    <mergeCell ref="AG327:AG328"/>
    <mergeCell ref="AH327:AH328"/>
    <mergeCell ref="Y329:AE329"/>
    <mergeCell ref="Z330:AE330"/>
    <mergeCell ref="Z331:AE331"/>
    <mergeCell ref="Z332:AE332"/>
    <mergeCell ref="Z333:AE333"/>
    <mergeCell ref="Z334:AE334"/>
    <mergeCell ref="Z335:AE335"/>
    <mergeCell ref="Z336:AE336"/>
    <mergeCell ref="Z337:AE337"/>
    <mergeCell ref="Z338:AE338"/>
    <mergeCell ref="Z339:AE339"/>
    <mergeCell ref="Z340:AE340"/>
    <mergeCell ref="Z341:AE341"/>
    <mergeCell ref="Z342:AE342"/>
    <mergeCell ref="Y343:AE343"/>
    <mergeCell ref="Y344:AH344"/>
    <mergeCell ref="Y345:AE345"/>
    <mergeCell ref="Y346:AE346"/>
    <mergeCell ref="Y347:Y348"/>
    <mergeCell ref="Z347:AE347"/>
    <mergeCell ref="AF347:AF348"/>
    <mergeCell ref="AG347:AG348"/>
    <mergeCell ref="AH347:AH348"/>
    <mergeCell ref="Y349:Y351"/>
    <mergeCell ref="Z349:AE349"/>
    <mergeCell ref="AF349:AF351"/>
    <mergeCell ref="AG349:AG351"/>
    <mergeCell ref="AH349:AH351"/>
    <mergeCell ref="Y352:Y353"/>
    <mergeCell ref="Z352:AE352"/>
    <mergeCell ref="AF352:AF353"/>
    <mergeCell ref="AG352:AG353"/>
    <mergeCell ref="AH352:AH353"/>
    <mergeCell ref="Y354:Y355"/>
    <mergeCell ref="Z354:AE354"/>
    <mergeCell ref="AF354:AF355"/>
    <mergeCell ref="AG354:AG355"/>
    <mergeCell ref="AH354:AH355"/>
    <mergeCell ref="Y356:Y358"/>
    <mergeCell ref="Z356:AE356"/>
    <mergeCell ref="AF356:AF358"/>
    <mergeCell ref="AG356:AG358"/>
    <mergeCell ref="AH356:AH358"/>
    <mergeCell ref="Y359:Y360"/>
    <mergeCell ref="Z359:AE359"/>
    <mergeCell ref="AF359:AF360"/>
    <mergeCell ref="AG359:AG360"/>
    <mergeCell ref="AH359:AH360"/>
    <mergeCell ref="Y361:Y362"/>
    <mergeCell ref="Z361:AE361"/>
    <mergeCell ref="AF361:AF362"/>
    <mergeCell ref="AG361:AG362"/>
    <mergeCell ref="AH361:AH362"/>
    <mergeCell ref="Y363:Y364"/>
    <mergeCell ref="Z363:AE363"/>
    <mergeCell ref="AF363:AF364"/>
    <mergeCell ref="AG363:AG364"/>
    <mergeCell ref="AH363:AH364"/>
    <mergeCell ref="Y365:Y366"/>
    <mergeCell ref="Z365:AE365"/>
    <mergeCell ref="AF365:AF366"/>
    <mergeCell ref="AG365:AG366"/>
    <mergeCell ref="AH365:AH366"/>
    <mergeCell ref="Y367:Y368"/>
    <mergeCell ref="Z367:AE367"/>
    <mergeCell ref="AF367:AF368"/>
    <mergeCell ref="AG367:AG368"/>
    <mergeCell ref="AH367:AH368"/>
    <mergeCell ref="Y369:Y370"/>
    <mergeCell ref="Z369:AE369"/>
    <mergeCell ref="AF369:AF370"/>
    <mergeCell ref="AG369:AG370"/>
    <mergeCell ref="AH369:AH370"/>
    <mergeCell ref="Y371:Y372"/>
    <mergeCell ref="Z371:AE371"/>
    <mergeCell ref="AF371:AF372"/>
    <mergeCell ref="AG371:AG372"/>
    <mergeCell ref="AH371:AH372"/>
    <mergeCell ref="Y373:Y374"/>
    <mergeCell ref="Z373:AE373"/>
    <mergeCell ref="AF373:AF374"/>
    <mergeCell ref="AG373:AG374"/>
    <mergeCell ref="AH373:AH374"/>
    <mergeCell ref="Y375:Y376"/>
    <mergeCell ref="Z375:AE375"/>
    <mergeCell ref="AF375:AF376"/>
    <mergeCell ref="AG375:AG376"/>
    <mergeCell ref="AH375:AH376"/>
    <mergeCell ref="Y377:Y378"/>
    <mergeCell ref="Z377:AE377"/>
    <mergeCell ref="AF377:AF378"/>
    <mergeCell ref="AG377:AG378"/>
    <mergeCell ref="AH377:AH378"/>
    <mergeCell ref="Y379:Y380"/>
    <mergeCell ref="Z379:AE379"/>
    <mergeCell ref="AF379:AF380"/>
    <mergeCell ref="AG379:AG380"/>
    <mergeCell ref="AH379:AH380"/>
    <mergeCell ref="Y381:Y382"/>
    <mergeCell ref="Z381:AE381"/>
    <mergeCell ref="AF381:AF382"/>
    <mergeCell ref="AG381:AG382"/>
    <mergeCell ref="AH381:AH382"/>
    <mergeCell ref="Y383:Y384"/>
    <mergeCell ref="Z383:AE383"/>
    <mergeCell ref="AF383:AF384"/>
    <mergeCell ref="AG383:AG384"/>
    <mergeCell ref="AH383:AH384"/>
    <mergeCell ref="Y385:Y387"/>
    <mergeCell ref="Z385:AE385"/>
    <mergeCell ref="AF385:AF387"/>
    <mergeCell ref="AG385:AG387"/>
    <mergeCell ref="AH385:AH387"/>
    <mergeCell ref="Y388:AE388"/>
    <mergeCell ref="Z389:AE389"/>
    <mergeCell ref="Z390:AE390"/>
    <mergeCell ref="Y391:AE391"/>
    <mergeCell ref="Z392:AE392"/>
    <mergeCell ref="Y393:AE393"/>
    <mergeCell ref="Z394:AE394"/>
    <mergeCell ref="Y395:AE395"/>
    <mergeCell ref="Z396:AE396"/>
    <mergeCell ref="Z397:AE397"/>
    <mergeCell ref="Z398:AE398"/>
    <mergeCell ref="Z399:AE399"/>
    <mergeCell ref="Z400:AE400"/>
    <mergeCell ref="Z401:AE401"/>
    <mergeCell ref="Z402:AE402"/>
    <mergeCell ref="Z403:AE403"/>
    <mergeCell ref="Z404:AE404"/>
    <mergeCell ref="Z405:AE405"/>
    <mergeCell ref="Z406:AE406"/>
    <mergeCell ref="Z407:AE407"/>
    <mergeCell ref="Z408:AE408"/>
    <mergeCell ref="Z409:AE409"/>
    <mergeCell ref="Z410:AE410"/>
    <mergeCell ref="Z411:AE411"/>
    <mergeCell ref="Z412:AE412"/>
    <mergeCell ref="Z413:AE413"/>
    <mergeCell ref="Y414:AE414"/>
    <mergeCell ref="Z415:AE415"/>
    <mergeCell ref="Z416:AE416"/>
    <mergeCell ref="Z417:AE417"/>
    <mergeCell ref="Z418:AE418"/>
    <mergeCell ref="Z419:AE419"/>
    <mergeCell ref="Z420:AE420"/>
    <mergeCell ref="Z421:AE421"/>
    <mergeCell ref="Z422:AE422"/>
    <mergeCell ref="Z423:AE423"/>
    <mergeCell ref="Z424:AE424"/>
    <mergeCell ref="Z425:AE425"/>
    <mergeCell ref="Y426:AE426"/>
    <mergeCell ref="Z427:AE427"/>
    <mergeCell ref="Z428:AE428"/>
    <mergeCell ref="Z429:AE429"/>
    <mergeCell ref="Z430:AE430"/>
    <mergeCell ref="Z431:AE431"/>
    <mergeCell ref="Z432:AE432"/>
    <mergeCell ref="Y433:AE433"/>
    <mergeCell ref="Z434:AE434"/>
    <mergeCell ref="Y435:AE435"/>
    <mergeCell ref="Z436:AE436"/>
    <mergeCell ref="Z437:AE437"/>
    <mergeCell ref="Z438:AE438"/>
    <mergeCell ref="Z439:AE439"/>
    <mergeCell ref="Z440:AE440"/>
    <mergeCell ref="Z441:AE441"/>
    <mergeCell ref="Z442:AE442"/>
    <mergeCell ref="Z443:AE443"/>
    <mergeCell ref="Z444:AE444"/>
    <mergeCell ref="Z445:AE445"/>
    <mergeCell ref="Z446:AE446"/>
    <mergeCell ref="Z447:AE447"/>
    <mergeCell ref="Z448:AE448"/>
    <mergeCell ref="Z449:AE449"/>
    <mergeCell ref="Z450:AE450"/>
    <mergeCell ref="Z451:AE451"/>
    <mergeCell ref="Z452:AE452"/>
    <mergeCell ref="Z453:AE453"/>
    <mergeCell ref="Z454:AE454"/>
    <mergeCell ref="Z455:AE455"/>
    <mergeCell ref="Z456:AE456"/>
    <mergeCell ref="Z457:AE457"/>
    <mergeCell ref="Z458:AE458"/>
    <mergeCell ref="Z459:AE459"/>
    <mergeCell ref="Z460:AE460"/>
    <mergeCell ref="Z461:AE461"/>
    <mergeCell ref="Y462:AE462"/>
    <mergeCell ref="Z463:AE463"/>
    <mergeCell ref="Z464:AE464"/>
    <mergeCell ref="Z465:AE465"/>
    <mergeCell ref="Z466:AE466"/>
    <mergeCell ref="Y467:AE467"/>
    <mergeCell ref="Z468:AE468"/>
    <mergeCell ref="Z469:AE469"/>
    <mergeCell ref="Z470:AE470"/>
    <mergeCell ref="Z471:AE471"/>
    <mergeCell ref="Z472:AE472"/>
    <mergeCell ref="Z473:AE473"/>
    <mergeCell ref="Z474:AE474"/>
    <mergeCell ref="Y611:AH611"/>
    <mergeCell ref="Z612:AE612"/>
    <mergeCell ref="Y475:AE475"/>
    <mergeCell ref="Y476:AE476"/>
    <mergeCell ref="Y613:AE613"/>
    <mergeCell ref="Z502:AB502"/>
    <mergeCell ref="Y499:Y501"/>
    <mergeCell ref="Z499:AE499"/>
    <mergeCell ref="AG499:AG501"/>
    <mergeCell ref="AH499:AH501"/>
    <mergeCell ref="Y497:Y498"/>
    <mergeCell ref="Z497:AE497"/>
    <mergeCell ref="AG497:AG498"/>
    <mergeCell ref="AH497:AH498"/>
    <mergeCell ref="Y495:Y496"/>
    <mergeCell ref="Z495:AC495"/>
    <mergeCell ref="Y493:Y494"/>
    <mergeCell ref="Z493:AE493"/>
    <mergeCell ref="AG493:AG494"/>
    <mergeCell ref="Y480:Y481"/>
    <mergeCell ref="Z480:AE480"/>
    <mergeCell ref="Y477:Y479"/>
    <mergeCell ref="Z477:AE477"/>
    <mergeCell ref="AG477:AG479"/>
    <mergeCell ref="AH477:AH479"/>
    <mergeCell ref="Y504:Y505"/>
    <mergeCell ref="Z504:AE504"/>
    <mergeCell ref="AG504:AG505"/>
    <mergeCell ref="AH504:AH505"/>
    <mergeCell ref="Y502:Y503"/>
    <mergeCell ref="AH493:AH494"/>
    <mergeCell ref="Y516:Y517"/>
    <mergeCell ref="Z516:AE516"/>
    <mergeCell ref="AG516:AG517"/>
    <mergeCell ref="AH516:AH517"/>
    <mergeCell ref="Y513:Y515"/>
    <mergeCell ref="Z513:AE513"/>
    <mergeCell ref="AG513:AG515"/>
    <mergeCell ref="AH513:AH515"/>
    <mergeCell ref="Y510:Y512"/>
    <mergeCell ref="Z510:AE510"/>
    <mergeCell ref="Y623:Y624"/>
    <mergeCell ref="Z623:AE623"/>
    <mergeCell ref="AF623:AF624"/>
    <mergeCell ref="AG623:AG624"/>
    <mergeCell ref="AH623:AH624"/>
    <mergeCell ref="AG510:AG512"/>
    <mergeCell ref="AH510:AH512"/>
    <mergeCell ref="Y508:Y509"/>
    <mergeCell ref="Z508:AE508"/>
    <mergeCell ref="AG508:AG509"/>
    <mergeCell ref="AH508:AH509"/>
    <mergeCell ref="Y506:Y507"/>
    <mergeCell ref="Z506:AE506"/>
    <mergeCell ref="AG506:AG507"/>
    <mergeCell ref="AH506:AH507"/>
    <mergeCell ref="Y528:AE528"/>
    <mergeCell ref="Y625:Y626"/>
    <mergeCell ref="Z625:AE625"/>
    <mergeCell ref="AF625:AF626"/>
    <mergeCell ref="AG625:AG626"/>
    <mergeCell ref="AH625:AH626"/>
    <mergeCell ref="Y627:Y628"/>
    <mergeCell ref="Z627:AE627"/>
    <mergeCell ref="Y635:Y636"/>
    <mergeCell ref="Z635:AE635"/>
    <mergeCell ref="AF635:AF636"/>
    <mergeCell ref="AG635:AG636"/>
    <mergeCell ref="AH635:AH636"/>
    <mergeCell ref="Y637:Y639"/>
    <mergeCell ref="Z637:AE637"/>
    <mergeCell ref="AF637:AF639"/>
    <mergeCell ref="AG637:AG639"/>
    <mergeCell ref="AH637:AH639"/>
    <mergeCell ref="AF627:AF628"/>
    <mergeCell ref="AG627:AG628"/>
    <mergeCell ref="AH627:AH628"/>
    <mergeCell ref="Y629:Y630"/>
    <mergeCell ref="Z629:AE629"/>
    <mergeCell ref="AF629:AF630"/>
    <mergeCell ref="AG629:AG630"/>
    <mergeCell ref="AH629:AH630"/>
    <mergeCell ref="Y631:Y632"/>
    <mergeCell ref="Z631:AE631"/>
    <mergeCell ref="AF631:AF632"/>
    <mergeCell ref="AG631:AG632"/>
    <mergeCell ref="AH631:AH632"/>
    <mergeCell ref="Y633:Y634"/>
    <mergeCell ref="Z633:AE633"/>
    <mergeCell ref="Y640:Y642"/>
    <mergeCell ref="Z640:AE640"/>
    <mergeCell ref="AF640:AF642"/>
    <mergeCell ref="AG640:AG642"/>
    <mergeCell ref="AH640:AH642"/>
    <mergeCell ref="Y643:Y645"/>
    <mergeCell ref="Z643:AE643"/>
    <mergeCell ref="AF643:AF645"/>
    <mergeCell ref="AG643:AG645"/>
    <mergeCell ref="AH643:AH645"/>
    <mergeCell ref="Y646:Y649"/>
    <mergeCell ref="Z646:AE646"/>
    <mergeCell ref="Y657:Y658"/>
    <mergeCell ref="Z657:AE657"/>
    <mergeCell ref="AF657:AF658"/>
    <mergeCell ref="AG657:AG658"/>
    <mergeCell ref="AH657:AH658"/>
    <mergeCell ref="Y659:Y660"/>
    <mergeCell ref="Z659:AE659"/>
    <mergeCell ref="AF659:AF660"/>
    <mergeCell ref="AG659:AG660"/>
    <mergeCell ref="AH659:AH660"/>
    <mergeCell ref="Y661:Y662"/>
    <mergeCell ref="Z661:AE661"/>
    <mergeCell ref="AF661:AF662"/>
    <mergeCell ref="AG661:AG662"/>
    <mergeCell ref="AH661:AH662"/>
    <mergeCell ref="Y663:Y664"/>
    <mergeCell ref="Z663:AE663"/>
    <mergeCell ref="AF663:AF664"/>
    <mergeCell ref="AG663:AG664"/>
    <mergeCell ref="AH663:AH664"/>
    <mergeCell ref="Y665:Y666"/>
    <mergeCell ref="Z665:AE665"/>
    <mergeCell ref="AF665:AF666"/>
    <mergeCell ref="AG665:AG666"/>
    <mergeCell ref="AH665:AH666"/>
    <mergeCell ref="Y673:Y674"/>
    <mergeCell ref="Z673:AE673"/>
    <mergeCell ref="AF673:AF674"/>
    <mergeCell ref="AG673:AG674"/>
    <mergeCell ref="AH673:AH674"/>
    <mergeCell ref="Y675:AE675"/>
    <mergeCell ref="Z679:AE679"/>
    <mergeCell ref="Z680:AE680"/>
    <mergeCell ref="Z681:AE681"/>
    <mergeCell ref="Z684:AE684"/>
    <mergeCell ref="Z685:AE685"/>
    <mergeCell ref="Z686:AE686"/>
    <mergeCell ref="Z687:AE687"/>
    <mergeCell ref="Z688:AE688"/>
    <mergeCell ref="Z689:AE689"/>
    <mergeCell ref="Z690:AE690"/>
    <mergeCell ref="Z691:AE691"/>
    <mergeCell ref="Z692:AE692"/>
    <mergeCell ref="Z676:AE676"/>
    <mergeCell ref="Y677:AE677"/>
    <mergeCell ref="Z678:AE678"/>
    <mergeCell ref="Y682:AE682"/>
    <mergeCell ref="Z683:AE683"/>
    <mergeCell ref="Z693:AE693"/>
    <mergeCell ref="Z694:AE694"/>
    <mergeCell ref="Z695:AE695"/>
    <mergeCell ref="Z696:AE696"/>
    <mergeCell ref="Z697:AE697"/>
    <mergeCell ref="Z700:AE700"/>
    <mergeCell ref="Z701:AE701"/>
    <mergeCell ref="Z702:AE702"/>
    <mergeCell ref="Z703:AE703"/>
    <mergeCell ref="Z704:AE704"/>
    <mergeCell ref="Z707:AE707"/>
    <mergeCell ref="Z708:AE708"/>
    <mergeCell ref="Z709:AE709"/>
    <mergeCell ref="Y698:AE698"/>
    <mergeCell ref="Z699:AE699"/>
    <mergeCell ref="Y705:AE705"/>
    <mergeCell ref="Z706:AE706"/>
    <mergeCell ref="Z727:AE727"/>
    <mergeCell ref="Z731:AE731"/>
    <mergeCell ref="Z732:AE732"/>
    <mergeCell ref="Y734:AE734"/>
    <mergeCell ref="Z722:AE722"/>
    <mergeCell ref="Z733:AE733"/>
    <mergeCell ref="Z728:AE728"/>
    <mergeCell ref="Z729:AE729"/>
    <mergeCell ref="Z730:AE730"/>
    <mergeCell ref="Z710:AE710"/>
    <mergeCell ref="Z711:AE711"/>
    <mergeCell ref="Z717:AE717"/>
    <mergeCell ref="Z718:AE718"/>
    <mergeCell ref="Z719:AE719"/>
    <mergeCell ref="Z720:AE720"/>
    <mergeCell ref="Y713:AH713"/>
    <mergeCell ref="Z714:AE714"/>
    <mergeCell ref="Z715:AE715"/>
    <mergeCell ref="Z716:AE716"/>
    <mergeCell ref="Z721:AE721"/>
    <mergeCell ref="Y723:AE723"/>
    <mergeCell ref="Y724:AH724"/>
    <mergeCell ref="Z725:AE725"/>
    <mergeCell ref="Z726:AE726"/>
    <mergeCell ref="Y712:AE712"/>
  </mergeCells>
  <printOptions horizontalCentered="1"/>
  <pageMargins left="0.98425196850393704" right="0.39370078740157483" top="0.39370078740157483" bottom="0.39370078740157483" header="0.31496062992125984" footer="0.31496062992125984"/>
  <pageSetup paperSize="9" scale="97" orientation="portrait" horizontalDpi="180" verticalDpi="180" r:id="rId1"/>
  <legacyDrawing r:id="rId2"/>
</worksheet>
</file>

<file path=xl/worksheets/sheet6.xml><?xml version="1.0" encoding="utf-8"?>
<worksheet xmlns="http://schemas.openxmlformats.org/spreadsheetml/2006/main" xmlns:r="http://schemas.openxmlformats.org/officeDocument/2006/relationships">
  <dimension ref="A1:H124"/>
  <sheetViews>
    <sheetView view="pageBreakPreview" topLeftCell="A109" zoomScale="90" zoomScaleSheetLayoutView="90" workbookViewId="0">
      <selection activeCell="A111" sqref="A111:C111"/>
    </sheetView>
  </sheetViews>
  <sheetFormatPr defaultRowHeight="15.75"/>
  <cols>
    <col min="1" max="1" width="3.5703125" style="97" customWidth="1"/>
    <col min="2" max="2" width="16" style="7" customWidth="1"/>
    <col min="3" max="3" width="35.5703125" style="7" customWidth="1"/>
    <col min="4" max="4" width="13.42578125" style="7" customWidth="1"/>
    <col min="5" max="6" width="9.42578125" style="7" customWidth="1"/>
    <col min="7" max="16384" width="9.140625" style="7"/>
  </cols>
  <sheetData>
    <row r="1" spans="1:8">
      <c r="A1" s="1331" t="s">
        <v>1403</v>
      </c>
      <c r="B1" s="1331"/>
      <c r="C1" s="1331"/>
      <c r="D1" s="1331"/>
      <c r="E1" s="1331"/>
      <c r="F1" s="1331"/>
      <c r="G1" s="1331"/>
      <c r="H1" s="1331"/>
    </row>
    <row r="2" spans="1:8">
      <c r="A2" s="1332" t="s">
        <v>663</v>
      </c>
      <c r="B2" s="1332"/>
      <c r="C2" s="1332"/>
      <c r="D2" s="1332"/>
      <c r="E2" s="1332"/>
      <c r="F2" s="1332"/>
      <c r="G2" s="1332"/>
      <c r="H2" s="1332"/>
    </row>
    <row r="3" spans="1:8">
      <c r="A3" s="1332" t="s">
        <v>664</v>
      </c>
      <c r="B3" s="1332"/>
      <c r="C3" s="1332"/>
      <c r="D3" s="1332"/>
      <c r="E3" s="1332"/>
      <c r="F3" s="1332"/>
      <c r="G3" s="1332"/>
      <c r="H3" s="1332"/>
    </row>
    <row r="4" spans="1:8" ht="7.5" customHeight="1">
      <c r="A4" s="90"/>
    </row>
    <row r="5" spans="1:8" ht="24.75" customHeight="1">
      <c r="A5" s="1336" t="s">
        <v>7</v>
      </c>
      <c r="B5" s="1336" t="s">
        <v>470</v>
      </c>
      <c r="C5" s="1336" t="s">
        <v>424</v>
      </c>
      <c r="D5" s="1333" t="s">
        <v>665</v>
      </c>
      <c r="E5" s="1351" t="s">
        <v>490</v>
      </c>
      <c r="F5" s="1351"/>
    </row>
    <row r="6" spans="1:8" ht="21" customHeight="1">
      <c r="A6" s="1336"/>
      <c r="B6" s="1336"/>
      <c r="C6" s="1336"/>
      <c r="D6" s="1334"/>
      <c r="E6" s="1351"/>
      <c r="F6" s="1351"/>
    </row>
    <row r="7" spans="1:8" ht="8.25" customHeight="1">
      <c r="A7" s="1336"/>
      <c r="B7" s="1336"/>
      <c r="C7" s="1336"/>
      <c r="D7" s="1334"/>
      <c r="E7" s="1352" t="s">
        <v>657</v>
      </c>
      <c r="F7" s="1352" t="s">
        <v>492</v>
      </c>
    </row>
    <row r="8" spans="1:8" ht="8.25" customHeight="1">
      <c r="A8" s="1336"/>
      <c r="B8" s="1336"/>
      <c r="C8" s="1336"/>
      <c r="D8" s="1334"/>
      <c r="E8" s="1353"/>
      <c r="F8" s="1352"/>
    </row>
    <row r="9" spans="1:8" ht="34.5" customHeight="1">
      <c r="A9" s="1336"/>
      <c r="B9" s="1336"/>
      <c r="C9" s="1336"/>
      <c r="D9" s="1334"/>
      <c r="E9" s="1353"/>
      <c r="F9" s="1353"/>
    </row>
    <row r="10" spans="1:8">
      <c r="A10" s="1336"/>
      <c r="B10" s="1336"/>
      <c r="C10" s="1336"/>
      <c r="D10" s="1334"/>
      <c r="E10" s="1353"/>
      <c r="F10" s="1352"/>
    </row>
    <row r="11" spans="1:8" ht="10.5" customHeight="1">
      <c r="A11" s="1336"/>
      <c r="B11" s="1336"/>
      <c r="C11" s="1336"/>
      <c r="D11" s="1335"/>
      <c r="E11" s="1353"/>
      <c r="F11" s="1352"/>
    </row>
    <row r="12" spans="1:8">
      <c r="A12" s="91">
        <v>1</v>
      </c>
      <c r="B12" s="92">
        <v>2</v>
      </c>
      <c r="C12" s="92">
        <v>3</v>
      </c>
      <c r="D12" s="92">
        <v>4</v>
      </c>
      <c r="E12" s="92">
        <v>5</v>
      </c>
      <c r="F12" s="92">
        <v>6</v>
      </c>
    </row>
    <row r="13" spans="1:8" ht="17.25" customHeight="1">
      <c r="A13" s="1354" t="s">
        <v>658</v>
      </c>
      <c r="B13" s="1354"/>
      <c r="C13" s="1354"/>
      <c r="D13" s="1354"/>
      <c r="E13" s="1354"/>
      <c r="F13" s="1354"/>
    </row>
    <row r="14" spans="1:8" ht="15" customHeight="1">
      <c r="A14" s="1338" t="s">
        <v>659</v>
      </c>
      <c r="B14" s="1338"/>
      <c r="C14" s="1338"/>
      <c r="D14" s="1338"/>
      <c r="E14" s="1338"/>
      <c r="F14" s="1338"/>
    </row>
    <row r="15" spans="1:8" s="5" customFormat="1" ht="24.75" customHeight="1">
      <c r="A15" s="1336">
        <v>1</v>
      </c>
      <c r="B15" s="1337" t="s">
        <v>471</v>
      </c>
      <c r="C15" s="1337" t="s">
        <v>270</v>
      </c>
      <c r="D15" s="1336">
        <v>224.4</v>
      </c>
      <c r="E15" s="1339">
        <v>42005</v>
      </c>
      <c r="F15" s="1339">
        <v>42369</v>
      </c>
    </row>
    <row r="16" spans="1:8" s="5" customFormat="1" ht="23.25" customHeight="1">
      <c r="A16" s="1336"/>
      <c r="B16" s="1337"/>
      <c r="C16" s="1337"/>
      <c r="D16" s="1336"/>
      <c r="E16" s="1339"/>
      <c r="F16" s="1339"/>
    </row>
    <row r="17" spans="1:6" s="5" customFormat="1" ht="72.75" customHeight="1">
      <c r="A17" s="91">
        <v>2</v>
      </c>
      <c r="B17" s="93" t="s">
        <v>271</v>
      </c>
      <c r="C17" s="93" t="s">
        <v>272</v>
      </c>
      <c r="D17" s="91">
        <v>423.4</v>
      </c>
      <c r="E17" s="101">
        <v>42005</v>
      </c>
      <c r="F17" s="101">
        <v>42369</v>
      </c>
    </row>
    <row r="18" spans="1:6" s="5" customFormat="1" ht="72.75" customHeight="1">
      <c r="A18" s="91">
        <v>3</v>
      </c>
      <c r="B18" s="93" t="s">
        <v>273</v>
      </c>
      <c r="C18" s="93" t="s">
        <v>272</v>
      </c>
      <c r="D18" s="91">
        <v>423.4</v>
      </c>
      <c r="E18" s="101">
        <v>42005</v>
      </c>
      <c r="F18" s="101">
        <v>42369</v>
      </c>
    </row>
    <row r="19" spans="1:6" s="5" customFormat="1" ht="72.75" customHeight="1">
      <c r="A19" s="91">
        <v>4</v>
      </c>
      <c r="B19" s="93" t="s">
        <v>274</v>
      </c>
      <c r="C19" s="93" t="s">
        <v>275</v>
      </c>
      <c r="D19" s="91">
        <v>287</v>
      </c>
      <c r="E19" s="101">
        <v>42005</v>
      </c>
      <c r="F19" s="101">
        <v>42369</v>
      </c>
    </row>
    <row r="20" spans="1:6" s="5" customFormat="1" ht="72.75" customHeight="1">
      <c r="A20" s="91">
        <v>5</v>
      </c>
      <c r="B20" s="93" t="s">
        <v>276</v>
      </c>
      <c r="C20" s="93" t="s">
        <v>272</v>
      </c>
      <c r="D20" s="91">
        <v>423.4</v>
      </c>
      <c r="E20" s="101">
        <v>42005</v>
      </c>
      <c r="F20" s="101">
        <v>42369</v>
      </c>
    </row>
    <row r="21" spans="1:6" s="5" customFormat="1" ht="72.75" customHeight="1">
      <c r="A21" s="91">
        <v>6</v>
      </c>
      <c r="B21" s="93" t="s">
        <v>277</v>
      </c>
      <c r="C21" s="93" t="s">
        <v>272</v>
      </c>
      <c r="D21" s="91">
        <v>423.4</v>
      </c>
      <c r="E21" s="101">
        <v>42005</v>
      </c>
      <c r="F21" s="101">
        <v>42369</v>
      </c>
    </row>
    <row r="22" spans="1:6" s="5" customFormat="1" ht="72.75" customHeight="1">
      <c r="A22" s="91">
        <v>7</v>
      </c>
      <c r="B22" s="93" t="s">
        <v>278</v>
      </c>
      <c r="C22" s="93" t="s">
        <v>275</v>
      </c>
      <c r="D22" s="91">
        <v>287</v>
      </c>
      <c r="E22" s="101">
        <v>42005</v>
      </c>
      <c r="F22" s="101">
        <v>42369</v>
      </c>
    </row>
    <row r="23" spans="1:6" s="5" customFormat="1" ht="72.75" customHeight="1">
      <c r="A23" s="91">
        <v>8</v>
      </c>
      <c r="B23" s="93" t="s">
        <v>279</v>
      </c>
      <c r="C23" s="93" t="s">
        <v>280</v>
      </c>
      <c r="D23" s="91">
        <v>276</v>
      </c>
      <c r="E23" s="101">
        <v>42005</v>
      </c>
      <c r="F23" s="101">
        <v>42369</v>
      </c>
    </row>
    <row r="24" spans="1:6" s="5" customFormat="1" ht="72.75" customHeight="1">
      <c r="A24" s="91">
        <v>9</v>
      </c>
      <c r="B24" s="93" t="s">
        <v>281</v>
      </c>
      <c r="C24" s="93" t="s">
        <v>282</v>
      </c>
      <c r="D24" s="91">
        <v>202</v>
      </c>
      <c r="E24" s="101">
        <v>42005</v>
      </c>
      <c r="F24" s="101">
        <v>42369</v>
      </c>
    </row>
    <row r="25" spans="1:6" s="5" customFormat="1" ht="72.75" customHeight="1">
      <c r="A25" s="91">
        <v>10</v>
      </c>
      <c r="B25" s="93" t="s">
        <v>283</v>
      </c>
      <c r="C25" s="93" t="s">
        <v>272</v>
      </c>
      <c r="D25" s="91">
        <v>423.4</v>
      </c>
      <c r="E25" s="101">
        <v>42005</v>
      </c>
      <c r="F25" s="101">
        <v>42369</v>
      </c>
    </row>
    <row r="26" spans="1:6" s="5" customFormat="1" ht="72.75" customHeight="1">
      <c r="A26" s="91">
        <v>11</v>
      </c>
      <c r="B26" s="93" t="s">
        <v>284</v>
      </c>
      <c r="C26" s="93" t="s">
        <v>272</v>
      </c>
      <c r="D26" s="91">
        <v>423.4</v>
      </c>
      <c r="E26" s="101">
        <v>42005</v>
      </c>
      <c r="F26" s="101">
        <v>42369</v>
      </c>
    </row>
    <row r="27" spans="1:6" s="5" customFormat="1" ht="72.75" customHeight="1">
      <c r="A27" s="94">
        <v>12</v>
      </c>
      <c r="B27" s="93" t="s">
        <v>285</v>
      </c>
      <c r="C27" s="93" t="s">
        <v>275</v>
      </c>
      <c r="D27" s="91">
        <v>287</v>
      </c>
      <c r="E27" s="101">
        <v>42005</v>
      </c>
      <c r="F27" s="101">
        <v>42369</v>
      </c>
    </row>
    <row r="28" spans="1:6" s="5" customFormat="1" ht="72.75" customHeight="1">
      <c r="A28" s="94">
        <v>13</v>
      </c>
      <c r="B28" s="93" t="s">
        <v>286</v>
      </c>
      <c r="C28" s="93" t="s">
        <v>287</v>
      </c>
      <c r="D28" s="91">
        <v>224</v>
      </c>
      <c r="E28" s="101">
        <v>42005</v>
      </c>
      <c r="F28" s="101">
        <v>42369</v>
      </c>
    </row>
    <row r="29" spans="1:6" s="5" customFormat="1" ht="72.75" customHeight="1">
      <c r="A29" s="91">
        <v>14</v>
      </c>
      <c r="B29" s="93" t="s">
        <v>288</v>
      </c>
      <c r="C29" s="93" t="s">
        <v>289</v>
      </c>
      <c r="D29" s="91">
        <v>312.5</v>
      </c>
      <c r="E29" s="101">
        <v>42005</v>
      </c>
      <c r="F29" s="101">
        <v>42369</v>
      </c>
    </row>
    <row r="30" spans="1:6" s="5" customFormat="1" ht="72.75" customHeight="1">
      <c r="A30" s="91">
        <v>15</v>
      </c>
      <c r="B30" s="93" t="s">
        <v>290</v>
      </c>
      <c r="C30" s="93" t="s">
        <v>291</v>
      </c>
      <c r="D30" s="91">
        <v>287</v>
      </c>
      <c r="E30" s="101">
        <v>42005</v>
      </c>
      <c r="F30" s="101">
        <v>42369</v>
      </c>
    </row>
    <row r="31" spans="1:6" s="5" customFormat="1" ht="72.75" customHeight="1">
      <c r="A31" s="91">
        <v>16</v>
      </c>
      <c r="B31" s="93" t="s">
        <v>292</v>
      </c>
      <c r="C31" s="93" t="s">
        <v>291</v>
      </c>
      <c r="D31" s="91">
        <v>287</v>
      </c>
      <c r="E31" s="101">
        <v>42005</v>
      </c>
      <c r="F31" s="101">
        <v>42369</v>
      </c>
    </row>
    <row r="32" spans="1:6" s="5" customFormat="1" ht="72.75" customHeight="1">
      <c r="A32" s="91">
        <v>17</v>
      </c>
      <c r="B32" s="93" t="s">
        <v>293</v>
      </c>
      <c r="C32" s="93" t="s">
        <v>275</v>
      </c>
      <c r="D32" s="91">
        <v>287</v>
      </c>
      <c r="E32" s="101">
        <v>42005</v>
      </c>
      <c r="F32" s="101">
        <v>42369</v>
      </c>
    </row>
    <row r="33" spans="1:6" s="5" customFormat="1" ht="72.75" customHeight="1">
      <c r="A33" s="94">
        <v>18</v>
      </c>
      <c r="B33" s="93" t="s">
        <v>294</v>
      </c>
      <c r="C33" s="93" t="s">
        <v>295</v>
      </c>
      <c r="D33" s="91">
        <v>316</v>
      </c>
      <c r="E33" s="101">
        <v>42005</v>
      </c>
      <c r="F33" s="101">
        <v>42369</v>
      </c>
    </row>
    <row r="34" spans="1:6" s="5" customFormat="1" ht="72.75" customHeight="1">
      <c r="A34" s="94">
        <v>19</v>
      </c>
      <c r="B34" s="93" t="s">
        <v>296</v>
      </c>
      <c r="C34" s="93" t="s">
        <v>291</v>
      </c>
      <c r="D34" s="91">
        <v>287</v>
      </c>
      <c r="E34" s="101">
        <v>42005</v>
      </c>
      <c r="F34" s="101">
        <v>42369</v>
      </c>
    </row>
    <row r="35" spans="1:6" s="5" customFormat="1" ht="72.75" customHeight="1">
      <c r="A35" s="91">
        <v>20</v>
      </c>
      <c r="B35" s="93" t="s">
        <v>297</v>
      </c>
      <c r="C35" s="93" t="s">
        <v>298</v>
      </c>
      <c r="D35" s="91">
        <v>423.4</v>
      </c>
      <c r="E35" s="101">
        <v>42005</v>
      </c>
      <c r="F35" s="101">
        <v>42369</v>
      </c>
    </row>
    <row r="36" spans="1:6" s="5" customFormat="1" ht="72.75" customHeight="1">
      <c r="A36" s="91">
        <v>21</v>
      </c>
      <c r="B36" s="93" t="s">
        <v>299</v>
      </c>
      <c r="C36" s="93" t="s">
        <v>291</v>
      </c>
      <c r="D36" s="91">
        <v>287</v>
      </c>
      <c r="E36" s="101">
        <v>42005</v>
      </c>
      <c r="F36" s="101">
        <v>42369</v>
      </c>
    </row>
    <row r="37" spans="1:6" s="5" customFormat="1" ht="37.5" customHeight="1">
      <c r="A37" s="91">
        <v>22</v>
      </c>
      <c r="B37" s="93" t="s">
        <v>300</v>
      </c>
      <c r="C37" s="93" t="s">
        <v>301</v>
      </c>
      <c r="D37" s="91">
        <v>1120</v>
      </c>
      <c r="E37" s="101">
        <v>42005</v>
      </c>
      <c r="F37" s="101">
        <v>42369</v>
      </c>
    </row>
    <row r="38" spans="1:6" s="5" customFormat="1" ht="37.5" customHeight="1">
      <c r="A38" s="91">
        <v>23</v>
      </c>
      <c r="B38" s="93" t="s">
        <v>302</v>
      </c>
      <c r="C38" s="93" t="s">
        <v>301</v>
      </c>
      <c r="D38" s="91">
        <v>970</v>
      </c>
      <c r="E38" s="101">
        <v>42005</v>
      </c>
      <c r="F38" s="101">
        <v>42369</v>
      </c>
    </row>
    <row r="39" spans="1:6" s="5" customFormat="1" ht="37.5" customHeight="1">
      <c r="A39" s="94">
        <v>24</v>
      </c>
      <c r="B39" s="93" t="s">
        <v>303</v>
      </c>
      <c r="C39" s="93" t="s">
        <v>301</v>
      </c>
      <c r="D39" s="91">
        <v>1120</v>
      </c>
      <c r="E39" s="101">
        <v>42005</v>
      </c>
      <c r="F39" s="101">
        <v>42369</v>
      </c>
    </row>
    <row r="40" spans="1:6" s="5" customFormat="1" ht="41.25" customHeight="1">
      <c r="A40" s="94">
        <v>25</v>
      </c>
      <c r="B40" s="93" t="s">
        <v>304</v>
      </c>
      <c r="C40" s="93" t="s">
        <v>301</v>
      </c>
      <c r="D40" s="91">
        <v>970</v>
      </c>
      <c r="E40" s="101">
        <v>42005</v>
      </c>
      <c r="F40" s="101">
        <v>42369</v>
      </c>
    </row>
    <row r="41" spans="1:6" s="5" customFormat="1" ht="63" customHeight="1">
      <c r="A41" s="91">
        <v>26</v>
      </c>
      <c r="B41" s="93" t="s">
        <v>712</v>
      </c>
      <c r="C41" s="93" t="s">
        <v>305</v>
      </c>
      <c r="D41" s="91">
        <v>1931</v>
      </c>
      <c r="E41" s="101">
        <v>42005</v>
      </c>
      <c r="F41" s="101">
        <v>42369</v>
      </c>
    </row>
    <row r="42" spans="1:6" s="5" customFormat="1" ht="63">
      <c r="A42" s="91">
        <v>27</v>
      </c>
      <c r="B42" s="93" t="s">
        <v>306</v>
      </c>
      <c r="C42" s="93" t="s">
        <v>305</v>
      </c>
      <c r="D42" s="91">
        <v>913.5</v>
      </c>
      <c r="E42" s="101">
        <v>42005</v>
      </c>
      <c r="F42" s="101">
        <v>42369</v>
      </c>
    </row>
    <row r="43" spans="1:6" s="5" customFormat="1" ht="70.5" customHeight="1">
      <c r="A43" s="91">
        <v>28</v>
      </c>
      <c r="B43" s="93" t="s">
        <v>307</v>
      </c>
      <c r="C43" s="93" t="s">
        <v>305</v>
      </c>
      <c r="D43" s="91">
        <v>1609.8</v>
      </c>
      <c r="E43" s="101">
        <v>42005</v>
      </c>
      <c r="F43" s="101">
        <v>42369</v>
      </c>
    </row>
    <row r="44" spans="1:6" s="5" customFormat="1" ht="66" customHeight="1">
      <c r="A44" s="91">
        <v>29</v>
      </c>
      <c r="B44" s="93" t="s">
        <v>308</v>
      </c>
      <c r="C44" s="93" t="s">
        <v>305</v>
      </c>
      <c r="D44" s="91">
        <v>462.5</v>
      </c>
      <c r="E44" s="101">
        <v>42005</v>
      </c>
      <c r="F44" s="101">
        <v>42369</v>
      </c>
    </row>
    <row r="45" spans="1:6" s="5" customFormat="1" ht="25.5" customHeight="1">
      <c r="A45" s="1336">
        <v>30</v>
      </c>
      <c r="B45" s="1337" t="s">
        <v>472</v>
      </c>
      <c r="C45" s="1337" t="s">
        <v>309</v>
      </c>
      <c r="D45" s="1336">
        <v>12</v>
      </c>
      <c r="E45" s="1339">
        <v>42005</v>
      </c>
      <c r="F45" s="1339">
        <v>42369</v>
      </c>
    </row>
    <row r="46" spans="1:6" s="5" customFormat="1" ht="38.25" customHeight="1">
      <c r="A46" s="1336"/>
      <c r="B46" s="1337"/>
      <c r="C46" s="1337"/>
      <c r="D46" s="1336"/>
      <c r="E46" s="1339"/>
      <c r="F46" s="1339"/>
    </row>
    <row r="47" spans="1:6" s="5" customFormat="1" ht="22.5" customHeight="1">
      <c r="A47" s="1350" t="s">
        <v>660</v>
      </c>
      <c r="B47" s="1350"/>
      <c r="C47" s="1350"/>
      <c r="D47" s="1350"/>
      <c r="E47" s="1350"/>
      <c r="F47" s="1350"/>
    </row>
    <row r="48" spans="1:6" s="5" customFormat="1" ht="27.75" customHeight="1">
      <c r="A48" s="1336">
        <v>31</v>
      </c>
      <c r="B48" s="1364" t="s">
        <v>310</v>
      </c>
      <c r="C48" s="1337" t="s">
        <v>311</v>
      </c>
      <c r="D48" s="1336" t="s">
        <v>62</v>
      </c>
      <c r="E48" s="1339">
        <v>42005</v>
      </c>
      <c r="F48" s="1339">
        <v>42369</v>
      </c>
    </row>
    <row r="49" spans="1:6" s="5" customFormat="1" ht="41.25" customHeight="1">
      <c r="A49" s="1336"/>
      <c r="B49" s="1364"/>
      <c r="C49" s="1337"/>
      <c r="D49" s="1336"/>
      <c r="E49" s="1339"/>
      <c r="F49" s="1339"/>
    </row>
    <row r="50" spans="1:6" s="5" customFormat="1" ht="44.25" customHeight="1">
      <c r="A50" s="91">
        <v>32</v>
      </c>
      <c r="B50" s="95"/>
      <c r="C50" s="93" t="s">
        <v>312</v>
      </c>
      <c r="D50" s="91" t="s">
        <v>62</v>
      </c>
      <c r="E50" s="101">
        <v>42005</v>
      </c>
      <c r="F50" s="101">
        <v>42369</v>
      </c>
    </row>
    <row r="51" spans="1:6" s="5" customFormat="1" ht="57.75" customHeight="1">
      <c r="A51" s="91">
        <v>33</v>
      </c>
      <c r="B51" s="95"/>
      <c r="C51" s="93" t="s">
        <v>313</v>
      </c>
      <c r="D51" s="91" t="s">
        <v>62</v>
      </c>
      <c r="E51" s="101">
        <v>42005</v>
      </c>
      <c r="F51" s="101">
        <v>42369</v>
      </c>
    </row>
    <row r="52" spans="1:6" s="5" customFormat="1" ht="26.25" customHeight="1">
      <c r="A52" s="1350" t="s">
        <v>661</v>
      </c>
      <c r="B52" s="1350"/>
      <c r="C52" s="1350"/>
      <c r="D52" s="1350"/>
      <c r="E52" s="1350"/>
      <c r="F52" s="1350"/>
    </row>
    <row r="53" spans="1:6" s="5" customFormat="1" ht="32.25" customHeight="1">
      <c r="A53" s="91">
        <v>34</v>
      </c>
      <c r="B53" s="95"/>
      <c r="C53" s="95" t="s">
        <v>314</v>
      </c>
      <c r="D53" s="91" t="s">
        <v>62</v>
      </c>
      <c r="E53" s="101">
        <v>42005</v>
      </c>
      <c r="F53" s="101">
        <v>42369</v>
      </c>
    </row>
    <row r="54" spans="1:6" s="5" customFormat="1" ht="57.75" customHeight="1">
      <c r="A54" s="91">
        <v>35</v>
      </c>
      <c r="B54" s="95"/>
      <c r="C54" s="93" t="s">
        <v>315</v>
      </c>
      <c r="D54" s="91" t="s">
        <v>62</v>
      </c>
      <c r="E54" s="101">
        <v>42005</v>
      </c>
      <c r="F54" s="101">
        <v>42369</v>
      </c>
    </row>
    <row r="55" spans="1:6" s="5" customFormat="1" ht="24.75" customHeight="1">
      <c r="A55" s="1350" t="s">
        <v>666</v>
      </c>
      <c r="B55" s="1350"/>
      <c r="C55" s="1350"/>
      <c r="D55" s="54">
        <v>15923.5</v>
      </c>
      <c r="E55" s="96"/>
      <c r="F55" s="96"/>
    </row>
    <row r="56" spans="1:6" s="5" customFormat="1" ht="27" customHeight="1">
      <c r="A56" s="1355" t="s">
        <v>319</v>
      </c>
      <c r="B56" s="1356"/>
      <c r="C56" s="1356"/>
      <c r="D56" s="1356"/>
      <c r="E56" s="1356"/>
      <c r="F56" s="1357"/>
    </row>
    <row r="57" spans="1:6" s="5" customFormat="1" ht="21.75" customHeight="1">
      <c r="A57" s="1361" t="s">
        <v>659</v>
      </c>
      <c r="B57" s="1362"/>
      <c r="C57" s="1362"/>
      <c r="D57" s="1362"/>
      <c r="E57" s="1362"/>
      <c r="F57" s="1363"/>
    </row>
    <row r="58" spans="1:6" s="5" customFormat="1" ht="51.75" customHeight="1">
      <c r="A58" s="81" t="s">
        <v>463</v>
      </c>
      <c r="B58" s="82" t="s">
        <v>471</v>
      </c>
      <c r="C58" s="83" t="s">
        <v>1387</v>
      </c>
      <c r="D58" s="84">
        <v>116.8</v>
      </c>
      <c r="E58" s="102">
        <v>42370</v>
      </c>
      <c r="F58" s="102">
        <v>42735</v>
      </c>
    </row>
    <row r="59" spans="1:6" s="5" customFormat="1" ht="70.5" customHeight="1">
      <c r="A59" s="81" t="s">
        <v>667</v>
      </c>
      <c r="B59" s="82" t="s">
        <v>668</v>
      </c>
      <c r="C59" s="82" t="s">
        <v>669</v>
      </c>
      <c r="D59" s="85">
        <v>1965.23</v>
      </c>
      <c r="E59" s="103">
        <v>42461</v>
      </c>
      <c r="F59" s="102">
        <v>42735</v>
      </c>
    </row>
    <row r="60" spans="1:6" s="5" customFormat="1" ht="70.5" customHeight="1">
      <c r="A60" s="81" t="s">
        <v>670</v>
      </c>
      <c r="B60" s="82" t="s">
        <v>671</v>
      </c>
      <c r="C60" s="82" t="s">
        <v>669</v>
      </c>
      <c r="D60" s="85">
        <v>1965.23</v>
      </c>
      <c r="E60" s="103">
        <v>42461</v>
      </c>
      <c r="F60" s="102">
        <v>42735</v>
      </c>
    </row>
    <row r="61" spans="1:6" s="5" customFormat="1" ht="70.5" customHeight="1">
      <c r="A61" s="81" t="s">
        <v>672</v>
      </c>
      <c r="B61" s="82" t="s">
        <v>673</v>
      </c>
      <c r="C61" s="82" t="s">
        <v>669</v>
      </c>
      <c r="D61" s="85">
        <v>1965.23</v>
      </c>
      <c r="E61" s="103">
        <v>42461</v>
      </c>
      <c r="F61" s="102">
        <v>42735</v>
      </c>
    </row>
    <row r="62" spans="1:6" s="5" customFormat="1" ht="70.5" customHeight="1">
      <c r="A62" s="81" t="s">
        <v>674</v>
      </c>
      <c r="B62" s="82" t="s">
        <v>675</v>
      </c>
      <c r="C62" s="82" t="s">
        <v>669</v>
      </c>
      <c r="D62" s="85">
        <v>1965.23</v>
      </c>
      <c r="E62" s="103">
        <v>42461</v>
      </c>
      <c r="F62" s="102">
        <v>42735</v>
      </c>
    </row>
    <row r="63" spans="1:6" s="5" customFormat="1" ht="70.5" customHeight="1">
      <c r="A63" s="81" t="s">
        <v>676</v>
      </c>
      <c r="B63" s="82" t="s">
        <v>677</v>
      </c>
      <c r="C63" s="82" t="s">
        <v>678</v>
      </c>
      <c r="D63" s="85">
        <v>1965.23</v>
      </c>
      <c r="E63" s="103">
        <v>42461</v>
      </c>
      <c r="F63" s="102">
        <v>42735</v>
      </c>
    </row>
    <row r="64" spans="1:6" s="5" customFormat="1" ht="70.5" customHeight="1">
      <c r="A64" s="81" t="s">
        <v>679</v>
      </c>
      <c r="B64" s="82" t="s">
        <v>680</v>
      </c>
      <c r="C64" s="82" t="s">
        <v>669</v>
      </c>
      <c r="D64" s="85">
        <v>2551.1999999999998</v>
      </c>
      <c r="E64" s="103">
        <v>42461</v>
      </c>
      <c r="F64" s="102">
        <v>42735</v>
      </c>
    </row>
    <row r="65" spans="1:6" s="5" customFormat="1" ht="72.75" customHeight="1">
      <c r="A65" s="81" t="s">
        <v>681</v>
      </c>
      <c r="B65" s="82" t="s">
        <v>682</v>
      </c>
      <c r="C65" s="82" t="s">
        <v>275</v>
      </c>
      <c r="D65" s="85">
        <v>192.2</v>
      </c>
      <c r="E65" s="103">
        <v>42461</v>
      </c>
      <c r="F65" s="102">
        <v>42735</v>
      </c>
    </row>
    <row r="66" spans="1:6" s="5" customFormat="1" ht="72.75" customHeight="1">
      <c r="A66" s="81" t="s">
        <v>683</v>
      </c>
      <c r="B66" s="82" t="s">
        <v>684</v>
      </c>
      <c r="C66" s="82" t="s">
        <v>275</v>
      </c>
      <c r="D66" s="85">
        <v>254.5</v>
      </c>
      <c r="E66" s="103">
        <v>42461</v>
      </c>
      <c r="F66" s="102">
        <v>42735</v>
      </c>
    </row>
    <row r="67" spans="1:6" s="5" customFormat="1" ht="75.75" customHeight="1">
      <c r="A67" s="81" t="s">
        <v>685</v>
      </c>
      <c r="B67" s="82" t="s">
        <v>686</v>
      </c>
      <c r="C67" s="82" t="s">
        <v>275</v>
      </c>
      <c r="D67" s="85">
        <v>254.5</v>
      </c>
      <c r="E67" s="103">
        <v>42461</v>
      </c>
      <c r="F67" s="102">
        <v>42735</v>
      </c>
    </row>
    <row r="68" spans="1:6" s="5" customFormat="1" ht="76.5" customHeight="1">
      <c r="A68" s="81" t="s">
        <v>687</v>
      </c>
      <c r="B68" s="82" t="s">
        <v>688</v>
      </c>
      <c r="C68" s="82" t="s">
        <v>275</v>
      </c>
      <c r="D68" s="85">
        <v>254.5</v>
      </c>
      <c r="E68" s="103">
        <v>42461</v>
      </c>
      <c r="F68" s="102">
        <v>42735</v>
      </c>
    </row>
    <row r="69" spans="1:6" ht="45.75" customHeight="1">
      <c r="A69" s="81" t="s">
        <v>689</v>
      </c>
      <c r="B69" s="82" t="s">
        <v>690</v>
      </c>
      <c r="C69" s="82" t="s">
        <v>691</v>
      </c>
      <c r="D69" s="85">
        <v>662.6</v>
      </c>
      <c r="E69" s="103">
        <v>42461</v>
      </c>
      <c r="F69" s="102">
        <v>42735</v>
      </c>
    </row>
    <row r="70" spans="1:6" ht="55.5" customHeight="1">
      <c r="A70" s="81" t="s">
        <v>692</v>
      </c>
      <c r="B70" s="82" t="s">
        <v>693</v>
      </c>
      <c r="C70" s="82" t="s">
        <v>691</v>
      </c>
      <c r="D70" s="85">
        <v>661</v>
      </c>
      <c r="E70" s="103">
        <v>42461</v>
      </c>
      <c r="F70" s="102">
        <v>42735</v>
      </c>
    </row>
    <row r="71" spans="1:6" ht="27" customHeight="1">
      <c r="A71" s="1341" t="s">
        <v>660</v>
      </c>
      <c r="B71" s="1342"/>
      <c r="C71" s="1342"/>
      <c r="D71" s="1342"/>
      <c r="E71" s="1342"/>
      <c r="F71" s="1343"/>
    </row>
    <row r="72" spans="1:6" ht="70.5" customHeight="1">
      <c r="A72" s="81" t="s">
        <v>694</v>
      </c>
      <c r="B72" s="86" t="s">
        <v>310</v>
      </c>
      <c r="C72" s="82" t="s">
        <v>311</v>
      </c>
      <c r="D72" s="85" t="s">
        <v>62</v>
      </c>
      <c r="E72" s="102">
        <v>42370</v>
      </c>
      <c r="F72" s="102">
        <v>42735</v>
      </c>
    </row>
    <row r="73" spans="1:6" ht="45" customHeight="1">
      <c r="A73" s="81" t="s">
        <v>695</v>
      </c>
      <c r="B73" s="87"/>
      <c r="C73" s="82" t="s">
        <v>312</v>
      </c>
      <c r="D73" s="85" t="s">
        <v>62</v>
      </c>
      <c r="E73" s="102">
        <v>42370</v>
      </c>
      <c r="F73" s="102">
        <v>42735</v>
      </c>
    </row>
    <row r="74" spans="1:6" ht="53.25" customHeight="1">
      <c r="A74" s="81" t="s">
        <v>696</v>
      </c>
      <c r="B74" s="87"/>
      <c r="C74" s="82" t="s">
        <v>313</v>
      </c>
      <c r="D74" s="85" t="s">
        <v>62</v>
      </c>
      <c r="E74" s="102">
        <v>42370</v>
      </c>
      <c r="F74" s="102">
        <v>42735</v>
      </c>
    </row>
    <row r="75" spans="1:6" ht="30" customHeight="1">
      <c r="A75" s="1341" t="s">
        <v>661</v>
      </c>
      <c r="B75" s="1342"/>
      <c r="C75" s="1342"/>
      <c r="D75" s="1342"/>
      <c r="E75" s="1342"/>
      <c r="F75" s="1343"/>
    </row>
    <row r="76" spans="1:6" ht="30" customHeight="1">
      <c r="A76" s="81" t="s">
        <v>697</v>
      </c>
      <c r="B76" s="87"/>
      <c r="C76" s="82" t="s">
        <v>314</v>
      </c>
      <c r="D76" s="85" t="s">
        <v>62</v>
      </c>
      <c r="E76" s="103">
        <v>42430</v>
      </c>
      <c r="F76" s="103">
        <v>42704</v>
      </c>
    </row>
    <row r="77" spans="1:6" ht="65.25" customHeight="1">
      <c r="A77" s="81" t="s">
        <v>698</v>
      </c>
      <c r="B77" s="87"/>
      <c r="C77" s="82" t="s">
        <v>315</v>
      </c>
      <c r="D77" s="85" t="s">
        <v>62</v>
      </c>
      <c r="E77" s="102">
        <v>42370</v>
      </c>
      <c r="F77" s="102">
        <v>42735</v>
      </c>
    </row>
    <row r="78" spans="1:6" ht="30" customHeight="1">
      <c r="A78" s="81" t="s">
        <v>699</v>
      </c>
      <c r="B78" s="87"/>
      <c r="C78" s="86" t="s">
        <v>700</v>
      </c>
      <c r="D78" s="85">
        <v>400</v>
      </c>
      <c r="E78" s="103">
        <v>42430</v>
      </c>
      <c r="F78" s="103">
        <v>42704</v>
      </c>
    </row>
    <row r="79" spans="1:6" ht="27.75" customHeight="1">
      <c r="A79" s="1344" t="s">
        <v>316</v>
      </c>
      <c r="B79" s="1345"/>
      <c r="C79" s="1346"/>
      <c r="D79" s="88">
        <f>D58+D59+D60+D61+D62+D63+D64+D65+D66+D67+D68+D69+D70+D78</f>
        <v>15173.449999999999</v>
      </c>
      <c r="E79" s="88"/>
      <c r="F79" s="88"/>
    </row>
    <row r="80" spans="1:6" ht="18.75">
      <c r="A80" s="1347" t="s">
        <v>320</v>
      </c>
      <c r="B80" s="1348"/>
      <c r="C80" s="1348"/>
      <c r="D80" s="1348"/>
      <c r="E80" s="1348"/>
      <c r="F80" s="1349"/>
    </row>
    <row r="81" spans="1:6" ht="75">
      <c r="A81" s="543">
        <v>1</v>
      </c>
      <c r="B81" s="544" t="s">
        <v>1903</v>
      </c>
      <c r="C81" s="719" t="s">
        <v>1904</v>
      </c>
      <c r="D81" s="720">
        <v>3179.8</v>
      </c>
      <c r="E81" s="545" t="s">
        <v>1937</v>
      </c>
      <c r="F81" s="546" t="s">
        <v>1938</v>
      </c>
    </row>
    <row r="82" spans="1:6" ht="75">
      <c r="A82" s="543">
        <v>2</v>
      </c>
      <c r="B82" s="544" t="s">
        <v>1905</v>
      </c>
      <c r="C82" s="719" t="s">
        <v>1906</v>
      </c>
      <c r="D82" s="720">
        <v>3093.2</v>
      </c>
      <c r="E82" s="545" t="s">
        <v>1937</v>
      </c>
      <c r="F82" s="546" t="s">
        <v>1938</v>
      </c>
    </row>
    <row r="83" spans="1:6" ht="75">
      <c r="A83" s="543">
        <v>3</v>
      </c>
      <c r="B83" s="544" t="s">
        <v>1907</v>
      </c>
      <c r="C83" s="719" t="s">
        <v>1906</v>
      </c>
      <c r="D83" s="720">
        <v>2921.9</v>
      </c>
      <c r="E83" s="545" t="s">
        <v>1937</v>
      </c>
      <c r="F83" s="546" t="s">
        <v>1938</v>
      </c>
    </row>
    <row r="84" spans="1:6" ht="60">
      <c r="A84" s="543">
        <v>4</v>
      </c>
      <c r="B84" s="544" t="s">
        <v>1908</v>
      </c>
      <c r="C84" s="719" t="s">
        <v>1909</v>
      </c>
      <c r="D84" s="720">
        <v>3011.3</v>
      </c>
      <c r="E84" s="545" t="s">
        <v>1937</v>
      </c>
      <c r="F84" s="546" t="s">
        <v>1938</v>
      </c>
    </row>
    <row r="85" spans="1:6" ht="75">
      <c r="A85" s="543">
        <v>5</v>
      </c>
      <c r="B85" s="544" t="s">
        <v>1910</v>
      </c>
      <c r="C85" s="719" t="s">
        <v>1906</v>
      </c>
      <c r="D85" s="720">
        <v>2855</v>
      </c>
      <c r="E85" s="545" t="s">
        <v>1937</v>
      </c>
      <c r="F85" s="546" t="s">
        <v>1938</v>
      </c>
    </row>
    <row r="86" spans="1:6" ht="60">
      <c r="A86" s="543">
        <v>6</v>
      </c>
      <c r="B86" s="544" t="s">
        <v>1911</v>
      </c>
      <c r="C86" s="719" t="s">
        <v>1912</v>
      </c>
      <c r="D86" s="720">
        <v>2445.5</v>
      </c>
      <c r="E86" s="545" t="s">
        <v>1937</v>
      </c>
      <c r="F86" s="546" t="s">
        <v>1938</v>
      </c>
    </row>
    <row r="87" spans="1:6" ht="60">
      <c r="A87" s="543">
        <v>7</v>
      </c>
      <c r="B87" s="544" t="s">
        <v>1913</v>
      </c>
      <c r="C87" s="719" t="s">
        <v>1914</v>
      </c>
      <c r="D87" s="720">
        <v>2749.2</v>
      </c>
      <c r="E87" s="545" t="s">
        <v>1937</v>
      </c>
      <c r="F87" s="546" t="s">
        <v>1938</v>
      </c>
    </row>
    <row r="88" spans="1:6" ht="60">
      <c r="A88" s="543">
        <v>8</v>
      </c>
      <c r="B88" s="544" t="s">
        <v>1915</v>
      </c>
      <c r="C88" s="721" t="s">
        <v>1916</v>
      </c>
      <c r="D88" s="720">
        <v>180.4</v>
      </c>
      <c r="E88" s="545" t="s">
        <v>1937</v>
      </c>
      <c r="F88" s="546" t="s">
        <v>1938</v>
      </c>
    </row>
    <row r="89" spans="1:6" ht="60">
      <c r="A89" s="543">
        <v>9</v>
      </c>
      <c r="B89" s="544" t="s">
        <v>1917</v>
      </c>
      <c r="C89" s="721" t="s">
        <v>1918</v>
      </c>
      <c r="D89" s="720">
        <v>105.4</v>
      </c>
      <c r="E89" s="545" t="s">
        <v>1937</v>
      </c>
      <c r="F89" s="546" t="s">
        <v>1938</v>
      </c>
    </row>
    <row r="90" spans="1:6" ht="60">
      <c r="A90" s="543">
        <v>10</v>
      </c>
      <c r="B90" s="544" t="s">
        <v>1919</v>
      </c>
      <c r="C90" s="721" t="s">
        <v>1920</v>
      </c>
      <c r="D90" s="720">
        <v>117.6</v>
      </c>
      <c r="E90" s="545" t="s">
        <v>1937</v>
      </c>
      <c r="F90" s="546" t="s">
        <v>1938</v>
      </c>
    </row>
    <row r="91" spans="1:6" ht="60">
      <c r="A91" s="543">
        <v>11</v>
      </c>
      <c r="B91" s="544" t="s">
        <v>1921</v>
      </c>
      <c r="C91" s="721" t="s">
        <v>1920</v>
      </c>
      <c r="D91" s="720">
        <v>112</v>
      </c>
      <c r="E91" s="545" t="s">
        <v>1937</v>
      </c>
      <c r="F91" s="546" t="s">
        <v>1938</v>
      </c>
    </row>
    <row r="92" spans="1:6" ht="60">
      <c r="A92" s="543">
        <v>12</v>
      </c>
      <c r="B92" s="544" t="s">
        <v>1922</v>
      </c>
      <c r="C92" s="721" t="s">
        <v>1920</v>
      </c>
      <c r="D92" s="720">
        <v>116.9</v>
      </c>
      <c r="E92" s="545" t="s">
        <v>1937</v>
      </c>
      <c r="F92" s="546" t="s">
        <v>1938</v>
      </c>
    </row>
    <row r="93" spans="1:6" ht="60">
      <c r="A93" s="543">
        <v>13</v>
      </c>
      <c r="B93" s="544" t="s">
        <v>1923</v>
      </c>
      <c r="C93" s="721" t="s">
        <v>1920</v>
      </c>
      <c r="D93" s="720">
        <v>114.8</v>
      </c>
      <c r="E93" s="545" t="s">
        <v>1937</v>
      </c>
      <c r="F93" s="546" t="s">
        <v>1938</v>
      </c>
    </row>
    <row r="94" spans="1:6" ht="60">
      <c r="A94" s="543">
        <v>14</v>
      </c>
      <c r="B94" s="544" t="s">
        <v>1839</v>
      </c>
      <c r="C94" s="721" t="s">
        <v>1920</v>
      </c>
      <c r="D94" s="720">
        <v>114.3</v>
      </c>
      <c r="E94" s="545" t="s">
        <v>1937</v>
      </c>
      <c r="F94" s="546" t="s">
        <v>1938</v>
      </c>
    </row>
    <row r="95" spans="1:6" ht="60">
      <c r="A95" s="543">
        <v>15</v>
      </c>
      <c r="B95" s="544" t="s">
        <v>1924</v>
      </c>
      <c r="C95" s="721" t="s">
        <v>1920</v>
      </c>
      <c r="D95" s="720">
        <v>115.4</v>
      </c>
      <c r="E95" s="545" t="s">
        <v>1937</v>
      </c>
      <c r="F95" s="546" t="s">
        <v>1938</v>
      </c>
    </row>
    <row r="96" spans="1:6" ht="60">
      <c r="A96" s="543">
        <v>16</v>
      </c>
      <c r="B96" s="544" t="s">
        <v>1925</v>
      </c>
      <c r="C96" s="721" t="s">
        <v>1920</v>
      </c>
      <c r="D96" s="720">
        <v>115.3</v>
      </c>
      <c r="E96" s="545" t="s">
        <v>1937</v>
      </c>
      <c r="F96" s="546" t="s">
        <v>1938</v>
      </c>
    </row>
    <row r="97" spans="1:6" ht="60">
      <c r="A97" s="543">
        <v>17</v>
      </c>
      <c r="B97" s="544" t="s">
        <v>1926</v>
      </c>
      <c r="C97" s="721" t="s">
        <v>1927</v>
      </c>
      <c r="D97" s="720">
        <v>114.6</v>
      </c>
      <c r="E97" s="545" t="s">
        <v>1937</v>
      </c>
      <c r="F97" s="546" t="s">
        <v>1938</v>
      </c>
    </row>
    <row r="98" spans="1:6" ht="60">
      <c r="A98" s="543">
        <v>18</v>
      </c>
      <c r="B98" s="544" t="s">
        <v>1928</v>
      </c>
      <c r="C98" s="721" t="s">
        <v>1920</v>
      </c>
      <c r="D98" s="720">
        <v>112.4</v>
      </c>
      <c r="E98" s="545" t="s">
        <v>1937</v>
      </c>
      <c r="F98" s="546" t="s">
        <v>1938</v>
      </c>
    </row>
    <row r="99" spans="1:6" ht="60">
      <c r="A99" s="543">
        <v>19</v>
      </c>
      <c r="B99" s="544" t="s">
        <v>1929</v>
      </c>
      <c r="C99" s="721" t="s">
        <v>1920</v>
      </c>
      <c r="D99" s="720">
        <v>113</v>
      </c>
      <c r="E99" s="545" t="s">
        <v>1937</v>
      </c>
      <c r="F99" s="546" t="s">
        <v>1938</v>
      </c>
    </row>
    <row r="100" spans="1:6" ht="60">
      <c r="A100" s="543">
        <v>20</v>
      </c>
      <c r="B100" s="544" t="s">
        <v>1930</v>
      </c>
      <c r="C100" s="721" t="s">
        <v>1920</v>
      </c>
      <c r="D100" s="720">
        <v>114.4</v>
      </c>
      <c r="E100" s="545" t="s">
        <v>1937</v>
      </c>
      <c r="F100" s="546" t="s">
        <v>1938</v>
      </c>
    </row>
    <row r="101" spans="1:6" ht="60">
      <c r="A101" s="543">
        <v>21</v>
      </c>
      <c r="B101" s="544" t="s">
        <v>1931</v>
      </c>
      <c r="C101" s="721" t="s">
        <v>1920</v>
      </c>
      <c r="D101" s="720">
        <v>114.8</v>
      </c>
      <c r="E101" s="545" t="s">
        <v>1937</v>
      </c>
      <c r="F101" s="546" t="s">
        <v>1938</v>
      </c>
    </row>
    <row r="102" spans="1:6" ht="30">
      <c r="A102" s="543">
        <v>22</v>
      </c>
      <c r="B102" s="544" t="s">
        <v>1933</v>
      </c>
      <c r="C102" s="721" t="s">
        <v>1932</v>
      </c>
      <c r="D102" s="720">
        <v>158.30000000000001</v>
      </c>
      <c r="E102" s="545" t="s">
        <v>1937</v>
      </c>
      <c r="F102" s="546" t="s">
        <v>1938</v>
      </c>
    </row>
    <row r="103" spans="1:6" ht="60" customHeight="1">
      <c r="A103" s="543">
        <v>23</v>
      </c>
      <c r="B103" s="544" t="s">
        <v>1934</v>
      </c>
      <c r="C103" s="721" t="s">
        <v>1935</v>
      </c>
      <c r="D103" s="720">
        <v>82.8</v>
      </c>
      <c r="E103" s="545" t="s">
        <v>1937</v>
      </c>
      <c r="F103" s="546" t="s">
        <v>1938</v>
      </c>
    </row>
    <row r="104" spans="1:6" ht="75">
      <c r="A104" s="543">
        <v>24</v>
      </c>
      <c r="B104" s="544" t="s">
        <v>1936</v>
      </c>
      <c r="C104" s="721" t="s">
        <v>1935</v>
      </c>
      <c r="D104" s="720">
        <v>82.8</v>
      </c>
      <c r="E104" s="545" t="s">
        <v>1937</v>
      </c>
      <c r="F104" s="546" t="s">
        <v>1938</v>
      </c>
    </row>
    <row r="105" spans="1:6" s="718" customFormat="1" ht="35.25" hidden="1" customHeight="1">
      <c r="A105" s="1358" t="s">
        <v>1423</v>
      </c>
      <c r="B105" s="1359"/>
      <c r="C105" s="1360"/>
      <c r="D105" s="724">
        <v>16206.8</v>
      </c>
      <c r="E105" s="102">
        <v>42736</v>
      </c>
      <c r="F105" s="102">
        <v>43100</v>
      </c>
    </row>
    <row r="106" spans="1:6" s="718" customFormat="1" ht="35.25" hidden="1" customHeight="1">
      <c r="A106" s="1366" t="s">
        <v>1424</v>
      </c>
      <c r="B106" s="1367"/>
      <c r="C106" s="1368"/>
      <c r="D106" s="722"/>
      <c r="E106" s="102">
        <v>42736</v>
      </c>
      <c r="F106" s="102">
        <v>43100</v>
      </c>
    </row>
    <row r="107" spans="1:6" s="718" customFormat="1" ht="35.25" hidden="1" customHeight="1">
      <c r="A107" s="1366" t="s">
        <v>661</v>
      </c>
      <c r="B107" s="1367"/>
      <c r="C107" s="1368"/>
      <c r="D107" s="722">
        <v>440</v>
      </c>
      <c r="E107" s="102">
        <v>42736</v>
      </c>
      <c r="F107" s="102">
        <v>43100</v>
      </c>
    </row>
    <row r="108" spans="1:6" hidden="1">
      <c r="A108" s="1361" t="s">
        <v>316</v>
      </c>
      <c r="B108" s="1362"/>
      <c r="C108" s="1363"/>
      <c r="D108" s="723">
        <f>D105+D106+D107</f>
        <v>16646.8</v>
      </c>
      <c r="E108" s="106"/>
      <c r="F108" s="106"/>
    </row>
    <row r="109" spans="1:6">
      <c r="A109" s="1361" t="s">
        <v>316</v>
      </c>
      <c r="B109" s="1362"/>
      <c r="C109" s="1363"/>
      <c r="D109" s="723">
        <f>SUM(D81:D104)</f>
        <v>22241.100000000002</v>
      </c>
      <c r="E109" s="106"/>
      <c r="F109" s="106"/>
    </row>
    <row r="110" spans="1:6" ht="18" customHeight="1">
      <c r="A110" s="1347" t="s">
        <v>321</v>
      </c>
      <c r="B110" s="1348"/>
      <c r="C110" s="1348"/>
      <c r="D110" s="1348"/>
      <c r="E110" s="1348"/>
      <c r="F110" s="1349"/>
    </row>
    <row r="111" spans="1:6" ht="35.25" customHeight="1">
      <c r="A111" s="1358" t="s">
        <v>1423</v>
      </c>
      <c r="B111" s="1359"/>
      <c r="C111" s="1360"/>
      <c r="D111" s="717">
        <f>D105*1.04</f>
        <v>16855.072</v>
      </c>
      <c r="E111" s="107">
        <v>43101</v>
      </c>
      <c r="F111" s="107">
        <v>43465</v>
      </c>
    </row>
    <row r="112" spans="1:6" ht="35.25" customHeight="1">
      <c r="A112" s="1366" t="s">
        <v>1424</v>
      </c>
      <c r="B112" s="1367"/>
      <c r="C112" s="1368"/>
      <c r="D112" s="717"/>
      <c r="E112" s="107">
        <v>43101</v>
      </c>
      <c r="F112" s="107">
        <v>43465</v>
      </c>
    </row>
    <row r="113" spans="1:6" ht="35.25" customHeight="1">
      <c r="A113" s="1366" t="s">
        <v>661</v>
      </c>
      <c r="B113" s="1367"/>
      <c r="C113" s="1368"/>
      <c r="D113" s="717">
        <f>D107*1.04</f>
        <v>457.6</v>
      </c>
      <c r="E113" s="107">
        <v>43101</v>
      </c>
      <c r="F113" s="107">
        <v>43465</v>
      </c>
    </row>
    <row r="114" spans="1:6">
      <c r="A114" s="1361" t="s">
        <v>316</v>
      </c>
      <c r="B114" s="1362"/>
      <c r="C114" s="1363"/>
      <c r="D114" s="539">
        <f>D111+D112+D113</f>
        <v>17312.671999999999</v>
      </c>
      <c r="E114" s="106"/>
      <c r="F114" s="106"/>
    </row>
    <row r="115" spans="1:6" ht="18.75">
      <c r="A115" s="1347" t="s">
        <v>322</v>
      </c>
      <c r="B115" s="1348"/>
      <c r="C115" s="1348"/>
      <c r="D115" s="1348"/>
      <c r="E115" s="1348"/>
      <c r="F115" s="1349"/>
    </row>
    <row r="116" spans="1:6" ht="36" customHeight="1">
      <c r="A116" s="1358" t="s">
        <v>1423</v>
      </c>
      <c r="B116" s="1359"/>
      <c r="C116" s="1360"/>
      <c r="D116" s="717">
        <f>D111*1.04</f>
        <v>17529.274880000001</v>
      </c>
      <c r="E116" s="107">
        <v>43466</v>
      </c>
      <c r="F116" s="107">
        <v>43830</v>
      </c>
    </row>
    <row r="117" spans="1:6" ht="36" customHeight="1">
      <c r="A117" s="1366" t="s">
        <v>1424</v>
      </c>
      <c r="B117" s="1367"/>
      <c r="C117" s="1368"/>
      <c r="D117" s="717"/>
      <c r="E117" s="107">
        <v>43466</v>
      </c>
      <c r="F117" s="107">
        <v>43830</v>
      </c>
    </row>
    <row r="118" spans="1:6" ht="36" customHeight="1">
      <c r="A118" s="1366" t="s">
        <v>661</v>
      </c>
      <c r="B118" s="1367"/>
      <c r="C118" s="1368"/>
      <c r="D118" s="717">
        <f>D113*1.04</f>
        <v>475.90400000000005</v>
      </c>
      <c r="E118" s="107">
        <v>43466</v>
      </c>
      <c r="F118" s="107">
        <v>43830</v>
      </c>
    </row>
    <row r="119" spans="1:6" ht="18" customHeight="1">
      <c r="A119" s="1340" t="s">
        <v>316</v>
      </c>
      <c r="B119" s="1340"/>
      <c r="C119" s="1340"/>
      <c r="D119" s="539">
        <f>D116+D117+D118</f>
        <v>18005.178879999999</v>
      </c>
      <c r="E119" s="106"/>
      <c r="F119" s="106"/>
    </row>
    <row r="120" spans="1:6">
      <c r="A120" s="104"/>
      <c r="B120" s="105"/>
      <c r="C120" s="105"/>
      <c r="D120" s="105"/>
      <c r="E120" s="105"/>
      <c r="F120" s="105"/>
    </row>
    <row r="121" spans="1:6" ht="49.5" customHeight="1">
      <c r="A121" s="978" t="s">
        <v>702</v>
      </c>
      <c r="B121" s="978"/>
      <c r="C121" s="978"/>
      <c r="D121" s="978"/>
      <c r="E121" s="978"/>
      <c r="F121" s="978"/>
    </row>
    <row r="122" spans="1:6" ht="52.5" customHeight="1">
      <c r="A122" s="978" t="s">
        <v>703</v>
      </c>
      <c r="B122" s="978"/>
      <c r="C122" s="978"/>
      <c r="D122" s="978"/>
      <c r="E122" s="978"/>
      <c r="F122" s="978"/>
    </row>
    <row r="123" spans="1:6" ht="52.5" customHeight="1">
      <c r="A123" s="978" t="s">
        <v>705</v>
      </c>
      <c r="B123" s="978"/>
      <c r="C123" s="978"/>
      <c r="D123" s="978"/>
      <c r="E123" s="978"/>
      <c r="F123" s="978"/>
    </row>
    <row r="124" spans="1:6" ht="13.5" customHeight="1">
      <c r="A124" s="1365"/>
      <c r="B124" s="1365"/>
      <c r="C124" s="1365"/>
      <c r="D124" s="1365"/>
      <c r="E124" s="1365"/>
      <c r="F124" s="1365"/>
    </row>
  </sheetData>
  <mergeCells count="58">
    <mergeCell ref="A122:F122"/>
    <mergeCell ref="A123:F123"/>
    <mergeCell ref="A124:F124"/>
    <mergeCell ref="A105:C105"/>
    <mergeCell ref="A106:C106"/>
    <mergeCell ref="A107:C107"/>
    <mergeCell ref="A108:C108"/>
    <mergeCell ref="A109:C109"/>
    <mergeCell ref="A110:F110"/>
    <mergeCell ref="A118:C118"/>
    <mergeCell ref="A121:F121"/>
    <mergeCell ref="A111:C111"/>
    <mergeCell ref="A112:C112"/>
    <mergeCell ref="A113:C113"/>
    <mergeCell ref="A114:C114"/>
    <mergeCell ref="A117:C117"/>
    <mergeCell ref="A56:F56"/>
    <mergeCell ref="A115:F115"/>
    <mergeCell ref="A116:C116"/>
    <mergeCell ref="C48:C49"/>
    <mergeCell ref="D48:D49"/>
    <mergeCell ref="A57:F57"/>
    <mergeCell ref="B48:B49"/>
    <mergeCell ref="A45:A46"/>
    <mergeCell ref="A55:C55"/>
    <mergeCell ref="B45:B46"/>
    <mergeCell ref="A52:F52"/>
    <mergeCell ref="E5:F6"/>
    <mergeCell ref="E7:E11"/>
    <mergeCell ref="F7:F11"/>
    <mergeCell ref="A13:F13"/>
    <mergeCell ref="A48:A49"/>
    <mergeCell ref="F45:F46"/>
    <mergeCell ref="E48:E49"/>
    <mergeCell ref="F48:F49"/>
    <mergeCell ref="A47:F47"/>
    <mergeCell ref="A15:A16"/>
    <mergeCell ref="A119:C119"/>
    <mergeCell ref="A71:F71"/>
    <mergeCell ref="A75:F75"/>
    <mergeCell ref="A79:C79"/>
    <mergeCell ref="A80:F80"/>
    <mergeCell ref="A1:H1"/>
    <mergeCell ref="A2:H2"/>
    <mergeCell ref="A3:H3"/>
    <mergeCell ref="D5:D11"/>
    <mergeCell ref="D45:D46"/>
    <mergeCell ref="C15:C16"/>
    <mergeCell ref="C5:C11"/>
    <mergeCell ref="B5:B11"/>
    <mergeCell ref="D15:D16"/>
    <mergeCell ref="C45:C46"/>
    <mergeCell ref="A14:F14"/>
    <mergeCell ref="E15:E16"/>
    <mergeCell ref="F15:F16"/>
    <mergeCell ref="E45:E46"/>
    <mergeCell ref="A5:A11"/>
    <mergeCell ref="B15:B16"/>
  </mergeCells>
  <pageMargins left="0.98425196850393704"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H51"/>
  <sheetViews>
    <sheetView view="pageBreakPreview" zoomScale="90" zoomScaleSheetLayoutView="90" workbookViewId="0">
      <selection activeCell="A13" sqref="A13:F13"/>
    </sheetView>
  </sheetViews>
  <sheetFormatPr defaultRowHeight="15.75"/>
  <cols>
    <col min="1" max="1" width="3.5703125" style="97" customWidth="1"/>
    <col min="2" max="2" width="16" style="7" customWidth="1"/>
    <col min="3" max="3" width="35.5703125" style="7" customWidth="1"/>
    <col min="4" max="4" width="13.42578125" style="7" customWidth="1"/>
    <col min="5" max="6" width="9.42578125" style="7" customWidth="1"/>
    <col min="7" max="16384" width="9.140625" style="7"/>
  </cols>
  <sheetData>
    <row r="1" spans="1:8">
      <c r="A1" s="1331" t="s">
        <v>662</v>
      </c>
      <c r="B1" s="1331"/>
      <c r="C1" s="1331"/>
      <c r="D1" s="1331"/>
      <c r="E1" s="1331"/>
      <c r="F1" s="1331"/>
      <c r="G1" s="1331"/>
      <c r="H1" s="1331"/>
    </row>
    <row r="2" spans="1:8">
      <c r="A2" s="1332" t="s">
        <v>663</v>
      </c>
      <c r="B2" s="1332"/>
      <c r="C2" s="1332"/>
      <c r="D2" s="1332"/>
      <c r="E2" s="1332"/>
      <c r="F2" s="1332"/>
      <c r="G2" s="1332"/>
      <c r="H2" s="1332"/>
    </row>
    <row r="3" spans="1:8">
      <c r="A3" s="1332" t="s">
        <v>664</v>
      </c>
      <c r="B3" s="1332"/>
      <c r="C3" s="1332"/>
      <c r="D3" s="1332"/>
      <c r="E3" s="1332"/>
      <c r="F3" s="1332"/>
      <c r="G3" s="1332"/>
      <c r="H3" s="1332"/>
    </row>
    <row r="4" spans="1:8">
      <c r="A4" s="90"/>
    </row>
    <row r="5" spans="1:8" ht="24.75" customHeight="1">
      <c r="A5" s="1336" t="s">
        <v>7</v>
      </c>
      <c r="B5" s="1336" t="s">
        <v>470</v>
      </c>
      <c r="C5" s="1336" t="s">
        <v>424</v>
      </c>
      <c r="D5" s="1333" t="s">
        <v>665</v>
      </c>
      <c r="E5" s="1351" t="s">
        <v>490</v>
      </c>
      <c r="F5" s="1351"/>
    </row>
    <row r="6" spans="1:8" ht="21" customHeight="1">
      <c r="A6" s="1336"/>
      <c r="B6" s="1336"/>
      <c r="C6" s="1336"/>
      <c r="D6" s="1334"/>
      <c r="E6" s="1351"/>
      <c r="F6" s="1351"/>
    </row>
    <row r="7" spans="1:8" ht="8.25" customHeight="1">
      <c r="A7" s="1336"/>
      <c r="B7" s="1336"/>
      <c r="C7" s="1336"/>
      <c r="D7" s="1334"/>
      <c r="E7" s="1352" t="s">
        <v>657</v>
      </c>
      <c r="F7" s="1352" t="s">
        <v>492</v>
      </c>
    </row>
    <row r="8" spans="1:8" ht="8.25" customHeight="1">
      <c r="A8" s="1336"/>
      <c r="B8" s="1336"/>
      <c r="C8" s="1336"/>
      <c r="D8" s="1334"/>
      <c r="E8" s="1353"/>
      <c r="F8" s="1352"/>
    </row>
    <row r="9" spans="1:8" ht="34.5" customHeight="1">
      <c r="A9" s="1336"/>
      <c r="B9" s="1336"/>
      <c r="C9" s="1336"/>
      <c r="D9" s="1334"/>
      <c r="E9" s="1353"/>
      <c r="F9" s="1353"/>
    </row>
    <row r="10" spans="1:8">
      <c r="A10" s="1336"/>
      <c r="B10" s="1336"/>
      <c r="C10" s="1336"/>
      <c r="D10" s="1334"/>
      <c r="E10" s="1353"/>
      <c r="F10" s="1352"/>
    </row>
    <row r="11" spans="1:8">
      <c r="A11" s="1336"/>
      <c r="B11" s="1336"/>
      <c r="C11" s="1336"/>
      <c r="D11" s="1335"/>
      <c r="E11" s="1353"/>
      <c r="F11" s="1352"/>
    </row>
    <row r="12" spans="1:8" ht="15" customHeight="1">
      <c r="A12" s="91">
        <v>1</v>
      </c>
      <c r="B12" s="91">
        <v>2</v>
      </c>
      <c r="C12" s="91">
        <v>3</v>
      </c>
      <c r="D12" s="91">
        <v>4</v>
      </c>
      <c r="E12" s="91">
        <v>5</v>
      </c>
      <c r="F12" s="91">
        <v>6</v>
      </c>
    </row>
    <row r="13" spans="1:8" ht="29.25" customHeight="1">
      <c r="A13" s="1347" t="s">
        <v>318</v>
      </c>
      <c r="B13" s="1348"/>
      <c r="C13" s="1348"/>
      <c r="D13" s="1348"/>
      <c r="E13" s="1348"/>
      <c r="F13" s="1349"/>
    </row>
    <row r="14" spans="1:8" ht="29.25" customHeight="1">
      <c r="A14" s="1358" t="s">
        <v>659</v>
      </c>
      <c r="B14" s="1359"/>
      <c r="C14" s="1360"/>
      <c r="D14" s="85">
        <v>15923.5</v>
      </c>
      <c r="E14" s="102">
        <v>42005</v>
      </c>
      <c r="F14" s="102">
        <v>42369</v>
      </c>
    </row>
    <row r="15" spans="1:8" ht="29.25" customHeight="1">
      <c r="A15" s="1366" t="s">
        <v>660</v>
      </c>
      <c r="B15" s="1367"/>
      <c r="C15" s="1368"/>
      <c r="D15" s="89"/>
      <c r="E15" s="102">
        <v>42005</v>
      </c>
      <c r="F15" s="102">
        <v>42369</v>
      </c>
    </row>
    <row r="16" spans="1:8" ht="29.25" customHeight="1">
      <c r="A16" s="1366" t="s">
        <v>661</v>
      </c>
      <c r="B16" s="1367"/>
      <c r="C16" s="1368"/>
      <c r="D16" s="89"/>
      <c r="E16" s="102">
        <v>42005</v>
      </c>
      <c r="F16" s="102">
        <v>42369</v>
      </c>
    </row>
    <row r="17" spans="1:6" ht="29.25" customHeight="1">
      <c r="A17" s="1361" t="s">
        <v>316</v>
      </c>
      <c r="B17" s="1362"/>
      <c r="C17" s="1363"/>
      <c r="D17" s="106">
        <f>D14+D15+D16</f>
        <v>15923.5</v>
      </c>
      <c r="E17" s="106"/>
      <c r="F17" s="106"/>
    </row>
    <row r="18" spans="1:6" ht="29.25" customHeight="1">
      <c r="A18" s="1347" t="s">
        <v>319</v>
      </c>
      <c r="B18" s="1348"/>
      <c r="C18" s="1348"/>
      <c r="D18" s="1348"/>
      <c r="E18" s="1348"/>
      <c r="F18" s="1349"/>
    </row>
    <row r="19" spans="1:6" ht="29.25" customHeight="1">
      <c r="A19" s="1358" t="s">
        <v>659</v>
      </c>
      <c r="B19" s="1359"/>
      <c r="C19" s="1360"/>
      <c r="D19" s="85">
        <v>14773.45</v>
      </c>
      <c r="E19" s="107">
        <v>43101</v>
      </c>
      <c r="F19" s="107">
        <v>43465</v>
      </c>
    </row>
    <row r="20" spans="1:6" ht="29.25" customHeight="1">
      <c r="A20" s="1366" t="s">
        <v>660</v>
      </c>
      <c r="B20" s="1367"/>
      <c r="C20" s="1368"/>
      <c r="D20" s="89"/>
      <c r="E20" s="107">
        <v>43101</v>
      </c>
      <c r="F20" s="107">
        <v>43465</v>
      </c>
    </row>
    <row r="21" spans="1:6" ht="29.25" customHeight="1">
      <c r="A21" s="1366" t="s">
        <v>661</v>
      </c>
      <c r="B21" s="1367"/>
      <c r="C21" s="1368"/>
      <c r="D21" s="89">
        <v>400</v>
      </c>
      <c r="E21" s="107">
        <v>43101</v>
      </c>
      <c r="F21" s="107">
        <v>43465</v>
      </c>
    </row>
    <row r="22" spans="1:6" ht="29.25" customHeight="1">
      <c r="A22" s="1361" t="s">
        <v>316</v>
      </c>
      <c r="B22" s="1362"/>
      <c r="C22" s="1363"/>
      <c r="D22" s="106">
        <f>D19+D20+D21</f>
        <v>15173.45</v>
      </c>
      <c r="E22" s="106"/>
      <c r="F22" s="106"/>
    </row>
    <row r="23" spans="1:6" ht="29.25" customHeight="1">
      <c r="A23" s="1347" t="s">
        <v>320</v>
      </c>
      <c r="B23" s="1348"/>
      <c r="C23" s="1348"/>
      <c r="D23" s="1348"/>
      <c r="E23" s="1348"/>
      <c r="F23" s="1349"/>
    </row>
    <row r="24" spans="1:6" ht="29.25" customHeight="1">
      <c r="A24" s="1358" t="s">
        <v>659</v>
      </c>
      <c r="B24" s="1359"/>
      <c r="C24" s="1360"/>
      <c r="D24" s="85">
        <v>16206.8</v>
      </c>
      <c r="E24" s="102">
        <v>42736</v>
      </c>
      <c r="F24" s="102">
        <v>43100</v>
      </c>
    </row>
    <row r="25" spans="1:6" ht="29.25" customHeight="1">
      <c r="A25" s="1366" t="s">
        <v>660</v>
      </c>
      <c r="B25" s="1367"/>
      <c r="C25" s="1368"/>
      <c r="D25" s="89"/>
      <c r="E25" s="102">
        <v>42736</v>
      </c>
      <c r="F25" s="102">
        <v>43100</v>
      </c>
    </row>
    <row r="26" spans="1:6" ht="29.25" customHeight="1">
      <c r="A26" s="1366" t="s">
        <v>661</v>
      </c>
      <c r="B26" s="1367"/>
      <c r="C26" s="1368"/>
      <c r="D26" s="89">
        <v>440</v>
      </c>
      <c r="E26" s="102">
        <v>42736</v>
      </c>
      <c r="F26" s="102">
        <v>43100</v>
      </c>
    </row>
    <row r="27" spans="1:6" ht="29.25" customHeight="1">
      <c r="A27" s="1361" t="s">
        <v>316</v>
      </c>
      <c r="B27" s="1362"/>
      <c r="C27" s="1363"/>
      <c r="D27" s="106">
        <f>D24+D25+D26</f>
        <v>16646.8</v>
      </c>
      <c r="E27" s="106"/>
      <c r="F27" s="106"/>
    </row>
    <row r="28" spans="1:6" ht="29.25" customHeight="1">
      <c r="A28" s="1347" t="s">
        <v>321</v>
      </c>
      <c r="B28" s="1348"/>
      <c r="C28" s="1348"/>
      <c r="D28" s="1348"/>
      <c r="E28" s="1348"/>
      <c r="F28" s="1349"/>
    </row>
    <row r="29" spans="1:6" ht="29.25" customHeight="1">
      <c r="A29" s="1358" t="s">
        <v>659</v>
      </c>
      <c r="B29" s="1359"/>
      <c r="C29" s="1360"/>
      <c r="D29" s="85">
        <v>17827.5</v>
      </c>
      <c r="E29" s="107">
        <v>43101</v>
      </c>
      <c r="F29" s="107">
        <v>43465</v>
      </c>
    </row>
    <row r="30" spans="1:6" ht="29.25" customHeight="1">
      <c r="A30" s="1366" t="s">
        <v>660</v>
      </c>
      <c r="B30" s="1367"/>
      <c r="C30" s="1368"/>
      <c r="D30" s="89"/>
      <c r="E30" s="107">
        <v>43101</v>
      </c>
      <c r="F30" s="107">
        <v>43465</v>
      </c>
    </row>
    <row r="31" spans="1:6" ht="29.25" customHeight="1">
      <c r="A31" s="1366" t="s">
        <v>661</v>
      </c>
      <c r="B31" s="1367"/>
      <c r="C31" s="1368"/>
      <c r="D31" s="89">
        <v>484</v>
      </c>
      <c r="E31" s="107">
        <v>43101</v>
      </c>
      <c r="F31" s="107">
        <v>43465</v>
      </c>
    </row>
    <row r="32" spans="1:6" ht="29.25" customHeight="1">
      <c r="A32" s="1361" t="s">
        <v>316</v>
      </c>
      <c r="B32" s="1362"/>
      <c r="C32" s="1363"/>
      <c r="D32" s="106">
        <f>D29+D30+D31</f>
        <v>18311.5</v>
      </c>
      <c r="E32" s="106"/>
      <c r="F32" s="106"/>
    </row>
    <row r="33" spans="1:6" ht="29.25" customHeight="1">
      <c r="A33" s="1347" t="s">
        <v>322</v>
      </c>
      <c r="B33" s="1348"/>
      <c r="C33" s="1348"/>
      <c r="D33" s="1348"/>
      <c r="E33" s="1348"/>
      <c r="F33" s="1349"/>
    </row>
    <row r="34" spans="1:6" ht="29.25" customHeight="1">
      <c r="A34" s="1358" t="s">
        <v>659</v>
      </c>
      <c r="B34" s="1359"/>
      <c r="C34" s="1360"/>
      <c r="D34" s="85">
        <v>19610.3</v>
      </c>
      <c r="E34" s="107">
        <v>43466</v>
      </c>
      <c r="F34" s="107">
        <v>43830</v>
      </c>
    </row>
    <row r="35" spans="1:6" ht="29.25" customHeight="1">
      <c r="A35" s="1366" t="s">
        <v>660</v>
      </c>
      <c r="B35" s="1367"/>
      <c r="C35" s="1368"/>
      <c r="D35" s="89"/>
      <c r="E35" s="107">
        <v>43466</v>
      </c>
      <c r="F35" s="107">
        <v>43830</v>
      </c>
    </row>
    <row r="36" spans="1:6" ht="29.25" customHeight="1">
      <c r="A36" s="1366" t="s">
        <v>661</v>
      </c>
      <c r="B36" s="1367"/>
      <c r="C36" s="1368"/>
      <c r="D36" s="89">
        <v>532.4</v>
      </c>
      <c r="E36" s="107">
        <v>43466</v>
      </c>
      <c r="F36" s="107">
        <v>43830</v>
      </c>
    </row>
    <row r="37" spans="1:6" ht="29.25" customHeight="1">
      <c r="A37" s="1340" t="s">
        <v>316</v>
      </c>
      <c r="B37" s="1340"/>
      <c r="C37" s="1340"/>
      <c r="D37" s="106">
        <f>D34+D35+D36</f>
        <v>20142.7</v>
      </c>
      <c r="E37" s="106"/>
      <c r="F37" s="106"/>
    </row>
    <row r="38" spans="1:6" ht="9.75" customHeight="1">
      <c r="A38" s="104"/>
      <c r="B38" s="105"/>
      <c r="C38" s="105"/>
      <c r="D38" s="105"/>
      <c r="E38" s="105"/>
      <c r="F38" s="105"/>
    </row>
    <row r="39" spans="1:6" ht="31.5" customHeight="1">
      <c r="A39" s="1372" t="s">
        <v>701</v>
      </c>
      <c r="B39" s="1372"/>
      <c r="C39" s="1372"/>
      <c r="D39" s="1372"/>
      <c r="E39" s="1372"/>
      <c r="F39" s="1372"/>
    </row>
    <row r="40" spans="1:6" ht="48.75" customHeight="1">
      <c r="A40" s="978" t="s">
        <v>702</v>
      </c>
      <c r="B40" s="978"/>
      <c r="C40" s="978"/>
      <c r="D40" s="978"/>
      <c r="E40" s="978"/>
      <c r="F40" s="978"/>
    </row>
    <row r="41" spans="1:6" ht="49.5" customHeight="1">
      <c r="A41" s="978" t="s">
        <v>703</v>
      </c>
      <c r="B41" s="978"/>
      <c r="C41" s="978"/>
      <c r="D41" s="978"/>
      <c r="E41" s="978"/>
      <c r="F41" s="978"/>
    </row>
    <row r="42" spans="1:6" ht="64.5" customHeight="1">
      <c r="A42" s="978" t="s">
        <v>704</v>
      </c>
      <c r="B42" s="978"/>
      <c r="C42" s="978"/>
      <c r="D42" s="978"/>
      <c r="E42" s="978"/>
      <c r="F42" s="978"/>
    </row>
    <row r="43" spans="1:6" ht="50.25" customHeight="1">
      <c r="A43" s="978" t="s">
        <v>705</v>
      </c>
      <c r="B43" s="978"/>
      <c r="C43" s="978"/>
      <c r="D43" s="978"/>
      <c r="E43" s="978"/>
      <c r="F43" s="978"/>
    </row>
    <row r="44" spans="1:6">
      <c r="A44" s="1365"/>
      <c r="B44" s="1365"/>
      <c r="C44" s="1365"/>
      <c r="D44" s="1365"/>
      <c r="E44" s="1365"/>
      <c r="F44" s="1365"/>
    </row>
    <row r="45" spans="1:6">
      <c r="A45" s="1370" t="s">
        <v>706</v>
      </c>
      <c r="B45" s="1370"/>
      <c r="C45" s="1370"/>
      <c r="D45" s="1370"/>
      <c r="E45" s="1370"/>
      <c r="F45" s="1370"/>
    </row>
    <row r="46" spans="1:6">
      <c r="A46" s="1370" t="s">
        <v>707</v>
      </c>
      <c r="B46" s="1370"/>
      <c r="C46" s="1370"/>
      <c r="D46" s="1370"/>
      <c r="E46" s="1370" t="s">
        <v>317</v>
      </c>
      <c r="F46" s="1370"/>
    </row>
    <row r="47" spans="1:6">
      <c r="A47" s="14"/>
      <c r="B47" s="98"/>
      <c r="C47" s="99"/>
      <c r="D47" s="99"/>
      <c r="E47" s="100"/>
      <c r="F47" s="100"/>
    </row>
    <row r="48" spans="1:6">
      <c r="A48" s="1371" t="s">
        <v>340</v>
      </c>
      <c r="B48" s="1371"/>
      <c r="C48" s="1371"/>
      <c r="D48" s="1371"/>
      <c r="E48" s="14"/>
      <c r="F48" s="14"/>
    </row>
    <row r="49" spans="1:6">
      <c r="A49" s="1371" t="s">
        <v>708</v>
      </c>
      <c r="B49" s="1371"/>
      <c r="C49" s="1371"/>
      <c r="D49" s="1371"/>
      <c r="E49" s="1371" t="s">
        <v>709</v>
      </c>
      <c r="F49" s="1371"/>
    </row>
    <row r="50" spans="1:6">
      <c r="A50" s="6"/>
      <c r="B50" s="99"/>
      <c r="C50" s="99"/>
      <c r="D50" s="99"/>
      <c r="E50" s="100"/>
      <c r="F50" s="100"/>
    </row>
    <row r="51" spans="1:6">
      <c r="A51" s="1369" t="s">
        <v>710</v>
      </c>
      <c r="B51" s="1369"/>
      <c r="C51" s="1369"/>
      <c r="D51" s="1369"/>
      <c r="E51" s="1369" t="s">
        <v>711</v>
      </c>
      <c r="F51" s="1369"/>
    </row>
  </sheetData>
  <mergeCells count="50">
    <mergeCell ref="A13:F13"/>
    <mergeCell ref="A14:C14"/>
    <mergeCell ref="A15:C15"/>
    <mergeCell ref="A16:C16"/>
    <mergeCell ref="A1:H1"/>
    <mergeCell ref="A2:H2"/>
    <mergeCell ref="A3:H3"/>
    <mergeCell ref="A5:A11"/>
    <mergeCell ref="B5:B11"/>
    <mergeCell ref="C5:C11"/>
    <mergeCell ref="D5:D11"/>
    <mergeCell ref="E5:F6"/>
    <mergeCell ref="E7:E11"/>
    <mergeCell ref="F7:F11"/>
    <mergeCell ref="A40:F40"/>
    <mergeCell ref="A35:C35"/>
    <mergeCell ref="A36:C36"/>
    <mergeCell ref="A37:C37"/>
    <mergeCell ref="A39:F39"/>
    <mergeCell ref="A23:F23"/>
    <mergeCell ref="A24:C24"/>
    <mergeCell ref="A25:C25"/>
    <mergeCell ref="A26:C26"/>
    <mergeCell ref="A27:C27"/>
    <mergeCell ref="A28:F28"/>
    <mergeCell ref="A29:C29"/>
    <mergeCell ref="A30:C30"/>
    <mergeCell ref="A31:C31"/>
    <mergeCell ref="A34:C34"/>
    <mergeCell ref="A32:C32"/>
    <mergeCell ref="A33:F33"/>
    <mergeCell ref="A51:D51"/>
    <mergeCell ref="E51:F51"/>
    <mergeCell ref="A41:F41"/>
    <mergeCell ref="A42:F42"/>
    <mergeCell ref="A43:F43"/>
    <mergeCell ref="A46:D46"/>
    <mergeCell ref="E46:F46"/>
    <mergeCell ref="A48:D48"/>
    <mergeCell ref="A49:D49"/>
    <mergeCell ref="E49:F49"/>
    <mergeCell ref="A44:F44"/>
    <mergeCell ref="A45:D45"/>
    <mergeCell ref="E45:F45"/>
    <mergeCell ref="A22:C22"/>
    <mergeCell ref="A17:C17"/>
    <mergeCell ref="A18:F18"/>
    <mergeCell ref="A19:C19"/>
    <mergeCell ref="A20:C20"/>
    <mergeCell ref="A21:C21"/>
  </mergeCells>
  <pageMargins left="0.98425196850393704"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L42"/>
  <sheetViews>
    <sheetView view="pageBreakPreview" topLeftCell="A22" zoomScale="90" zoomScaleSheetLayoutView="90" workbookViewId="0">
      <selection activeCell="L36" sqref="L36"/>
    </sheetView>
  </sheetViews>
  <sheetFormatPr defaultRowHeight="15"/>
  <cols>
    <col min="1" max="1" width="43.7109375" customWidth="1"/>
    <col min="2" max="2" width="12.140625" customWidth="1"/>
    <col min="3" max="3" width="6.140625" customWidth="1"/>
    <col min="4" max="7" width="6.42578125" customWidth="1"/>
  </cols>
  <sheetData>
    <row r="1" spans="1:7" ht="21.75" customHeight="1">
      <c r="A1" s="1331" t="s">
        <v>1401</v>
      </c>
      <c r="B1" s="1331"/>
      <c r="C1" s="1331"/>
      <c r="D1" s="1331"/>
      <c r="E1" s="1331"/>
      <c r="F1" s="1331"/>
      <c r="G1" s="1380"/>
    </row>
    <row r="2" spans="1:7" ht="18.75" customHeight="1">
      <c r="A2" s="1332" t="s">
        <v>840</v>
      </c>
      <c r="B2" s="1332"/>
      <c r="C2" s="1332"/>
      <c r="D2" s="1332"/>
      <c r="E2" s="1332"/>
      <c r="F2" s="1332"/>
      <c r="G2" s="1381"/>
    </row>
    <row r="3" spans="1:7" ht="9.75" customHeight="1">
      <c r="A3" s="1382"/>
      <c r="B3" s="1382"/>
      <c r="C3" s="1382"/>
      <c r="D3" s="1382"/>
      <c r="E3" s="1382"/>
      <c r="F3" s="1382"/>
    </row>
    <row r="4" spans="1:7" ht="54" customHeight="1">
      <c r="A4" s="1383" t="s">
        <v>323</v>
      </c>
      <c r="B4" s="1383" t="s">
        <v>1413</v>
      </c>
      <c r="C4" s="1384" t="s">
        <v>841</v>
      </c>
      <c r="D4" s="1385"/>
      <c r="E4" s="1385"/>
      <c r="F4" s="1385"/>
      <c r="G4" s="1386"/>
    </row>
    <row r="5" spans="1:7" ht="33" customHeight="1">
      <c r="A5" s="1383"/>
      <c r="B5" s="1383"/>
      <c r="C5" s="15">
        <v>2015</v>
      </c>
      <c r="D5" s="15">
        <v>2016</v>
      </c>
      <c r="E5" s="15">
        <v>2017</v>
      </c>
      <c r="F5" s="15">
        <v>2018</v>
      </c>
      <c r="G5" s="218">
        <v>2019</v>
      </c>
    </row>
    <row r="6" spans="1:7" ht="25.5" customHeight="1">
      <c r="A6" s="1375" t="s">
        <v>324</v>
      </c>
      <c r="B6" s="1376"/>
      <c r="C6" s="1376"/>
      <c r="D6" s="1376"/>
      <c r="E6" s="1376"/>
      <c r="F6" s="1376"/>
      <c r="G6" s="1377"/>
    </row>
    <row r="7" spans="1:7" ht="114" customHeight="1">
      <c r="A7" s="219" t="s">
        <v>325</v>
      </c>
      <c r="B7" s="220">
        <v>1.1159420289855071</v>
      </c>
      <c r="C7" s="220">
        <v>2.1800000000000002</v>
      </c>
      <c r="D7" s="220">
        <v>2.1</v>
      </c>
      <c r="E7" s="220">
        <v>2.1</v>
      </c>
      <c r="F7" s="220">
        <v>2.1</v>
      </c>
      <c r="G7" s="220">
        <v>2.1</v>
      </c>
    </row>
    <row r="8" spans="1:7" ht="63" customHeight="1">
      <c r="A8" s="219" t="s">
        <v>326</v>
      </c>
      <c r="B8" s="221">
        <v>77</v>
      </c>
      <c r="C8" s="221">
        <v>150</v>
      </c>
      <c r="D8" s="221">
        <v>145</v>
      </c>
      <c r="E8" s="221">
        <v>145</v>
      </c>
      <c r="F8" s="221">
        <v>145</v>
      </c>
      <c r="G8" s="221">
        <v>145</v>
      </c>
    </row>
    <row r="9" spans="1:7" ht="20.25" customHeight="1">
      <c r="A9" s="219" t="s">
        <v>327</v>
      </c>
      <c r="B9" s="221">
        <v>6900</v>
      </c>
      <c r="C9" s="221">
        <v>6900</v>
      </c>
      <c r="D9" s="221">
        <v>6900</v>
      </c>
      <c r="E9" s="221">
        <v>6900</v>
      </c>
      <c r="F9" s="221">
        <v>6900</v>
      </c>
      <c r="G9" s="221">
        <v>6900</v>
      </c>
    </row>
    <row r="10" spans="1:7" ht="98.25" customHeight="1">
      <c r="A10" s="219" t="s">
        <v>328</v>
      </c>
      <c r="B10" s="222">
        <v>4.2</v>
      </c>
      <c r="C10" s="220">
        <v>6.56</v>
      </c>
      <c r="D10" s="222">
        <v>6.5</v>
      </c>
      <c r="E10" s="222">
        <v>6.5</v>
      </c>
      <c r="F10" s="222">
        <v>6.5</v>
      </c>
      <c r="G10" s="222">
        <v>6.5</v>
      </c>
    </row>
    <row r="11" spans="1:7" ht="90" customHeight="1">
      <c r="A11" s="219" t="s">
        <v>329</v>
      </c>
      <c r="B11" s="221">
        <v>239</v>
      </c>
      <c r="C11" s="221">
        <v>387</v>
      </c>
      <c r="D11" s="221">
        <v>385</v>
      </c>
      <c r="E11" s="221">
        <v>385</v>
      </c>
      <c r="F11" s="221">
        <v>385</v>
      </c>
      <c r="G11" s="221">
        <v>385</v>
      </c>
    </row>
    <row r="12" spans="1:7" ht="25.5" customHeight="1">
      <c r="A12" s="219" t="s">
        <v>330</v>
      </c>
      <c r="B12" s="221">
        <v>5748</v>
      </c>
      <c r="C12" s="221">
        <v>5900</v>
      </c>
      <c r="D12" s="221">
        <v>5900</v>
      </c>
      <c r="E12" s="221">
        <v>5900</v>
      </c>
      <c r="F12" s="221">
        <v>5900</v>
      </c>
      <c r="G12" s="221">
        <v>5900</v>
      </c>
    </row>
    <row r="13" spans="1:7" ht="23.25" customHeight="1">
      <c r="A13" s="1378" t="s">
        <v>331</v>
      </c>
      <c r="B13" s="1379"/>
      <c r="C13" s="1379"/>
      <c r="D13" s="1379"/>
      <c r="E13" s="1379"/>
      <c r="F13" s="1379"/>
      <c r="G13" s="1377"/>
    </row>
    <row r="14" spans="1:7" ht="84" customHeight="1">
      <c r="A14" s="219" t="s">
        <v>332</v>
      </c>
      <c r="B14" s="15">
        <v>0.218</v>
      </c>
      <c r="C14" s="15">
        <v>0.215</v>
      </c>
      <c r="D14" s="223">
        <v>0.215</v>
      </c>
      <c r="E14" s="223">
        <v>0.215</v>
      </c>
      <c r="F14" s="223">
        <v>0.215</v>
      </c>
      <c r="G14" s="223">
        <v>0.215</v>
      </c>
    </row>
    <row r="15" spans="1:7" ht="84" customHeight="1">
      <c r="A15" s="219" t="s">
        <v>842</v>
      </c>
      <c r="B15" s="221">
        <v>274</v>
      </c>
      <c r="C15" s="221">
        <v>275</v>
      </c>
      <c r="D15" s="221">
        <v>275</v>
      </c>
      <c r="E15" s="221">
        <v>275</v>
      </c>
      <c r="F15" s="221">
        <v>275</v>
      </c>
      <c r="G15" s="221">
        <v>275</v>
      </c>
    </row>
    <row r="16" spans="1:7" ht="30" customHeight="1">
      <c r="A16" s="219" t="s">
        <v>333</v>
      </c>
      <c r="B16" s="220">
        <v>1258.6099999999999</v>
      </c>
      <c r="C16" s="221">
        <v>1278</v>
      </c>
      <c r="D16" s="221">
        <v>1280</v>
      </c>
      <c r="E16" s="221">
        <v>1280</v>
      </c>
      <c r="F16" s="221">
        <v>1280</v>
      </c>
      <c r="G16" s="221">
        <v>1280</v>
      </c>
    </row>
    <row r="17" spans="1:12" ht="21.75" customHeight="1">
      <c r="A17" s="1375" t="s">
        <v>334</v>
      </c>
      <c r="B17" s="1376"/>
      <c r="C17" s="1376"/>
      <c r="D17" s="1376"/>
      <c r="E17" s="1376"/>
      <c r="F17" s="1376"/>
      <c r="G17" s="1377"/>
    </row>
    <row r="18" spans="1:12" ht="68.25" customHeight="1">
      <c r="A18" s="219" t="s">
        <v>335</v>
      </c>
      <c r="B18" s="15">
        <v>35.18</v>
      </c>
      <c r="C18" s="220">
        <v>37</v>
      </c>
      <c r="D18" s="15">
        <v>36.99</v>
      </c>
      <c r="E18" s="15">
        <v>36.979999999999997</v>
      </c>
      <c r="F18" s="15">
        <v>36.97</v>
      </c>
      <c r="G18" s="15">
        <v>36.96</v>
      </c>
    </row>
    <row r="19" spans="1:12" ht="45.75" customHeight="1">
      <c r="A19" s="219" t="s">
        <v>1442</v>
      </c>
      <c r="B19" s="221">
        <v>30773.818000000021</v>
      </c>
      <c r="C19" s="221">
        <v>31641</v>
      </c>
      <c r="D19" s="221">
        <v>33308</v>
      </c>
      <c r="E19" s="221">
        <v>33954</v>
      </c>
      <c r="F19" s="221">
        <v>32600</v>
      </c>
      <c r="G19" s="221">
        <v>34908</v>
      </c>
    </row>
    <row r="20" spans="1:12" ht="31.5" customHeight="1">
      <c r="A20" s="219" t="s">
        <v>1441</v>
      </c>
      <c r="B20" s="221">
        <v>87478.10000000002</v>
      </c>
      <c r="C20" s="221">
        <v>85516</v>
      </c>
      <c r="D20" s="221">
        <v>90044</v>
      </c>
      <c r="E20" s="221">
        <v>91817</v>
      </c>
      <c r="F20" s="221">
        <v>88180</v>
      </c>
      <c r="G20" s="221">
        <v>94448</v>
      </c>
    </row>
    <row r="21" spans="1:12" ht="66.75" customHeight="1">
      <c r="A21" s="219" t="s">
        <v>336</v>
      </c>
      <c r="B21" s="15" t="s">
        <v>62</v>
      </c>
      <c r="C21" s="15" t="s">
        <v>62</v>
      </c>
      <c r="D21" s="15" t="s">
        <v>62</v>
      </c>
      <c r="E21" s="15" t="s">
        <v>62</v>
      </c>
      <c r="F21" s="15" t="s">
        <v>62</v>
      </c>
      <c r="G21" s="218" t="s">
        <v>62</v>
      </c>
    </row>
    <row r="22" spans="1:12" ht="45" customHeight="1">
      <c r="A22" s="219" t="s">
        <v>337</v>
      </c>
      <c r="B22" s="15" t="s">
        <v>62</v>
      </c>
      <c r="C22" s="15" t="s">
        <v>62</v>
      </c>
      <c r="D22" s="15" t="s">
        <v>62</v>
      </c>
      <c r="E22" s="15" t="s">
        <v>62</v>
      </c>
      <c r="F22" s="15" t="s">
        <v>62</v>
      </c>
      <c r="G22" s="218" t="s">
        <v>62</v>
      </c>
    </row>
    <row r="23" spans="1:12" ht="30.75" customHeight="1">
      <c r="A23" s="219" t="s">
        <v>1439</v>
      </c>
      <c r="B23" s="221">
        <v>78368.69</v>
      </c>
      <c r="C23" s="221">
        <v>85516</v>
      </c>
      <c r="D23" s="221">
        <v>79639</v>
      </c>
      <c r="E23" s="221">
        <v>81412</v>
      </c>
      <c r="F23" s="221">
        <v>77775</v>
      </c>
      <c r="G23" s="221">
        <v>84043</v>
      </c>
    </row>
    <row r="24" spans="1:12" ht="78.75" customHeight="1">
      <c r="A24" s="219" t="s">
        <v>843</v>
      </c>
      <c r="B24" s="15" t="s">
        <v>62</v>
      </c>
      <c r="C24" s="15" t="s">
        <v>62</v>
      </c>
      <c r="D24" s="15" t="s">
        <v>62</v>
      </c>
      <c r="E24" s="15" t="s">
        <v>62</v>
      </c>
      <c r="F24" s="15" t="s">
        <v>62</v>
      </c>
      <c r="G24" s="218" t="s">
        <v>62</v>
      </c>
    </row>
    <row r="25" spans="1:12" ht="45.75" customHeight="1">
      <c r="A25" s="219" t="s">
        <v>338</v>
      </c>
      <c r="B25" s="15" t="s">
        <v>62</v>
      </c>
      <c r="C25" s="15" t="s">
        <v>62</v>
      </c>
      <c r="D25" s="15" t="s">
        <v>62</v>
      </c>
      <c r="E25" s="15" t="s">
        <v>62</v>
      </c>
      <c r="F25" s="15" t="s">
        <v>62</v>
      </c>
      <c r="G25" s="218" t="s">
        <v>62</v>
      </c>
    </row>
    <row r="26" spans="1:12" ht="30.75" customHeight="1">
      <c r="A26" s="219" t="s">
        <v>1440</v>
      </c>
      <c r="B26" s="221">
        <v>87478.10000000002</v>
      </c>
      <c r="C26" s="221">
        <v>85516</v>
      </c>
      <c r="D26" s="221">
        <v>90044</v>
      </c>
      <c r="E26" s="221">
        <v>91817</v>
      </c>
      <c r="F26" s="221">
        <v>88180</v>
      </c>
      <c r="G26" s="221">
        <v>94448</v>
      </c>
    </row>
    <row r="27" spans="1:12" ht="6" customHeight="1">
      <c r="A27" s="17"/>
    </row>
    <row r="28" spans="1:12" ht="126.75" customHeight="1">
      <c r="A28" s="1369" t="s">
        <v>844</v>
      </c>
      <c r="B28" s="1369"/>
      <c r="C28" s="1369"/>
      <c r="D28" s="1369"/>
      <c r="E28" s="1369"/>
      <c r="F28" s="1369"/>
      <c r="G28" s="1369"/>
    </row>
    <row r="29" spans="1:12" ht="1.5" customHeight="1">
      <c r="A29" s="393"/>
      <c r="B29" s="393"/>
      <c r="C29" s="393"/>
      <c r="D29" s="393"/>
      <c r="E29" s="393"/>
      <c r="F29" s="393"/>
      <c r="G29" s="393"/>
    </row>
    <row r="30" spans="1:12" ht="33" customHeight="1">
      <c r="A30" s="1369" t="s">
        <v>1412</v>
      </c>
      <c r="B30" s="1369"/>
      <c r="C30" s="1369"/>
      <c r="D30" s="1369"/>
      <c r="E30" s="1369"/>
      <c r="F30" s="1369"/>
      <c r="G30" s="1369"/>
    </row>
    <row r="31" spans="1:12" ht="7.5" customHeight="1">
      <c r="A31" s="393"/>
      <c r="B31" s="393"/>
      <c r="C31" s="393"/>
      <c r="D31" s="393"/>
      <c r="E31" s="393"/>
      <c r="F31" s="393"/>
      <c r="G31" s="393"/>
    </row>
    <row r="32" spans="1:12" ht="15.75">
      <c r="A32" s="1373" t="s">
        <v>1388</v>
      </c>
      <c r="B32" s="1373"/>
      <c r="C32" s="1373"/>
      <c r="D32" s="1373"/>
      <c r="E32" s="1373"/>
      <c r="F32" s="1373"/>
      <c r="G32" s="1373"/>
      <c r="H32" s="1373"/>
      <c r="I32" s="1373"/>
      <c r="J32" s="17"/>
      <c r="K32" s="5"/>
      <c r="L32" s="5"/>
    </row>
    <row r="33" spans="1:12" ht="20.25" customHeight="1">
      <c r="A33" s="1374" t="s">
        <v>824</v>
      </c>
      <c r="B33" s="1374"/>
      <c r="C33" s="1374"/>
      <c r="D33" s="1374"/>
      <c r="E33" s="1374"/>
      <c r="F33" s="1374"/>
      <c r="G33" s="1374"/>
      <c r="H33" s="1374"/>
      <c r="I33" s="1374"/>
      <c r="J33" s="17"/>
      <c r="K33" s="5"/>
      <c r="L33" s="5"/>
    </row>
    <row r="34" spans="1:12" ht="9.75" customHeight="1">
      <c r="A34" s="375"/>
      <c r="B34" s="375"/>
      <c r="C34" s="375"/>
      <c r="D34" s="375"/>
      <c r="E34" s="375"/>
      <c r="F34" s="375"/>
      <c r="G34" s="375"/>
      <c r="H34" s="375"/>
      <c r="I34" s="375"/>
      <c r="J34" s="17"/>
      <c r="K34" s="5"/>
      <c r="L34" s="5"/>
    </row>
    <row r="35" spans="1:12" ht="18.75" customHeight="1">
      <c r="A35" s="5" t="s">
        <v>1389</v>
      </c>
      <c r="B35" s="5"/>
      <c r="C35" s="386"/>
      <c r="D35" s="385"/>
      <c r="E35" s="385"/>
      <c r="F35" s="385"/>
      <c r="G35" s="5"/>
      <c r="H35" s="5"/>
      <c r="I35" s="5"/>
      <c r="J35" s="17"/>
      <c r="K35" s="5"/>
      <c r="L35" s="5"/>
    </row>
    <row r="36" spans="1:12" ht="18.75" customHeight="1">
      <c r="A36" s="5" t="s">
        <v>1939</v>
      </c>
      <c r="B36" s="5"/>
      <c r="C36" s="386"/>
      <c r="D36" s="385"/>
      <c r="E36" s="385"/>
      <c r="F36" s="385"/>
      <c r="G36" s="5"/>
      <c r="H36" s="5"/>
      <c r="I36" s="5"/>
      <c r="J36" s="17" t="s">
        <v>339</v>
      </c>
      <c r="K36" s="5"/>
      <c r="L36" s="5"/>
    </row>
    <row r="37" spans="1:12" ht="18.75" customHeight="1">
      <c r="A37" s="5" t="s">
        <v>1940</v>
      </c>
      <c r="B37" s="5"/>
      <c r="C37" s="386"/>
      <c r="D37" s="385"/>
      <c r="E37" s="385"/>
      <c r="F37" s="385"/>
      <c r="G37" s="5"/>
      <c r="H37" s="5"/>
      <c r="I37" s="5"/>
      <c r="J37" s="17"/>
    </row>
    <row r="38" spans="1:12" ht="18.75" customHeight="1">
      <c r="A38" s="5" t="s">
        <v>1941</v>
      </c>
      <c r="B38" s="5"/>
      <c r="C38" s="386"/>
      <c r="D38" s="385"/>
      <c r="E38" s="385"/>
      <c r="F38" s="385"/>
      <c r="G38" s="5"/>
      <c r="H38" s="5"/>
      <c r="I38" s="5"/>
      <c r="J38" s="17"/>
      <c r="K38" s="5"/>
      <c r="L38" s="5"/>
    </row>
    <row r="39" spans="1:12" ht="18.75" customHeight="1">
      <c r="A39" s="5" t="s">
        <v>1942</v>
      </c>
      <c r="B39" s="5"/>
      <c r="C39" s="386"/>
      <c r="D39" s="385"/>
      <c r="E39" s="385"/>
      <c r="F39" s="385"/>
      <c r="G39" s="5"/>
      <c r="H39" s="5"/>
      <c r="I39" s="5"/>
      <c r="J39" s="5"/>
      <c r="K39" s="5"/>
      <c r="L39" s="5"/>
    </row>
    <row r="40" spans="1:12" ht="9.75" customHeight="1">
      <c r="A40" s="5"/>
      <c r="B40" s="5"/>
      <c r="C40" s="5"/>
      <c r="D40" s="5"/>
      <c r="E40" s="5"/>
      <c r="F40" s="5"/>
      <c r="G40" s="5"/>
      <c r="H40" s="5"/>
      <c r="I40" s="5"/>
      <c r="J40" s="5"/>
      <c r="K40" s="5"/>
      <c r="L40" s="5"/>
    </row>
    <row r="41" spans="1:12" ht="15.75">
      <c r="A41" s="5"/>
      <c r="C41" s="5"/>
      <c r="D41" s="5"/>
      <c r="E41" s="5"/>
      <c r="F41" s="5"/>
      <c r="G41" s="5"/>
      <c r="H41" s="5"/>
      <c r="I41" s="5"/>
    </row>
    <row r="42" spans="1:12" ht="9.75" customHeight="1"/>
  </sheetData>
  <mergeCells count="13">
    <mergeCell ref="A1:G1"/>
    <mergeCell ref="A2:G2"/>
    <mergeCell ref="A3:F3"/>
    <mergeCell ref="A4:A5"/>
    <mergeCell ref="B4:B5"/>
    <mergeCell ref="C4:G4"/>
    <mergeCell ref="A32:I32"/>
    <mergeCell ref="A33:I33"/>
    <mergeCell ref="A6:G6"/>
    <mergeCell ref="A13:G13"/>
    <mergeCell ref="A17:G17"/>
    <mergeCell ref="A28:G28"/>
    <mergeCell ref="A30:G30"/>
  </mergeCells>
  <pageMargins left="0.98425196850393704" right="0.39370078740157483" top="0.39370078740157483" bottom="0.3937007874015748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dimension ref="A1:K13"/>
  <sheetViews>
    <sheetView view="pageBreakPreview" zoomScaleSheetLayoutView="100" workbookViewId="0">
      <selection activeCell="H32" sqref="H32"/>
    </sheetView>
  </sheetViews>
  <sheetFormatPr defaultRowHeight="15"/>
  <cols>
    <col min="1" max="1" width="7.85546875" customWidth="1"/>
    <col min="2" max="6" width="4.28515625" customWidth="1"/>
    <col min="7" max="7" width="19.85546875" customWidth="1"/>
    <col min="8" max="8" width="14.7109375" customWidth="1"/>
    <col min="9" max="9" width="11.7109375" customWidth="1"/>
    <col min="10" max="10" width="12.140625" customWidth="1"/>
    <col min="11" max="11" width="0.42578125" hidden="1" customWidth="1"/>
  </cols>
  <sheetData>
    <row r="1" spans="1:11" ht="6" customHeight="1"/>
    <row r="2" spans="1:11" ht="32.25" customHeight="1">
      <c r="A2" s="1390" t="s">
        <v>1402</v>
      </c>
      <c r="B2" s="1391"/>
      <c r="C2" s="1391"/>
      <c r="D2" s="1391"/>
      <c r="E2" s="1391"/>
      <c r="F2" s="1391"/>
      <c r="G2" s="1391"/>
      <c r="H2" s="1391"/>
      <c r="I2" s="1391"/>
      <c r="J2" s="1391"/>
      <c r="K2" s="1391"/>
    </row>
    <row r="3" spans="1:11" ht="23.25" customHeight="1">
      <c r="A3" s="1392"/>
      <c r="B3" s="1393"/>
      <c r="C3" s="1393"/>
      <c r="D3" s="1393"/>
      <c r="E3" s="1393"/>
      <c r="F3" s="1393"/>
      <c r="G3" s="1393"/>
      <c r="H3" s="1393"/>
      <c r="I3" s="1393"/>
      <c r="J3" s="1393"/>
      <c r="K3" s="1393"/>
    </row>
    <row r="4" spans="1:11" ht="47.25" customHeight="1">
      <c r="A4" s="1394" t="s">
        <v>7</v>
      </c>
      <c r="B4" s="1395" t="s">
        <v>8</v>
      </c>
      <c r="C4" s="1395"/>
      <c r="D4" s="1395"/>
      <c r="E4" s="1395"/>
      <c r="F4" s="1395"/>
      <c r="G4" s="1395"/>
      <c r="H4" s="1396" t="s">
        <v>489</v>
      </c>
      <c r="I4" s="1397" t="s">
        <v>490</v>
      </c>
      <c r="J4" s="1397"/>
    </row>
    <row r="5" spans="1:11" ht="92.25" customHeight="1">
      <c r="A5" s="1394"/>
      <c r="B5" s="1395"/>
      <c r="C5" s="1395"/>
      <c r="D5" s="1395"/>
      <c r="E5" s="1395"/>
      <c r="F5" s="1395"/>
      <c r="G5" s="1395"/>
      <c r="H5" s="1396"/>
      <c r="I5" s="384" t="s">
        <v>491</v>
      </c>
      <c r="J5" s="384" t="s">
        <v>492</v>
      </c>
    </row>
    <row r="6" spans="1:11" ht="298.5" customHeight="1">
      <c r="A6" s="381" t="s">
        <v>463</v>
      </c>
      <c r="B6" s="1387" t="s">
        <v>1431</v>
      </c>
      <c r="C6" s="1388"/>
      <c r="D6" s="1388"/>
      <c r="E6" s="1388"/>
      <c r="F6" s="1388"/>
      <c r="G6" s="1389"/>
      <c r="H6" s="382" t="s">
        <v>62</v>
      </c>
      <c r="I6" s="383" t="s">
        <v>1379</v>
      </c>
      <c r="J6" s="383" t="s">
        <v>1227</v>
      </c>
    </row>
    <row r="7" spans="1:11" ht="162.75" customHeight="1">
      <c r="A7" s="381" t="s">
        <v>667</v>
      </c>
      <c r="B7" s="1387" t="s">
        <v>1432</v>
      </c>
      <c r="C7" s="1388"/>
      <c r="D7" s="1388"/>
      <c r="E7" s="1388"/>
      <c r="F7" s="1388"/>
      <c r="G7" s="1389"/>
      <c r="H7" s="382" t="s">
        <v>62</v>
      </c>
      <c r="I7" s="383" t="s">
        <v>1379</v>
      </c>
      <c r="J7" s="383" t="s">
        <v>1227</v>
      </c>
    </row>
    <row r="8" spans="1:11" ht="103.5" customHeight="1">
      <c r="A8" s="381" t="s">
        <v>670</v>
      </c>
      <c r="B8" s="1387" t="s">
        <v>1433</v>
      </c>
      <c r="C8" s="1388"/>
      <c r="D8" s="1388"/>
      <c r="E8" s="1388"/>
      <c r="F8" s="1388"/>
      <c r="G8" s="1389"/>
      <c r="H8" s="382" t="s">
        <v>62</v>
      </c>
      <c r="I8" s="383" t="s">
        <v>1379</v>
      </c>
      <c r="J8" s="383" t="s">
        <v>1227</v>
      </c>
    </row>
    <row r="9" spans="1:11" ht="102" customHeight="1">
      <c r="A9" s="381" t="s">
        <v>672</v>
      </c>
      <c r="B9" s="1387" t="s">
        <v>1434</v>
      </c>
      <c r="C9" s="1388"/>
      <c r="D9" s="1388"/>
      <c r="E9" s="1388"/>
      <c r="F9" s="1388"/>
      <c r="G9" s="1389"/>
      <c r="H9" s="382" t="s">
        <v>62</v>
      </c>
      <c r="I9" s="383" t="s">
        <v>1379</v>
      </c>
      <c r="J9" s="383" t="s">
        <v>1227</v>
      </c>
    </row>
    <row r="10" spans="1:11" ht="114" customHeight="1">
      <c r="A10" s="381" t="s">
        <v>674</v>
      </c>
      <c r="B10" s="1387" t="s">
        <v>1435</v>
      </c>
      <c r="C10" s="1388"/>
      <c r="D10" s="1388"/>
      <c r="E10" s="1388"/>
      <c r="F10" s="1388"/>
      <c r="G10" s="1389"/>
      <c r="H10" s="382" t="s">
        <v>62</v>
      </c>
      <c r="I10" s="383" t="s">
        <v>1379</v>
      </c>
      <c r="J10" s="383" t="s">
        <v>1227</v>
      </c>
    </row>
    <row r="11" spans="1:11" ht="73.5" customHeight="1">
      <c r="A11" s="381" t="s">
        <v>676</v>
      </c>
      <c r="B11" s="1387" t="s">
        <v>1436</v>
      </c>
      <c r="C11" s="1388"/>
      <c r="D11" s="1388"/>
      <c r="E11" s="1388"/>
      <c r="F11" s="1388"/>
      <c r="G11" s="1389"/>
      <c r="H11" s="382" t="s">
        <v>62</v>
      </c>
      <c r="I11" s="383" t="s">
        <v>1379</v>
      </c>
      <c r="J11" s="383" t="s">
        <v>1227</v>
      </c>
    </row>
    <row r="12" spans="1:11" ht="93.75" customHeight="1">
      <c r="A12" s="381" t="s">
        <v>679</v>
      </c>
      <c r="B12" s="1387" t="s">
        <v>1437</v>
      </c>
      <c r="C12" s="1388"/>
      <c r="D12" s="1388"/>
      <c r="E12" s="1388"/>
      <c r="F12" s="1388"/>
      <c r="G12" s="1389"/>
      <c r="H12" s="382" t="s">
        <v>62</v>
      </c>
      <c r="I12" s="383" t="s">
        <v>1379</v>
      </c>
      <c r="J12" s="383" t="s">
        <v>1227</v>
      </c>
    </row>
    <row r="13" spans="1:11" ht="64.5" customHeight="1">
      <c r="A13" s="381" t="s">
        <v>681</v>
      </c>
      <c r="B13" s="1387" t="s">
        <v>1438</v>
      </c>
      <c r="C13" s="1388"/>
      <c r="D13" s="1388"/>
      <c r="E13" s="1388"/>
      <c r="F13" s="1388"/>
      <c r="G13" s="1389"/>
      <c r="H13" s="382" t="s">
        <v>62</v>
      </c>
      <c r="I13" s="383" t="s">
        <v>1379</v>
      </c>
      <c r="J13" s="383" t="s">
        <v>1227</v>
      </c>
    </row>
  </sheetData>
  <mergeCells count="14">
    <mergeCell ref="A2:K2"/>
    <mergeCell ref="A3:K3"/>
    <mergeCell ref="A4:A5"/>
    <mergeCell ref="B4:G5"/>
    <mergeCell ref="H4:H5"/>
    <mergeCell ref="I4:J4"/>
    <mergeCell ref="B11:G11"/>
    <mergeCell ref="B12:G12"/>
    <mergeCell ref="B13:G13"/>
    <mergeCell ref="B6:G6"/>
    <mergeCell ref="B7:G7"/>
    <mergeCell ref="B8:G8"/>
    <mergeCell ref="B9:G9"/>
    <mergeCell ref="B10:G10"/>
  </mergeCells>
  <pageMargins left="0.98425196850393704"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23</vt:i4>
      </vt:variant>
    </vt:vector>
  </HeadingPairs>
  <TitlesOfParts>
    <vt:vector size="43" baseType="lpstr">
      <vt:lpstr>Титульный</vt:lpstr>
      <vt:lpstr>Паспорт</vt:lpstr>
      <vt:lpstr>1.Баланс ВС </vt:lpstr>
      <vt:lpstr>КР ВС итоги</vt:lpstr>
      <vt:lpstr>2.КР_ВС</vt:lpstr>
      <vt:lpstr>3.ЭРСБ </vt:lpstr>
      <vt:lpstr>ЭРСБ итоги</vt:lpstr>
      <vt:lpstr>ПКНЭ и ФП ВС</vt:lpstr>
      <vt:lpstr>4.КОАбон ВС</vt:lpstr>
      <vt:lpstr>5-6.ПКНЭ и ФП ВС (2017)</vt:lpstr>
      <vt:lpstr>ОтчетВС 2014</vt:lpstr>
      <vt:lpstr>7.Очет ВС 2015</vt:lpstr>
      <vt:lpstr>8.БалансВО</vt:lpstr>
      <vt:lpstr>КР ВО итоги</vt:lpstr>
      <vt:lpstr>9.КР_ВО</vt:lpstr>
      <vt:lpstr>10.КОАбон ВО</vt:lpstr>
      <vt:lpstr>Надежн.ВО</vt:lpstr>
      <vt:lpstr>11-12.Надежн.ВО (2017)</vt:lpstr>
      <vt:lpstr>ФП и Отчет ВО 2014</vt:lpstr>
      <vt:lpstr>13.Отчет ВО 2015</vt:lpstr>
      <vt:lpstr>'2.КР_ВС'!Заголовки_для_печати</vt:lpstr>
      <vt:lpstr>'3.ЭРСБ '!Заголовки_для_печати</vt:lpstr>
      <vt:lpstr>'9.КР_ВО'!Заголовки_для_печати</vt:lpstr>
      <vt:lpstr>'КР ВС итоги'!Заголовки_для_печати</vt:lpstr>
      <vt:lpstr>'ЭРСБ итоги'!Заголовки_для_печати</vt:lpstr>
      <vt:lpstr>'1.Баланс ВС '!Область_печати</vt:lpstr>
      <vt:lpstr>'10.КОАбон ВО'!Область_печати</vt:lpstr>
      <vt:lpstr>'11-12.Надежн.ВО (2017)'!Область_печати</vt:lpstr>
      <vt:lpstr>'13.Отчет ВО 2015'!Область_печати</vt:lpstr>
      <vt:lpstr>'2.КР_ВС'!Область_печати</vt:lpstr>
      <vt:lpstr>'3.ЭРСБ '!Область_печати</vt:lpstr>
      <vt:lpstr>'4.КОАбон ВС'!Область_печати</vt:lpstr>
      <vt:lpstr>'5-6.ПКНЭ и ФП ВС (2017)'!Область_печати</vt:lpstr>
      <vt:lpstr>'8.БалансВО'!Область_печати</vt:lpstr>
      <vt:lpstr>'9.КР_ВО'!Область_печати</vt:lpstr>
      <vt:lpstr>'КР ВО итоги'!Область_печати</vt:lpstr>
      <vt:lpstr>'КР ВС итоги'!Область_печати</vt:lpstr>
      <vt:lpstr>Надежн.ВО!Область_печати</vt:lpstr>
      <vt:lpstr>'ОтчетВС 2014'!Область_печати</vt:lpstr>
      <vt:lpstr>Паспорт!Область_печати</vt:lpstr>
      <vt:lpstr>'ПКНЭ и ФП ВС'!Область_печати</vt:lpstr>
      <vt:lpstr>'ФП и Отчет ВО 2014'!Область_печати</vt:lpstr>
      <vt:lpstr>'ЭРСБ итоги'!Область_печати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2017-12-29T06:52:45Z</dcterms:modified>
</cp:coreProperties>
</file>