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5"/>
  </bookViews>
  <sheets>
    <sheet name="2.7" sheetId="1" r:id="rId1"/>
    <sheet name="2.8" sheetId="4" r:id="rId2"/>
    <sheet name="2.10" sheetId="5" r:id="rId3"/>
    <sheet name="3.5" sheetId="6" r:id="rId4"/>
    <sheet name="3.6" sheetId="7" r:id="rId5"/>
    <sheet name="3.8" sheetId="8" r:id="rId6"/>
    <sheet name="Первичка" sheetId="9" state="hidden" r:id="rId7"/>
    <sheet name="Добыча воды" sheetId="10" state="hidden" r:id="rId8"/>
    <sheet name="Сброс воды" sheetId="11" state="hidden" r:id="rId9"/>
  </sheets>
  <definedNames>
    <definedName name="sub_27" localSheetId="2">'2.10'!$A$1</definedName>
    <definedName name="sub_27" localSheetId="0">'2.7'!$A$1</definedName>
    <definedName name="sub_27" localSheetId="1">'2.8'!$A$1</definedName>
    <definedName name="sub_27" localSheetId="3">'3.5'!$A$1</definedName>
    <definedName name="sub_27" localSheetId="4">'3.6'!$A$1</definedName>
    <definedName name="sub_27" localSheetId="5">'3.8'!$A$1</definedName>
    <definedName name="sub_271" localSheetId="2">'2.10'!$A$5</definedName>
    <definedName name="sub_271" localSheetId="0">'2.7'!$A$5</definedName>
    <definedName name="sub_271" localSheetId="1">'2.8'!$A$5</definedName>
    <definedName name="sub_271" localSheetId="3">'3.5'!$A$4</definedName>
    <definedName name="sub_271" localSheetId="4">'3.6'!$A$4</definedName>
    <definedName name="sub_271" localSheetId="5">'3.8'!$A$4</definedName>
    <definedName name="sub_2710" localSheetId="2">'2.10'!#REF!</definedName>
    <definedName name="sub_2710" localSheetId="0">'2.7'!$A$27</definedName>
    <definedName name="sub_2710" localSheetId="1">'2.8'!#REF!</definedName>
    <definedName name="sub_2710" localSheetId="3">'3.5'!#REF!</definedName>
    <definedName name="sub_2710" localSheetId="4">'3.6'!#REF!</definedName>
    <definedName name="sub_2710" localSheetId="5">'3.8'!#REF!</definedName>
    <definedName name="sub_2711" localSheetId="2">'2.10'!#REF!</definedName>
    <definedName name="sub_2711" localSheetId="0">'2.7'!$A$28</definedName>
    <definedName name="sub_2711" localSheetId="1">'2.8'!#REF!</definedName>
    <definedName name="sub_2711" localSheetId="3">'3.5'!#REF!</definedName>
    <definedName name="sub_2711" localSheetId="4">'3.6'!#REF!</definedName>
    <definedName name="sub_2711" localSheetId="5">'3.8'!#REF!</definedName>
    <definedName name="sub_2712" localSheetId="2">'2.10'!#REF!</definedName>
    <definedName name="sub_2712" localSheetId="0">'2.7'!$A$29</definedName>
    <definedName name="sub_2712" localSheetId="1">'2.8'!#REF!</definedName>
    <definedName name="sub_2712" localSheetId="3">'3.5'!#REF!</definedName>
    <definedName name="sub_2712" localSheetId="4">'3.6'!#REF!</definedName>
    <definedName name="sub_2712" localSheetId="5">'3.8'!#REF!</definedName>
    <definedName name="sub_2713" localSheetId="2">'2.10'!#REF!</definedName>
    <definedName name="sub_2713" localSheetId="0">'2.7'!$A$30</definedName>
    <definedName name="sub_2713" localSheetId="1">'2.8'!#REF!</definedName>
    <definedName name="sub_2713" localSheetId="3">'3.5'!#REF!</definedName>
    <definedName name="sub_2713" localSheetId="4">'3.6'!#REF!</definedName>
    <definedName name="sub_2713" localSheetId="5">'3.8'!#REF!</definedName>
    <definedName name="sub_2714" localSheetId="2">'2.10'!#REF!</definedName>
    <definedName name="sub_2714" localSheetId="0">'2.7'!$A$31</definedName>
    <definedName name="sub_2714" localSheetId="1">'2.8'!#REF!</definedName>
    <definedName name="sub_2714" localSheetId="3">'3.5'!#REF!</definedName>
    <definedName name="sub_2714" localSheetId="4">'3.6'!#REF!</definedName>
    <definedName name="sub_2714" localSheetId="5">'3.8'!#REF!</definedName>
    <definedName name="sub_2715" localSheetId="2">'2.10'!#REF!</definedName>
    <definedName name="sub_2715" localSheetId="0">'2.7'!$A$32</definedName>
    <definedName name="sub_2715" localSheetId="1">'2.8'!#REF!</definedName>
    <definedName name="sub_2715" localSheetId="3">'3.5'!#REF!</definedName>
    <definedName name="sub_2715" localSheetId="4">'3.6'!#REF!</definedName>
    <definedName name="sub_2715" localSheetId="5">'3.8'!#REF!</definedName>
    <definedName name="sub_272" localSheetId="2">'2.10'!$A$6</definedName>
    <definedName name="sub_272" localSheetId="0">'2.7'!$A$6</definedName>
    <definedName name="sub_272" localSheetId="1">'2.8'!$A$6</definedName>
    <definedName name="sub_272" localSheetId="3">'3.5'!$A$5</definedName>
    <definedName name="sub_272" localSheetId="4">'3.6'!$A$5</definedName>
    <definedName name="sub_272" localSheetId="5">'3.8'!$A$5</definedName>
    <definedName name="sub_2721" localSheetId="2">'2.10'!$A$7</definedName>
    <definedName name="sub_2721" localSheetId="0">'2.7'!$A$7</definedName>
    <definedName name="sub_2721" localSheetId="1">'2.8'!$A$7</definedName>
    <definedName name="sub_2721" localSheetId="3">'3.5'!$A$6</definedName>
    <definedName name="sub_2721" localSheetId="4">'3.6'!$A$6</definedName>
    <definedName name="sub_2721" localSheetId="5">'3.8'!$A$6</definedName>
    <definedName name="sub_27210" localSheetId="2">'2.10'!$A$17</definedName>
    <definedName name="sub_27210" localSheetId="0">'2.7'!$A$16</definedName>
    <definedName name="sub_27210" localSheetId="1">'2.8'!$A$17</definedName>
    <definedName name="sub_27210" localSheetId="3">'3.5'!$A$16</definedName>
    <definedName name="sub_27210" localSheetId="4">'3.6'!$A$16</definedName>
    <definedName name="sub_27210" localSheetId="5">'3.8'!$A$16</definedName>
    <definedName name="sub_27211" localSheetId="2">'2.10'!$A$18</definedName>
    <definedName name="sub_27211" localSheetId="0">'2.7'!$A$17</definedName>
    <definedName name="sub_27211" localSheetId="1">'2.8'!$A$18</definedName>
    <definedName name="sub_27211" localSheetId="3">'3.5'!$A$17</definedName>
    <definedName name="sub_27211" localSheetId="4">'3.6'!$A$17</definedName>
    <definedName name="sub_27211" localSheetId="5">'3.8'!$A$17</definedName>
    <definedName name="sub_27212" localSheetId="2">'2.10'!$A$19</definedName>
    <definedName name="sub_27212" localSheetId="0">'2.7'!$A$18</definedName>
    <definedName name="sub_27212" localSheetId="1">'2.8'!$A$19</definedName>
    <definedName name="sub_27212" localSheetId="3">'3.5'!$A$18</definedName>
    <definedName name="sub_27212" localSheetId="4">'3.6'!$A$18</definedName>
    <definedName name="sub_27212" localSheetId="5">'3.8'!$A$18</definedName>
    <definedName name="sub_2722" localSheetId="2">'2.10'!$A$8</definedName>
    <definedName name="sub_2722" localSheetId="0">'2.7'!$A$8</definedName>
    <definedName name="sub_2722" localSheetId="1">'2.8'!$A$8</definedName>
    <definedName name="sub_2722" localSheetId="3">'3.5'!$A$7</definedName>
    <definedName name="sub_2722" localSheetId="4">'3.6'!$A$7</definedName>
    <definedName name="sub_2722" localSheetId="5">'3.8'!$A$7</definedName>
    <definedName name="sub_2723" localSheetId="2">'2.10'!$A$10</definedName>
    <definedName name="sub_2723" localSheetId="0">'2.7'!$A$9</definedName>
    <definedName name="sub_2723" localSheetId="1">'2.8'!$A$10</definedName>
    <definedName name="sub_2723" localSheetId="3">'3.5'!$A$9</definedName>
    <definedName name="sub_2723" localSheetId="4">'3.6'!$A$9</definedName>
    <definedName name="sub_2723" localSheetId="5">'3.8'!$A$9</definedName>
    <definedName name="sub_2724" localSheetId="2">'2.10'!$A$11</definedName>
    <definedName name="sub_2724" localSheetId="0">'2.7'!$A$10</definedName>
    <definedName name="sub_2724" localSheetId="1">'2.8'!$A$11</definedName>
    <definedName name="sub_2724" localSheetId="3">'3.5'!$A$10</definedName>
    <definedName name="sub_2724" localSheetId="4">'3.6'!$A$10</definedName>
    <definedName name="sub_2724" localSheetId="5">'3.8'!$A$10</definedName>
    <definedName name="sub_2725" localSheetId="2">'2.10'!$A$12</definedName>
    <definedName name="sub_2725" localSheetId="0">'2.7'!$A$11</definedName>
    <definedName name="sub_2725" localSheetId="1">'2.8'!$A$12</definedName>
    <definedName name="sub_2725" localSheetId="3">'3.5'!$A$11</definedName>
    <definedName name="sub_2725" localSheetId="4">'3.6'!$A$11</definedName>
    <definedName name="sub_2725" localSheetId="5">'3.8'!$A$11</definedName>
    <definedName name="sub_2726" localSheetId="2">'2.10'!$A$13</definedName>
    <definedName name="sub_2726" localSheetId="0">'2.7'!$A$12</definedName>
    <definedName name="sub_2726" localSheetId="1">'2.8'!$A$13</definedName>
    <definedName name="sub_2726" localSheetId="3">'3.5'!$A$12</definedName>
    <definedName name="sub_2726" localSheetId="4">'3.6'!$A$12</definedName>
    <definedName name="sub_2726" localSheetId="5">'3.8'!$A$12</definedName>
    <definedName name="sub_2727" localSheetId="2">'2.10'!$A$14</definedName>
    <definedName name="sub_2727" localSheetId="0">'2.7'!$A$13</definedName>
    <definedName name="sub_2727" localSheetId="1">'2.8'!$A$14</definedName>
    <definedName name="sub_2727" localSheetId="3">'3.5'!$A$13</definedName>
    <definedName name="sub_2727" localSheetId="4">'3.6'!$A$13</definedName>
    <definedName name="sub_2727" localSheetId="5">'3.8'!$A$13</definedName>
    <definedName name="sub_2728" localSheetId="2">'2.10'!$A$15</definedName>
    <definedName name="sub_2728" localSheetId="0">'2.7'!$A$14</definedName>
    <definedName name="sub_2728" localSheetId="1">'2.8'!$A$15</definedName>
    <definedName name="sub_2728" localSheetId="3">'3.5'!$A$14</definedName>
    <definedName name="sub_2728" localSheetId="4">'3.6'!$A$14</definedName>
    <definedName name="sub_2728" localSheetId="5">'3.8'!$A$14</definedName>
    <definedName name="sub_2729" localSheetId="2">'2.10'!$A$16</definedName>
    <definedName name="sub_2729" localSheetId="0">'2.7'!$A$15</definedName>
    <definedName name="sub_2729" localSheetId="1">'2.8'!$A$16</definedName>
    <definedName name="sub_2729" localSheetId="3">'3.5'!$A$15</definedName>
    <definedName name="sub_2729" localSheetId="4">'3.6'!$A$15</definedName>
    <definedName name="sub_2729" localSheetId="5">'3.8'!$A$15</definedName>
    <definedName name="sub_273" localSheetId="2">'2.10'!$A$20</definedName>
    <definedName name="sub_273" localSheetId="0">'2.7'!$A$19</definedName>
    <definedName name="sub_273" localSheetId="1">'2.8'!$A$20</definedName>
    <definedName name="sub_273" localSheetId="3">'3.5'!$A$19</definedName>
    <definedName name="sub_273" localSheetId="4">'3.6'!$A$19</definedName>
    <definedName name="sub_273" localSheetId="5">'3.8'!$A$19</definedName>
    <definedName name="sub_274" localSheetId="2">'2.10'!#REF!</definedName>
    <definedName name="sub_274" localSheetId="0">'2.7'!$A$20</definedName>
    <definedName name="sub_274" localSheetId="1">'2.8'!#REF!</definedName>
    <definedName name="sub_274" localSheetId="3">'3.5'!#REF!</definedName>
    <definedName name="sub_274" localSheetId="4">'3.6'!#REF!</definedName>
    <definedName name="sub_274" localSheetId="5">'3.8'!#REF!</definedName>
    <definedName name="sub_275" localSheetId="2">'2.10'!#REF!</definedName>
    <definedName name="sub_275" localSheetId="0">'2.7'!$A$21</definedName>
    <definedName name="sub_275" localSheetId="1">'2.8'!#REF!</definedName>
    <definedName name="sub_275" localSheetId="3">'3.5'!#REF!</definedName>
    <definedName name="sub_275" localSheetId="4">'3.6'!#REF!</definedName>
    <definedName name="sub_275" localSheetId="5">'3.8'!#REF!</definedName>
    <definedName name="sub_276" localSheetId="2">'2.10'!#REF!</definedName>
    <definedName name="sub_276" localSheetId="0">'2.7'!$A$23</definedName>
    <definedName name="sub_276" localSheetId="1">'2.8'!#REF!</definedName>
    <definedName name="sub_276" localSheetId="3">'3.5'!#REF!</definedName>
    <definedName name="sub_276" localSheetId="4">'3.6'!#REF!</definedName>
    <definedName name="sub_276" localSheetId="5">'3.8'!#REF!</definedName>
    <definedName name="sub_277" localSheetId="2">'2.10'!#REF!</definedName>
    <definedName name="sub_277" localSheetId="0">'2.7'!$A$24</definedName>
    <definedName name="sub_277" localSheetId="1">'2.8'!#REF!</definedName>
    <definedName name="sub_277" localSheetId="3">'3.5'!#REF!</definedName>
    <definedName name="sub_277" localSheetId="4">'3.6'!#REF!</definedName>
    <definedName name="sub_277" localSheetId="5">'3.8'!#REF!</definedName>
    <definedName name="sub_278" localSheetId="2">'2.10'!#REF!</definedName>
    <definedName name="sub_278" localSheetId="0">'2.7'!$A$25</definedName>
    <definedName name="sub_278" localSheetId="1">'2.8'!#REF!</definedName>
    <definedName name="sub_278" localSheetId="3">'3.5'!#REF!</definedName>
    <definedName name="sub_278" localSheetId="4">'3.6'!#REF!</definedName>
    <definedName name="sub_278" localSheetId="5">'3.8'!#REF!</definedName>
    <definedName name="sub_279" localSheetId="2">'2.10'!#REF!</definedName>
    <definedName name="sub_279" localSheetId="0">'2.7'!$A$26</definedName>
    <definedName name="sub_279" localSheetId="1">'2.8'!#REF!</definedName>
    <definedName name="sub_279" localSheetId="3">'3.5'!#REF!</definedName>
    <definedName name="sub_279" localSheetId="4">'3.6'!#REF!</definedName>
    <definedName name="sub_279" localSheetId="5">'3.8'!#REF!</definedName>
    <definedName name="sub_28" localSheetId="2">'2.10'!$A$1</definedName>
    <definedName name="sub_28" localSheetId="1">'2.8'!$A$1</definedName>
    <definedName name="sub_28" localSheetId="3">'3.5'!$A$1</definedName>
    <definedName name="sub_28" localSheetId="4">'3.6'!$A$1</definedName>
    <definedName name="sub_28" localSheetId="5">'3.8'!$A$1</definedName>
    <definedName name="sub_281" localSheetId="2">'2.10'!$A$4</definedName>
    <definedName name="sub_281" localSheetId="1">'2.8'!$A$4</definedName>
    <definedName name="sub_281" localSheetId="3">'3.5'!$A$3</definedName>
    <definedName name="sub_281" localSheetId="4">'3.6'!$A$3</definedName>
    <definedName name="sub_281" localSheetId="5">'3.8'!$A$3</definedName>
    <definedName name="sub_282" localSheetId="2">'2.10'!$A$5</definedName>
    <definedName name="sub_282" localSheetId="1">'2.8'!$A$5</definedName>
    <definedName name="sub_282" localSheetId="3">'3.5'!$A$4</definedName>
    <definedName name="sub_282" localSheetId="4">'3.6'!$A$4</definedName>
    <definedName name="sub_282" localSheetId="5">'3.8'!$A$4</definedName>
    <definedName name="sub_283" localSheetId="2">'2.10'!$A$6</definedName>
    <definedName name="sub_283" localSheetId="1">'2.8'!$A$6</definedName>
    <definedName name="sub_283" localSheetId="3">'3.5'!$A$5</definedName>
    <definedName name="sub_283" localSheetId="4">'3.6'!$A$5</definedName>
    <definedName name="sub_283" localSheetId="5">'3.8'!$A$5</definedName>
    <definedName name="sub_284" localSheetId="2">'2.10'!$A$7</definedName>
    <definedName name="sub_284" localSheetId="1">'2.8'!$A$7</definedName>
    <definedName name="sub_284" localSheetId="3">'3.5'!$A$6</definedName>
    <definedName name="sub_284" localSheetId="4">'3.6'!$A$6</definedName>
    <definedName name="sub_284" localSheetId="5">'3.8'!$A$6</definedName>
    <definedName name="sub_2841" localSheetId="2">'2.10'!$A$8</definedName>
    <definedName name="sub_2841" localSheetId="1">'2.8'!$A$8</definedName>
    <definedName name="sub_2841" localSheetId="3">'3.5'!$A$7</definedName>
    <definedName name="sub_2841" localSheetId="4">'3.6'!$A$7</definedName>
    <definedName name="sub_2841" localSheetId="5">'3.8'!$A$7</definedName>
    <definedName name="sub_2842" localSheetId="2">'2.10'!$A$9</definedName>
    <definedName name="sub_2842" localSheetId="1">'2.8'!$A$9</definedName>
    <definedName name="sub_2842" localSheetId="3">'3.5'!$A$8</definedName>
    <definedName name="sub_2842" localSheetId="4">'3.6'!$A$8</definedName>
    <definedName name="sub_2842" localSheetId="5">'3.8'!$A$8</definedName>
    <definedName name="sub_2843" localSheetId="2">'2.10'!$A$10</definedName>
    <definedName name="sub_2843" localSheetId="1">'2.8'!$A$10</definedName>
    <definedName name="sub_2843" localSheetId="3">'3.5'!$A$9</definedName>
    <definedName name="sub_2843" localSheetId="4">'3.6'!$A$9</definedName>
    <definedName name="sub_2843" localSheetId="5">'3.8'!$A$9</definedName>
    <definedName name="sub_2844" localSheetId="2">'2.10'!$A$11</definedName>
    <definedName name="sub_2844" localSheetId="1">'2.8'!$A$11</definedName>
    <definedName name="sub_2844" localSheetId="3">'3.5'!$A$10</definedName>
    <definedName name="sub_2844" localSheetId="4">'3.6'!$A$10</definedName>
    <definedName name="sub_2844" localSheetId="5">'3.8'!$A$10</definedName>
    <definedName name="sub_2845" localSheetId="2">'2.10'!$A$12</definedName>
    <definedName name="sub_2845" localSheetId="1">'2.8'!$A$12</definedName>
    <definedName name="sub_2845" localSheetId="3">'3.5'!$A$11</definedName>
    <definedName name="sub_2845" localSheetId="4">'3.6'!$A$11</definedName>
    <definedName name="sub_2845" localSheetId="5">'3.8'!$A$11</definedName>
    <definedName name="sub_285" localSheetId="2">'2.10'!$A$13</definedName>
    <definedName name="sub_285" localSheetId="1">'2.8'!$A$13</definedName>
    <definedName name="sub_285" localSheetId="3">'3.5'!$A$12</definedName>
    <definedName name="sub_285" localSheetId="4">'3.6'!$A$12</definedName>
    <definedName name="sub_285" localSheetId="5">'3.8'!$A$12</definedName>
    <definedName name="sub_2851" localSheetId="2">'2.10'!$A$14</definedName>
    <definedName name="sub_2851" localSheetId="1">'2.8'!$A$14</definedName>
    <definedName name="sub_2851" localSheetId="3">'3.5'!$A$13</definedName>
    <definedName name="sub_2851" localSheetId="4">'3.6'!$A$13</definedName>
    <definedName name="sub_2851" localSheetId="5">'3.8'!$A$13</definedName>
    <definedName name="sub_2852" localSheetId="2">'2.10'!$A$15</definedName>
    <definedName name="sub_2852" localSheetId="1">'2.8'!$A$15</definedName>
    <definedName name="sub_2852" localSheetId="3">'3.5'!$A$14</definedName>
    <definedName name="sub_2852" localSheetId="4">'3.6'!$A$14</definedName>
    <definedName name="sub_2852" localSheetId="5">'3.8'!$A$14</definedName>
    <definedName name="sub_2853" localSheetId="2">'2.10'!$A$16</definedName>
    <definedName name="sub_2853" localSheetId="1">'2.8'!$A$16</definedName>
    <definedName name="sub_2853" localSheetId="3">'3.5'!$A$15</definedName>
    <definedName name="sub_2853" localSheetId="4">'3.6'!$A$15</definedName>
    <definedName name="sub_2853" localSheetId="5">'3.8'!$A$15</definedName>
    <definedName name="sub_2854" localSheetId="2">'2.10'!$A$17</definedName>
    <definedName name="sub_2854" localSheetId="1">'2.8'!$A$17</definedName>
    <definedName name="sub_2854" localSheetId="3">'3.5'!$A$16</definedName>
    <definedName name="sub_2854" localSheetId="4">'3.6'!$A$16</definedName>
    <definedName name="sub_2854" localSheetId="5">'3.8'!$A$16</definedName>
    <definedName name="sub_2855" localSheetId="2">'2.10'!$A$18</definedName>
    <definedName name="sub_2855" localSheetId="1">'2.8'!$A$18</definedName>
    <definedName name="sub_2855" localSheetId="3">'3.5'!$A$17</definedName>
    <definedName name="sub_2855" localSheetId="4">'3.6'!$A$17</definedName>
    <definedName name="sub_2855" localSheetId="5">'3.8'!$A$17</definedName>
    <definedName name="sub_286" localSheetId="2">'2.10'!$A$19</definedName>
    <definedName name="sub_286" localSheetId="1">'2.8'!$A$19</definedName>
    <definedName name="sub_286" localSheetId="3">'3.5'!$A$18</definedName>
    <definedName name="sub_286" localSheetId="4">'3.6'!$A$18</definedName>
    <definedName name="sub_286" localSheetId="5">'3.8'!$A$18</definedName>
    <definedName name="sub_287" localSheetId="2">'2.10'!$A$20</definedName>
    <definedName name="sub_287" localSheetId="1">'2.8'!$A$20</definedName>
    <definedName name="sub_287" localSheetId="3">'3.5'!$A$19</definedName>
    <definedName name="sub_287" localSheetId="4">'3.6'!$A$19</definedName>
    <definedName name="sub_287" localSheetId="5">'3.8'!$A$19</definedName>
    <definedName name="sub_35" localSheetId="3">'3.5'!$A$1</definedName>
    <definedName name="sub_35" localSheetId="4">'3.6'!$A$1</definedName>
    <definedName name="sub_35" localSheetId="5">'3.8'!$A$1</definedName>
    <definedName name="sub_351" localSheetId="3">'3.5'!$A$4</definedName>
    <definedName name="sub_351" localSheetId="4">'3.6'!$A$4</definedName>
    <definedName name="sub_351" localSheetId="5">'3.8'!$A$4</definedName>
    <definedName name="sub_3510" localSheetId="3">'3.5'!$A$30</definedName>
    <definedName name="sub_3510" localSheetId="4">'3.6'!$A$30</definedName>
    <definedName name="sub_3510" localSheetId="5">'3.8'!$A$30</definedName>
    <definedName name="sub_352" localSheetId="3">'3.5'!$A$7</definedName>
    <definedName name="sub_352" localSheetId="4">'3.6'!$A$7</definedName>
    <definedName name="sub_352" localSheetId="5">'3.8'!$A$7</definedName>
    <definedName name="sub_3521" localSheetId="3">'3.5'!$A$8</definedName>
    <definedName name="sub_3521" localSheetId="4">'3.6'!$A$8</definedName>
    <definedName name="sub_3521" localSheetId="5">'3.8'!$A$8</definedName>
    <definedName name="sub_35210" localSheetId="3">'3.5'!$A$19</definedName>
    <definedName name="sub_35210" localSheetId="4">'3.6'!$A$19</definedName>
    <definedName name="sub_35210" localSheetId="5">'3.8'!$A$19</definedName>
    <definedName name="sub_35211" localSheetId="3">'3.5'!$A$21</definedName>
    <definedName name="sub_35211" localSheetId="4">'3.6'!$A$21</definedName>
    <definedName name="sub_35211" localSheetId="5">'3.8'!$A$21</definedName>
    <definedName name="sub_35212" localSheetId="3">'3.5'!$A$22</definedName>
    <definedName name="sub_35212" localSheetId="4">'3.6'!$A$22</definedName>
    <definedName name="sub_35212" localSheetId="5">'3.8'!$A$22</definedName>
    <definedName name="sub_3522" localSheetId="3">'3.5'!$A$10</definedName>
    <definedName name="sub_3522" localSheetId="4">'3.6'!$A$10</definedName>
    <definedName name="sub_3522" localSheetId="5">'3.8'!$A$10</definedName>
    <definedName name="sub_3523" localSheetId="3">'3.5'!$A$12</definedName>
    <definedName name="sub_3523" localSheetId="4">'3.6'!$A$12</definedName>
    <definedName name="sub_3523" localSheetId="5">'3.8'!$A$12</definedName>
    <definedName name="sub_3524" localSheetId="3">'3.5'!$A$13</definedName>
    <definedName name="sub_3524" localSheetId="4">'3.6'!$A$13</definedName>
    <definedName name="sub_3524" localSheetId="5">'3.8'!$A$13</definedName>
    <definedName name="sub_3525" localSheetId="3">'3.5'!$A$14</definedName>
    <definedName name="sub_3525" localSheetId="4">'3.6'!$A$14</definedName>
    <definedName name="sub_3525" localSheetId="5">'3.8'!$A$14</definedName>
    <definedName name="sub_3526" localSheetId="3">'3.5'!$A$15</definedName>
    <definedName name="sub_3526" localSheetId="4">'3.6'!$A$15</definedName>
    <definedName name="sub_3526" localSheetId="5">'3.8'!$A$15</definedName>
    <definedName name="sub_3527" localSheetId="3">'3.5'!$A$16</definedName>
    <definedName name="sub_3527" localSheetId="4">'3.6'!$A$16</definedName>
    <definedName name="sub_3527" localSheetId="5">'3.8'!$A$16</definedName>
    <definedName name="sub_3528" localSheetId="3">'3.5'!$A$17</definedName>
    <definedName name="sub_3528" localSheetId="4">'3.6'!$A$17</definedName>
    <definedName name="sub_3528" localSheetId="5">'3.8'!$A$17</definedName>
    <definedName name="sub_3529" localSheetId="3">'3.5'!$A$18</definedName>
    <definedName name="sub_3529" localSheetId="4">'3.6'!$A$18</definedName>
    <definedName name="sub_3529" localSheetId="5">'3.8'!$A$18</definedName>
    <definedName name="sub_353" localSheetId="3">'3.5'!$A$23</definedName>
    <definedName name="sub_353" localSheetId="4">'3.6'!$A$23</definedName>
    <definedName name="sub_353" localSheetId="5">'3.8'!$A$23</definedName>
    <definedName name="sub_354" localSheetId="3">'3.5'!$A$24</definedName>
    <definedName name="sub_354" localSheetId="4">'3.6'!$A$24</definedName>
    <definedName name="sub_354" localSheetId="5">'3.8'!$A$24</definedName>
    <definedName name="sub_355" localSheetId="3">'3.5'!$A$25</definedName>
    <definedName name="sub_355" localSheetId="4">'3.6'!$A$25</definedName>
    <definedName name="sub_355" localSheetId="5">'3.8'!$A$25</definedName>
    <definedName name="sub_356" localSheetId="3">'3.5'!$A$26</definedName>
    <definedName name="sub_356" localSheetId="4">'3.6'!$A$26</definedName>
    <definedName name="sub_356" localSheetId="5">'3.8'!$A$26</definedName>
    <definedName name="sub_357" localSheetId="3">'3.5'!$A$27</definedName>
    <definedName name="sub_357" localSheetId="4">'3.6'!$A$27</definedName>
    <definedName name="sub_357" localSheetId="5">'3.8'!$A$27</definedName>
    <definedName name="sub_358" localSheetId="3">'3.5'!$A$28</definedName>
    <definedName name="sub_358" localSheetId="4">'3.6'!$A$28</definedName>
    <definedName name="sub_358" localSheetId="5">'3.8'!$A$28</definedName>
    <definedName name="sub_359" localSheetId="3">'3.5'!$A$29</definedName>
    <definedName name="sub_359" localSheetId="4">'3.6'!$A$29</definedName>
    <definedName name="sub_359" localSheetId="5">'3.8'!$A$29</definedName>
    <definedName name="sub_36" localSheetId="4">'3.6'!$A$1</definedName>
    <definedName name="sub_36" localSheetId="5">'3.8'!$A$1</definedName>
    <definedName name="sub_361" localSheetId="4">'3.6'!$A$4</definedName>
    <definedName name="sub_361" localSheetId="5">'3.8'!$A$4</definedName>
    <definedName name="sub_362" localSheetId="4">'3.6'!$A$5</definedName>
    <definedName name="sub_362" localSheetId="5">'3.8'!$A$5</definedName>
    <definedName name="sub_3621" localSheetId="4">'3.6'!$A$6</definedName>
    <definedName name="sub_3621" localSheetId="5">'3.8'!$A$6</definedName>
    <definedName name="sub_3622" localSheetId="4">'3.6'!$A$7</definedName>
    <definedName name="sub_3622" localSheetId="5">'3.8'!$A$7</definedName>
    <definedName name="sub_3623" localSheetId="4">'3.6'!$A$8</definedName>
    <definedName name="sub_3623" localSheetId="5">'3.8'!$A$8</definedName>
    <definedName name="sub_3624" localSheetId="4">'3.6'!$A$9</definedName>
    <definedName name="sub_3624" localSheetId="5">'3.8'!$A$9</definedName>
    <definedName name="sub_3625" localSheetId="4">'3.6'!$A$10</definedName>
    <definedName name="sub_3625" localSheetId="5">'3.8'!$A$10</definedName>
    <definedName name="sub_3626" localSheetId="4">'3.6'!$A$11</definedName>
    <definedName name="sub_3626" localSheetId="5">'3.8'!$A$11</definedName>
    <definedName name="sub_3627" localSheetId="4">'3.6'!$A$12</definedName>
    <definedName name="sub_3627" localSheetId="5">'3.8'!$A$12</definedName>
    <definedName name="sub_363" localSheetId="4">'3.6'!$A$13</definedName>
    <definedName name="sub_363" localSheetId="5">'3.8'!$A$13</definedName>
    <definedName name="sub_3631" localSheetId="4">'3.6'!$A$14</definedName>
    <definedName name="sub_3631" localSheetId="5">'3.8'!$A$14</definedName>
    <definedName name="sub_3632" localSheetId="4">'3.6'!$A$15</definedName>
    <definedName name="sub_3632" localSheetId="5">'3.8'!$A$15</definedName>
    <definedName name="sub_3633" localSheetId="4">'3.6'!$A$16</definedName>
    <definedName name="sub_3633" localSheetId="5">'3.8'!$A$16</definedName>
    <definedName name="sub_3634" localSheetId="4">'3.6'!$A$17</definedName>
    <definedName name="sub_3634" localSheetId="5">'3.8'!$A$17</definedName>
    <definedName name="sub_3635" localSheetId="4">'3.6'!$A$18</definedName>
    <definedName name="sub_3635" localSheetId="5">'3.8'!$A$18</definedName>
    <definedName name="sub_3636" localSheetId="4">'3.6'!$A$19</definedName>
    <definedName name="sub_3636" localSheetId="5">'3.8'!$A$19</definedName>
    <definedName name="sub_3637" localSheetId="4">'3.6'!$A$20</definedName>
    <definedName name="sub_3637" localSheetId="5">'3.8'!$A$20</definedName>
    <definedName name="sub_366" localSheetId="4">'3.6'!$A$21</definedName>
    <definedName name="sub_366" localSheetId="5">'3.8'!$A$21</definedName>
    <definedName name="sub_367" localSheetId="4">'3.6'!$A$22</definedName>
    <definedName name="sub_367" localSheetId="5">'3.8'!$A$22</definedName>
  </definedNames>
  <calcPr calcId="145621"/>
</workbook>
</file>

<file path=xl/calcChain.xml><?xml version="1.0" encoding="utf-8"?>
<calcChain xmlns="http://schemas.openxmlformats.org/spreadsheetml/2006/main">
  <c r="B25" i="6" l="1"/>
  <c r="B27" i="6"/>
  <c r="B27" i="1"/>
  <c r="B24" i="1"/>
  <c r="B17" i="6" l="1"/>
  <c r="B15" i="6"/>
  <c r="B13" i="6"/>
  <c r="B10" i="6"/>
  <c r="B14" i="1"/>
  <c r="B12" i="1"/>
  <c r="B10" i="1"/>
  <c r="B8" i="1"/>
  <c r="B5" i="1"/>
  <c r="I29" i="11" l="1"/>
  <c r="H28" i="11"/>
  <c r="H22" i="11" s="1"/>
  <c r="G28" i="11"/>
  <c r="F28" i="11"/>
  <c r="I28" i="11" s="1"/>
  <c r="I22" i="11" s="1"/>
  <c r="I27" i="11"/>
  <c r="I26" i="11"/>
  <c r="I25" i="11"/>
  <c r="I24" i="11"/>
  <c r="I23" i="11"/>
  <c r="G22" i="11"/>
  <c r="I21" i="11"/>
  <c r="I20" i="11"/>
  <c r="I19" i="11"/>
  <c r="I18" i="11"/>
  <c r="I17" i="11"/>
  <c r="I16" i="11"/>
  <c r="I15" i="11"/>
  <c r="I14" i="11"/>
  <c r="H13" i="11"/>
  <c r="G13" i="11"/>
  <c r="I13" i="11" s="1"/>
  <c r="F13" i="11"/>
  <c r="H12" i="11"/>
  <c r="G12" i="11"/>
  <c r="I12" i="11" s="1"/>
  <c r="F12" i="11"/>
  <c r="I11" i="11"/>
  <c r="H10" i="11"/>
  <c r="G10" i="11"/>
  <c r="F10" i="11"/>
  <c r="I10" i="11" s="1"/>
  <c r="I9" i="11"/>
  <c r="I8" i="11"/>
  <c r="H7" i="11"/>
  <c r="G7" i="11"/>
  <c r="F7" i="11"/>
  <c r="I7" i="11" s="1"/>
  <c r="H6" i="11"/>
  <c r="H4" i="11" s="1"/>
  <c r="H30" i="11" s="1"/>
  <c r="G6" i="11"/>
  <c r="F6" i="11"/>
  <c r="I6" i="11" s="1"/>
  <c r="I4" i="11" s="1"/>
  <c r="I30" i="11" s="1"/>
  <c r="I5" i="11"/>
  <c r="G4" i="11"/>
  <c r="G30" i="11" s="1"/>
  <c r="I29" i="10"/>
  <c r="H28" i="10"/>
  <c r="G28" i="10"/>
  <c r="F28" i="10"/>
  <c r="I28" i="10" s="1"/>
  <c r="I27" i="10"/>
  <c r="I26" i="10"/>
  <c r="I25" i="10"/>
  <c r="I24" i="10"/>
  <c r="H23" i="10"/>
  <c r="H22" i="10" s="1"/>
  <c r="F23" i="10"/>
  <c r="I23" i="10" s="1"/>
  <c r="I22" i="10" s="1"/>
  <c r="G22" i="10"/>
  <c r="F22" i="10"/>
  <c r="I21" i="10"/>
  <c r="I20" i="10"/>
  <c r="I19" i="10"/>
  <c r="I18" i="10"/>
  <c r="I17" i="10"/>
  <c r="I16" i="10"/>
  <c r="I15" i="10"/>
  <c r="I14" i="10"/>
  <c r="H13" i="10"/>
  <c r="G13" i="10"/>
  <c r="I13" i="10" s="1"/>
  <c r="F13" i="10"/>
  <c r="H12" i="10"/>
  <c r="G12" i="10"/>
  <c r="I12" i="10" s="1"/>
  <c r="F12" i="10"/>
  <c r="I11" i="10"/>
  <c r="H10" i="10"/>
  <c r="G10" i="10"/>
  <c r="F10" i="10"/>
  <c r="I10" i="10" s="1"/>
  <c r="I9" i="10"/>
  <c r="I8" i="10"/>
  <c r="H7" i="10"/>
  <c r="G7" i="10"/>
  <c r="F7" i="10"/>
  <c r="I7" i="10" s="1"/>
  <c r="H6" i="10"/>
  <c r="H4" i="10" s="1"/>
  <c r="H30" i="10" s="1"/>
  <c r="G6" i="10"/>
  <c r="F6" i="10"/>
  <c r="I6" i="10" s="1"/>
  <c r="I4" i="10" s="1"/>
  <c r="I30" i="10" s="1"/>
  <c r="I5" i="10"/>
  <c r="G4" i="10"/>
  <c r="G30" i="10" s="1"/>
  <c r="B30" i="1" l="1"/>
  <c r="B31" i="1"/>
  <c r="B21" i="1"/>
  <c r="F4" i="11"/>
  <c r="F30" i="11" s="1"/>
  <c r="F22" i="11"/>
  <c r="F4" i="10"/>
  <c r="F30" i="10" s="1"/>
  <c r="B6" i="1" l="1"/>
  <c r="E29" i="11"/>
  <c r="D28" i="11"/>
  <c r="D22" i="11" s="1"/>
  <c r="C28" i="11"/>
  <c r="B28" i="11"/>
  <c r="E28" i="11" s="1"/>
  <c r="E27" i="11"/>
  <c r="E26" i="11"/>
  <c r="E25" i="11"/>
  <c r="E24" i="11"/>
  <c r="B23" i="11"/>
  <c r="E23" i="11" s="1"/>
  <c r="C22" i="11"/>
  <c r="E21" i="11"/>
  <c r="E20" i="11"/>
  <c r="E19" i="11"/>
  <c r="E18" i="11"/>
  <c r="E17" i="11"/>
  <c r="E16" i="11"/>
  <c r="E15" i="11"/>
  <c r="E14" i="11"/>
  <c r="D13" i="11"/>
  <c r="C13" i="11"/>
  <c r="B13" i="11"/>
  <c r="D12" i="11"/>
  <c r="C12" i="11"/>
  <c r="E12" i="11" s="1"/>
  <c r="B12" i="11"/>
  <c r="E11" i="11"/>
  <c r="D10" i="11"/>
  <c r="C10" i="11"/>
  <c r="B10" i="11"/>
  <c r="E9" i="11"/>
  <c r="E8" i="11"/>
  <c r="D7" i="11"/>
  <c r="D4" i="11" s="1"/>
  <c r="C7" i="11"/>
  <c r="B7" i="11"/>
  <c r="E7" i="11" s="1"/>
  <c r="D6" i="11"/>
  <c r="C6" i="11"/>
  <c r="B6" i="11"/>
  <c r="C5" i="11"/>
  <c r="E5" i="11" s="1"/>
  <c r="B4" i="11"/>
  <c r="E29" i="10"/>
  <c r="D28" i="10"/>
  <c r="C28" i="10"/>
  <c r="B28" i="10"/>
  <c r="E28" i="10" s="1"/>
  <c r="E27" i="10"/>
  <c r="E26" i="10"/>
  <c r="E25" i="10"/>
  <c r="E24" i="10"/>
  <c r="D23" i="10"/>
  <c r="B23" i="10"/>
  <c r="E23" i="10" s="1"/>
  <c r="C22" i="10"/>
  <c r="E21" i="10"/>
  <c r="E20" i="10"/>
  <c r="E19" i="10"/>
  <c r="E18" i="10"/>
  <c r="E17" i="10"/>
  <c r="E16" i="10"/>
  <c r="E15" i="10"/>
  <c r="E14" i="10"/>
  <c r="D13" i="10"/>
  <c r="C13" i="10"/>
  <c r="B13" i="10"/>
  <c r="D12" i="10"/>
  <c r="C12" i="10"/>
  <c r="E12" i="10" s="1"/>
  <c r="B12" i="10"/>
  <c r="E11" i="10"/>
  <c r="D10" i="10"/>
  <c r="C10" i="10"/>
  <c r="B10" i="10"/>
  <c r="E9" i="10"/>
  <c r="E8" i="10"/>
  <c r="D7" i="10"/>
  <c r="D4" i="10" s="1"/>
  <c r="C7" i="10"/>
  <c r="B7" i="10"/>
  <c r="E7" i="10" s="1"/>
  <c r="D6" i="10"/>
  <c r="C6" i="10"/>
  <c r="B6" i="10"/>
  <c r="C5" i="10"/>
  <c r="E5" i="10" s="1"/>
  <c r="B4" i="10"/>
  <c r="E22" i="10" l="1"/>
  <c r="D30" i="11"/>
  <c r="E22" i="11"/>
  <c r="E6" i="10"/>
  <c r="E10" i="10"/>
  <c r="E13" i="10"/>
  <c r="D22" i="10"/>
  <c r="D30" i="10" s="1"/>
  <c r="E6" i="11"/>
  <c r="E10" i="11"/>
  <c r="E13" i="11"/>
  <c r="B22" i="11"/>
  <c r="B30" i="11" s="1"/>
  <c r="C4" i="11"/>
  <c r="C30" i="11" s="1"/>
  <c r="C4" i="10"/>
  <c r="C30" i="10" s="1"/>
  <c r="B22" i="10"/>
  <c r="B30" i="10" s="1"/>
  <c r="E4" i="11" l="1"/>
  <c r="E30" i="11" s="1"/>
  <c r="E4" i="10"/>
  <c r="E30" i="10" s="1"/>
  <c r="B7" i="6"/>
</calcChain>
</file>

<file path=xl/comments1.xml><?xml version="1.0" encoding="utf-8"?>
<comments xmlns="http://schemas.openxmlformats.org/spreadsheetml/2006/main">
  <authors>
    <author>Автор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сч 90 с НДС</t>
        </r>
      </text>
    </comment>
    <comment ref="A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отпущено по приборам учета не равно реализовано</t>
        </r>
      </text>
    </comment>
    <comment ref="B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Только прочим потребителям, б/учета населения</t>
        </r>
      </text>
    </commen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численность работников котельной</t>
        </r>
      </text>
    </comment>
    <comment ref="A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Документы/управление закупками/поступление товаров и услуг/организация НЭСК/участок добычи воды</t>
        </r>
      </text>
    </comment>
    <comment ref="B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 учетом потерь по эл/эн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отпущено по приборам учета не равно реализовано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численность работников котельной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РСУ+РМУ</t>
        </r>
      </text>
    </comment>
    <comment ref="A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подсобный корпус</t>
        </r>
      </text>
    </comment>
    <comment ref="A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производственный участок №1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административный корпус №1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административный корпус №2</t>
        </r>
      </text>
    </comment>
  </commentList>
</comments>
</file>

<file path=xl/sharedStrings.xml><?xml version="1.0" encoding="utf-8"?>
<sst xmlns="http://schemas.openxmlformats.org/spreadsheetml/2006/main" count="411" uniqueCount="175">
  <si>
    <t>Форма 2.7. Информация</t>
  </si>
  <si>
    <t>об основных показателях финансово-хозяйственной деятельности регулируемой организации</t>
  </si>
  <si>
    <r>
      <t>2)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Себестоимость производимых товаров (оказываемых услуг) по регулируемому виду деятельности (тыс. рублей), включая:</t>
    </r>
  </si>
  <si>
    <t>а) расходы на оплату холодной воды, приобретаемой у других организаций для последующей подачи потребителям</t>
  </si>
  <si>
    <t xml:space="preserve">б) расходы на покупаемую электрическую энергию (мощность), используемую в технологическом процессе (с указанием средневзвешенной стоимости 1 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</si>
  <si>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</si>
  <si>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</si>
  <si>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</si>
  <si>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</si>
  <si>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</si>
  <si>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</t>
  </si>
  <si>
    <t>и) общехозяйственные расходы, в том числе отнесенные к ним расходы на текущий и капитальный ремонт</t>
  </si>
  <si>
    <t>к)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</si>
  <si>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</si>
  <si>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r>
      <t xml:space="preserve"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</t>
    </r>
    <r>
      <rPr>
        <sz val="12"/>
        <rFont val="Times New Roman"/>
        <family val="1"/>
        <charset val="204"/>
      </rPr>
      <t>постановлением</t>
    </r>
    <r>
      <rPr>
        <sz val="12"/>
        <color theme="1"/>
        <rFont val="Times New Roman"/>
        <family val="1"/>
        <charset val="204"/>
      </rPr>
      <t xml:space="preserve"> Правительства Российской Федерации от 13.05.2013 N 406 (Официальный интернет-портал правовой информации </t>
    </r>
    <r>
      <rPr>
        <sz val="12"/>
        <rFont val="Times New Roman"/>
        <family val="1"/>
        <charset val="204"/>
      </rPr>
      <t>http://www.pravo.gov.ru</t>
    </r>
    <r>
      <rPr>
        <sz val="12"/>
        <color theme="1"/>
        <rFont val="Times New Roman"/>
        <family val="1"/>
        <charset val="204"/>
      </rPr>
      <t>, 15.05.2013)</t>
    </r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</si>
  <si>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</si>
  <si>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</si>
  <si>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 Валовая прибыль (убытки) от продажи товаров и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</si>
  <si>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</si>
  <si>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-</t>
  </si>
  <si>
    <t>7) Объем поднятой воды (тыс. куб. метров)</t>
  </si>
  <si>
    <t>8) Объем покупной воды (тыс. куб. метров)</t>
  </si>
  <si>
    <t>9) Объем воды, пропущенной через очистные сооружения</t>
  </si>
  <si>
    <t>10) Объем отпущенной потребителям воды, определенный по приборам учета и расчетным путем (по нормативам потребления) (тыс. куб. метров)</t>
  </si>
  <si>
    <t>11) Потери воды в сетях (процентов)</t>
  </si>
  <si>
    <t>12) Среднесписочная численность основного производственного персонала (человек)</t>
  </si>
  <si>
    <t>14) Расход воды на собственные (в том числе хозяйственно-бытовые) нужды (процент объема отпуска воды потребителям)</t>
  </si>
  <si>
    <t>15) Показатель использования производственных объектов (по объему перекачки) по отношению к пиковому дню отчетного года (процентов)</t>
  </si>
  <si>
    <t>Форма 2.8. Информация</t>
  </si>
  <si>
    <t>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</si>
  <si>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1) Количество аварий на системах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</si>
  <si>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</si>
  <si>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>3) Доля потребителей, затронутых ограничениями подачи холодной воды (процентов)</t>
  </si>
  <si>
    <t>4) Общее количество проведенных проб качества воды по следующим показателям:</t>
  </si>
  <si>
    <t>а) мутность</t>
  </si>
  <si>
    <t>б) цветность</t>
  </si>
  <si>
    <t>в) хлор остаточный общий, в том числе хлор остаточный связанный и хлор остаточный свободный</t>
  </si>
  <si>
    <t>г) общие колиформные бактерии</t>
  </si>
  <si>
    <t>д) термотолерантные колиформные бактерии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</si>
  <si>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</si>
  <si>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</si>
  <si>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продолжительность рассмотрения заявлений о подключении (дней)</t>
  </si>
  <si>
    <t>Форма 2.10. Информация</t>
  </si>
  <si>
    <t>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</si>
  <si>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Количество поданных заявок о подключении к системе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</si>
  <si>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</si>
  <si>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</si>
  <si>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в течение квартала</t>
  </si>
  <si>
    <t>Форма 3.5. Информация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</si>
  <si>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</si>
  <si>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оплату услуг по приему, транспортировке и очистке сточных вод другими организациями</t>
  </si>
  <si>
    <t>), и объем приобретаемой электрической энергии</t>
  </si>
  <si>
    <t>к)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</si>
  <si>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N 406 (Официальный интернет-портал правовой информации http://www.pravo.qov.ru, 15.05.2013)</t>
  </si>
  <si>
    <t>5) Валовая прибыль от продажи товаров и услуг по регулируемому виду деятельности (тыс. рублей)</t>
  </si>
  <si>
    <t>7) Объем сточных вод, принятых от потребителей оказываемых услуг (тыс. куб. метров)</t>
  </si>
  <si>
    <t>8) Объем сточных вод, принятых от других регулируемых организаций в сфере водоотведения и (или) очистки сточных вод (тыс. куб. метров)</t>
  </si>
  <si>
    <t>9) Объем сточных вод, пропущенных через очистные сооружения (тыс. куб. метров)</t>
  </si>
  <si>
    <t>10) Среднесписочная численность основного производственного персонала (человек)</t>
  </si>
  <si>
    <t>об основных показателях финансово-хозяйственной деятельности регулируемой организации  в сфере водоотведения</t>
  </si>
  <si>
    <t>Форма 3.6. Информация</t>
  </si>
  <si>
    <t xml:space="preserve">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</si>
  <si>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1) Показатели аварийности на канализационных сетях и количество засоров для самотечных сетей (единиц на километр)</t>
  </si>
  <si>
    <t>2) Общее количество проведенных проб на сбросе очищенных (частично очищенных) сточных вод по следующим показателям: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</si>
  <si>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</si>
  <si>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</si>
  <si>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</si>
  <si>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</si>
  <si>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</si>
  <si>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</si>
  <si>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</si>
  <si>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t>3) 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</si>
  <si>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д) фосфаты (по Р)</t>
  </si>
  <si>
    <t>Форма 3.8. Информация</t>
  </si>
  <si>
    <t>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</si>
  <si>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Количество поданных заявок на подключение к централизованной системе водоотведения</t>
  </si>
  <si>
    <t>Количество исполненных заявок на подключение к центральной системе водоотведения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</si>
  <si>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</si>
  <si>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</si>
  <si>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1 ), и объем приобретения электрической энергии</t>
  </si>
  <si>
    <t>13) Удельный расход электроэнергии на подачу воды в сеть (тыс.  или тыс. куб. метров)</t>
  </si>
  <si>
    <t>Оборотно-сальдовая ведомость по счету 90</t>
  </si>
  <si>
    <t>Детализация по субсчетам, субконто: Номенклатурные группы</t>
  </si>
  <si>
    <t>Выводимые данные: сумма</t>
  </si>
  <si>
    <t>Субконто</t>
  </si>
  <si>
    <t>Сальдо на начало периода</t>
  </si>
  <si>
    <t>Оборот за период</t>
  </si>
  <si>
    <t>Сальдо на конец периода</t>
  </si>
  <si>
    <t>Дебет</t>
  </si>
  <si>
    <t>Кредит</t>
  </si>
  <si>
    <t>90.01</t>
  </si>
  <si>
    <t>90.01.1</t>
  </si>
  <si>
    <t>Услуги по отпуску воды на сторону (ОПХ)</t>
  </si>
  <si>
    <t>Услуги по сбросу воды на сторону</t>
  </si>
  <si>
    <t>90.02</t>
  </si>
  <si>
    <t>90.02.1</t>
  </si>
  <si>
    <t>90.03</t>
  </si>
  <si>
    <t>90.07</t>
  </si>
  <si>
    <t>90.07.1</t>
  </si>
  <si>
    <t>90.08</t>
  </si>
  <si>
    <t>90.08.1</t>
  </si>
  <si>
    <t>Итого</t>
  </si>
  <si>
    <t>Ответственный:</t>
  </si>
  <si>
    <t>(должность)</t>
  </si>
  <si>
    <t>(подпись)</t>
  </si>
  <si>
    <t>(расшифровка подписи)</t>
  </si>
  <si>
    <t>Оборотно-сальдовая ведомость по счету 23</t>
  </si>
  <si>
    <t>Детализация по субсчетам, субконто: Подразделения, Статьи затрат</t>
  </si>
  <si>
    <t>Отбор: Подразделения в списке по иерархии Участок сброса воды (сч.23); Участок добычи воды (сч.23)</t>
  </si>
  <si>
    <t>23.01</t>
  </si>
  <si>
    <t>Участок добычи воды (сч.23)</t>
  </si>
  <si>
    <t>Амортизация прочего оборудования (ПР)</t>
  </si>
  <si>
    <t>Заработная плата вспомогательного персонала (ПР)</t>
  </si>
  <si>
    <t>Отчисления от фонда оплаты труда вспомогательного персонала (ПР)</t>
  </si>
  <si>
    <t>Оценочные обяз.по оплате отпусков (оплата труда) (ПР)</t>
  </si>
  <si>
    <t>Оценочные обяз.по оплате отпусков (страх.взносы) (ПР)</t>
  </si>
  <si>
    <t>Потери по передаче Электроэнерг на прочие произв. цели (ПР)</t>
  </si>
  <si>
    <t>Услуги котельной отопление (ПР)</t>
  </si>
  <si>
    <t>Услуги ремонтно-энергетического участка (ПР)</t>
  </si>
  <si>
    <t>Экспертизы, исследования, проведение анализов (ПР)</t>
  </si>
  <si>
    <t>Электроэнергия на прочие произв. цели (ПР)</t>
  </si>
  <si>
    <t>Участок сброса воды (сч.23)</t>
  </si>
  <si>
    <t>Водоотведение на прочие произв. цели (ПР)</t>
  </si>
  <si>
    <t>Дератизация и газация ст.254.п.1.пп 6 (ПР)</t>
  </si>
  <si>
    <t>Объем добычи воды из собственной скважины, м3</t>
  </si>
  <si>
    <t>Подразделение</t>
  </si>
  <si>
    <t>1 кв</t>
  </si>
  <si>
    <t>ИТОГО собственные нужды:</t>
  </si>
  <si>
    <t>Автотранспортный участок</t>
  </si>
  <si>
    <t>Ремонтно-строительный цех</t>
  </si>
  <si>
    <t>Душевая</t>
  </si>
  <si>
    <t>Ремонтно-энергетический участок</t>
  </si>
  <si>
    <t>Котельная</t>
  </si>
  <si>
    <t>Общежитие</t>
  </si>
  <si>
    <t>Здравпункт</t>
  </si>
  <si>
    <t>Мукомольный цех</t>
  </si>
  <si>
    <t>Склад готовой продукции</t>
  </si>
  <si>
    <t>Элеватор</t>
  </si>
  <si>
    <t>Производственно-технологическая лаборатория</t>
  </si>
  <si>
    <t>Цех по переработке риса в крупу</t>
  </si>
  <si>
    <t>Отдел внутр-го порядка и противопожарной безопасности</t>
  </si>
  <si>
    <t>Административный департамент</t>
  </si>
  <si>
    <t>ИЛК(Административное здание №1)</t>
  </si>
  <si>
    <t>Магазин ОАО "Краснодарзернопродукт"</t>
  </si>
  <si>
    <t>ИТОГО населению:</t>
  </si>
  <si>
    <t>ИТОГО прочим:</t>
  </si>
  <si>
    <t>Премьера КМТО</t>
  </si>
  <si>
    <t>ВНИИЗ КФ Россельхозакадемии</t>
  </si>
  <si>
    <t>ООО Кубаньзернопродукт"</t>
  </si>
  <si>
    <t>Центр оценки качества зерна</t>
  </si>
  <si>
    <t>Лавров А.В.</t>
  </si>
  <si>
    <t>Анприс ООО</t>
  </si>
  <si>
    <t>Арендаторы</t>
  </si>
  <si>
    <t>ВСЕГО:</t>
  </si>
  <si>
    <t>Источники информации:</t>
  </si>
  <si>
    <t>УУ КЗП/Документы/Управление производством/Отчет производства за смену/Подразделение - участок добычи воды - берем распределение на собственные нужды (получатели, вывести список)</t>
  </si>
  <si>
    <t>Запрос от Николаевой Олеси - берем информацию по населению и прочим</t>
  </si>
  <si>
    <t>Объем сброса воды (канализация), м3</t>
  </si>
  <si>
    <t>УУ КЗП/Документы/Управление производством/Отчет производства за смену/Подразделение - участок сброса воды - берем распределение на собственные нужды (получатели, вывести список)</t>
  </si>
  <si>
    <t xml:space="preserve"> в сфере водоснабжения</t>
  </si>
  <si>
    <t>Публичное акционерное общество "Краснодарзернопродукт"</t>
  </si>
  <si>
    <t>Период: 1 квартал 2015 г.</t>
  </si>
  <si>
    <t>Отбор: Номенклатурные группы в списке по иерархии Услуги по отпуску воды на сторону (ОПХ); Услуги по сбросу воды на сторону</t>
  </si>
  <si>
    <t>Водный налог (ПР)</t>
  </si>
  <si>
    <t>Горюче-смазочные материалы (Бензин,диз.топ.,газ)(ПР)</t>
  </si>
  <si>
    <t>Техобслуживание и ремонт оборудования сторон.орг. ст254 п.1пп6(ПР)</t>
  </si>
  <si>
    <t>Услуги автотранспортного участка (ПР)</t>
  </si>
  <si>
    <t>Услуги ремонтно-строительного цеха (ПР)</t>
  </si>
  <si>
    <r>
      <t>1)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Выручка с НДС от регулируемой деятельности (тыс. рублей) с разбивкой по видам деятельности за 2 квартал 2015 г</t>
    </r>
  </si>
  <si>
    <t>1) Выручка с НДС от регулируемой деятельности (тыс. рублей) с разбивкой по видам деятельности за 2 квартал 2015 г</t>
  </si>
  <si>
    <t>Период: 2 квартал 2015 г.</t>
  </si>
  <si>
    <t>Отбор: Номенклатурные группы в списке Услуги по отпуску воды на сторону (ОПХ); Услуги по сбросу воды на сторону</t>
  </si>
  <si>
    <t>2 кв</t>
  </si>
  <si>
    <t>Период: 3 квартал 2015 г.</t>
  </si>
  <si>
    <t>3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</si>
</sst>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_-* #,##0.0_р_._-;\-* #,##0.0_р_._-;_-* &quot;-&quot;??_р_._-;_-@_-"/>
    <numFmt numFmtId="167" formatCode="_-* #,##0_р_._-;\-* #,##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rgb="FF26282F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4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</cellStyleXfs>
  <cellXfs count="108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4" fillId="0" borderId="0" xfId="2" applyNumberFormat="1" applyFont="1" applyAlignment="1">
      <alignment horizontal="center"/>
    </xf>
    <xf numFmtId="0" fontId="13" fillId="0" borderId="0" xfId="2"/>
    <xf numFmtId="0" fontId="15" fillId="0" borderId="0" xfId="2" applyNumberFormat="1" applyFont="1" applyAlignment="1">
      <alignment horizontal="center"/>
    </xf>
    <xf numFmtId="0" fontId="16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6" fillId="0" borderId="0" xfId="2" applyNumberFormat="1" applyFont="1" applyAlignment="1">
      <alignment horizontal="center" wrapText="1"/>
    </xf>
    <xf numFmtId="0" fontId="16" fillId="0" borderId="0" xfId="2" applyNumberFormat="1" applyFont="1" applyAlignment="1">
      <alignment horizontal="center"/>
    </xf>
    <xf numFmtId="0" fontId="16" fillId="0" borderId="0" xfId="2" applyNumberFormat="1" applyFont="1" applyAlignment="1">
      <alignment horizontal="left"/>
    </xf>
    <xf numFmtId="0" fontId="13" fillId="0" borderId="21" xfId="2" applyFont="1" applyBorder="1" applyAlignment="1">
      <alignment horizontal="left"/>
    </xf>
    <xf numFmtId="0" fontId="13" fillId="0" borderId="0" xfId="2" applyAlignment="1">
      <alignment horizontal="left"/>
    </xf>
    <xf numFmtId="0" fontId="13" fillId="0" borderId="22" xfId="2" applyNumberFormat="1" applyFont="1" applyBorder="1" applyAlignment="1">
      <alignment horizontal="center" vertical="top" wrapText="1"/>
    </xf>
    <xf numFmtId="0" fontId="13" fillId="0" borderId="22" xfId="2" applyFont="1" applyBorder="1" applyAlignment="1">
      <alignment horizontal="left"/>
    </xf>
    <xf numFmtId="0" fontId="13" fillId="0" borderId="0" xfId="2" applyNumberFormat="1" applyAlignment="1">
      <alignment horizontal="center" vertical="top"/>
    </xf>
    <xf numFmtId="0" fontId="14" fillId="0" borderId="0" xfId="3" applyNumberFormat="1" applyFont="1" applyAlignment="1">
      <alignment horizontal="center"/>
    </xf>
    <xf numFmtId="0" fontId="15" fillId="0" borderId="0" xfId="3" applyNumberFormat="1" applyFont="1" applyAlignment="1">
      <alignment horizontal="left"/>
    </xf>
    <xf numFmtId="0" fontId="13" fillId="0" borderId="0" xfId="3"/>
    <xf numFmtId="0" fontId="15" fillId="0" borderId="0" xfId="3" applyNumberFormat="1" applyFont="1" applyAlignment="1">
      <alignment horizontal="center"/>
    </xf>
    <xf numFmtId="0" fontId="16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6" fillId="0" borderId="0" xfId="3" applyNumberFormat="1" applyFont="1" applyAlignment="1">
      <alignment horizontal="center" wrapText="1"/>
    </xf>
    <xf numFmtId="0" fontId="16" fillId="0" borderId="7" xfId="3" applyNumberFormat="1" applyFont="1" applyBorder="1" applyAlignment="1">
      <alignment horizontal="center" vertical="center" wrapText="1"/>
    </xf>
    <xf numFmtId="0" fontId="16" fillId="0" borderId="0" xfId="3" applyNumberFormat="1" applyFont="1" applyAlignment="1">
      <alignment horizontal="center"/>
    </xf>
    <xf numFmtId="0" fontId="16" fillId="0" borderId="11" xfId="3" applyNumberFormat="1" applyFont="1" applyBorder="1" applyAlignment="1">
      <alignment horizontal="center"/>
    </xf>
    <xf numFmtId="0" fontId="16" fillId="0" borderId="12" xfId="3" applyNumberFormat="1" applyFont="1" applyBorder="1" applyAlignment="1">
      <alignment horizontal="center"/>
    </xf>
    <xf numFmtId="0" fontId="16" fillId="0" borderId="13" xfId="3" applyNumberFormat="1" applyFont="1" applyBorder="1" applyAlignment="1">
      <alignment horizontal="center"/>
    </xf>
    <xf numFmtId="0" fontId="16" fillId="0" borderId="14" xfId="3" applyNumberFormat="1" applyFont="1" applyBorder="1" applyAlignment="1">
      <alignment horizontal="center"/>
    </xf>
    <xf numFmtId="0" fontId="16" fillId="0" borderId="0" xfId="3" applyNumberFormat="1" applyFont="1" applyAlignment="1">
      <alignment horizontal="left"/>
    </xf>
    <xf numFmtId="0" fontId="15" fillId="0" borderId="15" xfId="3" applyNumberFormat="1" applyFont="1" applyBorder="1" applyAlignment="1">
      <alignment horizontal="left" vertical="top" wrapText="1"/>
    </xf>
    <xf numFmtId="0" fontId="16" fillId="0" borderId="16" xfId="3" applyNumberFormat="1" applyFont="1" applyBorder="1" applyAlignment="1">
      <alignment horizontal="right" vertical="top" wrapText="1"/>
    </xf>
    <xf numFmtId="164" fontId="16" fillId="0" borderId="16" xfId="3" applyNumberFormat="1" applyFont="1" applyBorder="1" applyAlignment="1">
      <alignment horizontal="right" vertical="top" wrapText="1"/>
    </xf>
    <xf numFmtId="165" fontId="16" fillId="0" borderId="16" xfId="3" applyNumberFormat="1" applyFont="1" applyBorder="1" applyAlignment="1">
      <alignment horizontal="right" vertical="top" wrapText="1"/>
    </xf>
    <xf numFmtId="0" fontId="16" fillId="0" borderId="17" xfId="3" applyNumberFormat="1" applyFont="1" applyBorder="1" applyAlignment="1">
      <alignment horizontal="right" vertical="top" wrapText="1"/>
    </xf>
    <xf numFmtId="0" fontId="15" fillId="0" borderId="18" xfId="3" applyNumberFormat="1" applyFont="1" applyBorder="1" applyAlignment="1">
      <alignment horizontal="left" vertical="top"/>
    </xf>
    <xf numFmtId="0" fontId="16" fillId="0" borderId="19" xfId="3" applyNumberFormat="1" applyFont="1" applyBorder="1" applyAlignment="1">
      <alignment horizontal="right" vertical="top" wrapText="1"/>
    </xf>
    <xf numFmtId="164" fontId="16" fillId="0" borderId="19" xfId="3" applyNumberFormat="1" applyFont="1" applyBorder="1" applyAlignment="1">
      <alignment horizontal="right" vertical="top" wrapText="1"/>
    </xf>
    <xf numFmtId="0" fontId="16" fillId="0" borderId="20" xfId="3" applyNumberFormat="1" applyFont="1" applyBorder="1" applyAlignment="1">
      <alignment horizontal="right" vertical="top" wrapText="1"/>
    </xf>
    <xf numFmtId="0" fontId="1" fillId="0" borderId="0" xfId="4"/>
    <xf numFmtId="0" fontId="1" fillId="0" borderId="23" xfId="4" applyBorder="1"/>
    <xf numFmtId="0" fontId="1" fillId="2" borderId="23" xfId="4" applyFill="1" applyBorder="1"/>
    <xf numFmtId="0" fontId="1" fillId="3" borderId="23" xfId="4" applyFill="1" applyBorder="1"/>
    <xf numFmtId="167" fontId="4" fillId="0" borderId="2" xfId="1" applyNumberFormat="1" applyFont="1" applyFill="1" applyBorder="1" applyAlignment="1">
      <alignment horizontal="justify" vertical="center" wrapText="1"/>
    </xf>
    <xf numFmtId="167" fontId="4" fillId="0" borderId="4" xfId="1" applyNumberFormat="1" applyFont="1" applyFill="1" applyBorder="1" applyAlignment="1">
      <alignment horizontal="justify" vertical="center" wrapText="1"/>
    </xf>
    <xf numFmtId="167" fontId="4" fillId="0" borderId="6" xfId="1" applyNumberFormat="1" applyFont="1" applyBorder="1" applyAlignment="1">
      <alignment horizontal="justify" vertical="center" wrapText="1"/>
    </xf>
    <xf numFmtId="43" fontId="6" fillId="0" borderId="4" xfId="1" applyFont="1" applyFill="1" applyBorder="1" applyAlignment="1">
      <alignment horizontal="justify" vertical="center" wrapText="1"/>
    </xf>
    <xf numFmtId="43" fontId="6" fillId="0" borderId="6" xfId="1" applyFont="1" applyFill="1" applyBorder="1" applyAlignment="1">
      <alignment horizontal="justify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6" fontId="6" fillId="0" borderId="2" xfId="1" applyNumberFormat="1" applyFont="1" applyFill="1" applyBorder="1" applyAlignment="1">
      <alignment horizontal="center" vertical="center" wrapText="1"/>
    </xf>
    <xf numFmtId="166" fontId="6" fillId="0" borderId="4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 wrapText="1"/>
    </xf>
    <xf numFmtId="0" fontId="16" fillId="0" borderId="15" xfId="3" applyNumberFormat="1" applyFont="1" applyBorder="1" applyAlignment="1">
      <alignment horizontal="left" vertical="top" wrapText="1" indent="1"/>
    </xf>
    <xf numFmtId="0" fontId="16" fillId="0" borderId="15" xfId="3" applyNumberFormat="1" applyFont="1" applyBorder="1" applyAlignment="1">
      <alignment horizontal="left" vertical="top" wrapText="1" indent="2"/>
    </xf>
    <xf numFmtId="17" fontId="0" fillId="0" borderId="23" xfId="0" applyNumberFormat="1" applyBorder="1" applyAlignment="1">
      <alignment horizontal="center"/>
    </xf>
    <xf numFmtId="17" fontId="0" fillId="2" borderId="23" xfId="0" applyNumberFormat="1" applyFill="1" applyBorder="1" applyAlignment="1">
      <alignment horizontal="center"/>
    </xf>
    <xf numFmtId="0" fontId="0" fillId="2" borderId="23" xfId="0" applyFill="1" applyBorder="1"/>
    <xf numFmtId="0" fontId="0" fillId="0" borderId="23" xfId="0" applyFill="1" applyBorder="1"/>
    <xf numFmtId="0" fontId="0" fillId="0" borderId="23" xfId="0" applyBorder="1"/>
    <xf numFmtId="0" fontId="0" fillId="3" borderId="23" xfId="0" applyFill="1" applyBorder="1"/>
    <xf numFmtId="43" fontId="4" fillId="0" borderId="4" xfId="1" applyNumberFormat="1" applyFont="1" applyFill="1" applyBorder="1" applyAlignment="1">
      <alignment horizontal="justify" vertical="center" wrapText="1"/>
    </xf>
    <xf numFmtId="43" fontId="4" fillId="0" borderId="6" xfId="1" applyNumberFormat="1" applyFont="1" applyFill="1" applyBorder="1" applyAlignment="1">
      <alignment horizontal="justify" vertical="center" wrapText="1"/>
    </xf>
    <xf numFmtId="166" fontId="4" fillId="0" borderId="4" xfId="1" applyNumberFormat="1" applyFont="1" applyFill="1" applyBorder="1" applyAlignment="1">
      <alignment horizontal="justify" vertical="center" wrapText="1"/>
    </xf>
    <xf numFmtId="166" fontId="4" fillId="0" borderId="2" xfId="1" applyNumberFormat="1" applyFont="1" applyFill="1" applyBorder="1" applyAlignment="1">
      <alignment horizontal="justify" vertical="center" wrapText="1"/>
    </xf>
    <xf numFmtId="0" fontId="16" fillId="2" borderId="15" xfId="3" applyNumberFormat="1" applyFont="1" applyFill="1" applyBorder="1" applyAlignment="1">
      <alignment horizontal="left" vertical="top" wrapText="1" indent="1"/>
    </xf>
    <xf numFmtId="0" fontId="16" fillId="2" borderId="16" xfId="3" applyNumberFormat="1" applyFont="1" applyFill="1" applyBorder="1" applyAlignment="1">
      <alignment horizontal="right" vertical="top" wrapText="1"/>
    </xf>
    <xf numFmtId="164" fontId="16" fillId="2" borderId="16" xfId="3" applyNumberFormat="1" applyFont="1" applyFill="1" applyBorder="1" applyAlignment="1">
      <alignment horizontal="right" vertical="top" wrapText="1"/>
    </xf>
    <xf numFmtId="0" fontId="16" fillId="2" borderId="17" xfId="3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16" fillId="4" borderId="15" xfId="3" applyNumberFormat="1" applyFont="1" applyFill="1" applyBorder="1" applyAlignment="1">
      <alignment horizontal="left" vertical="top" wrapText="1" indent="2"/>
    </xf>
    <xf numFmtId="0" fontId="16" fillId="4" borderId="16" xfId="3" applyNumberFormat="1" applyFont="1" applyFill="1" applyBorder="1" applyAlignment="1">
      <alignment horizontal="right" vertical="top" wrapText="1"/>
    </xf>
    <xf numFmtId="164" fontId="16" fillId="4" borderId="16" xfId="3" applyNumberFormat="1" applyFont="1" applyFill="1" applyBorder="1" applyAlignment="1">
      <alignment horizontal="right" vertical="top" wrapText="1"/>
    </xf>
    <xf numFmtId="0" fontId="16" fillId="4" borderId="17" xfId="3" applyNumberFormat="1" applyFont="1" applyFill="1" applyBorder="1" applyAlignment="1">
      <alignment horizontal="right" vertical="top" wrapText="1"/>
    </xf>
    <xf numFmtId="165" fontId="16" fillId="4" borderId="16" xfId="3" applyNumberFormat="1" applyFont="1" applyFill="1" applyBorder="1" applyAlignment="1">
      <alignment horizontal="right" vertical="top" wrapText="1"/>
    </xf>
    <xf numFmtId="166" fontId="0" fillId="0" borderId="0" xfId="0" applyNumberFormat="1"/>
    <xf numFmtId="0" fontId="4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3" fontId="6" fillId="0" borderId="2" xfId="1" applyFont="1" applyFill="1" applyBorder="1" applyAlignment="1">
      <alignment horizontal="justify" vertical="center" wrapText="1"/>
    </xf>
    <xf numFmtId="43" fontId="6" fillId="0" borderId="4" xfId="1" applyFont="1" applyFill="1" applyBorder="1" applyAlignment="1">
      <alignment horizontal="justify" vertical="center" wrapText="1"/>
    </xf>
    <xf numFmtId="166" fontId="4" fillId="0" borderId="4" xfId="1" applyNumberFormat="1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justify" vertical="center" wrapText="1"/>
    </xf>
    <xf numFmtId="0" fontId="16" fillId="0" borderId="0" xfId="3" applyNumberFormat="1" applyFont="1" applyAlignment="1">
      <alignment horizontal="left" wrapText="1"/>
    </xf>
    <xf numFmtId="0" fontId="16" fillId="0" borderId="0" xfId="3" applyFont="1" applyAlignment="1">
      <alignment horizontal="left"/>
    </xf>
    <xf numFmtId="0" fontId="16" fillId="0" borderId="8" xfId="3" applyNumberFormat="1" applyFont="1" applyBorder="1" applyAlignment="1">
      <alignment horizontal="center" vertical="center" wrapText="1"/>
    </xf>
    <xf numFmtId="0" fontId="16" fillId="0" borderId="9" xfId="3" applyNumberFormat="1" applyFont="1" applyBorder="1" applyAlignment="1">
      <alignment horizontal="center" vertical="center" wrapText="1"/>
    </xf>
    <xf numFmtId="0" fontId="16" fillId="0" borderId="10" xfId="3" applyNumberFormat="1" applyFont="1" applyBorder="1" applyAlignment="1">
      <alignment horizontal="center" vertical="center" wrapText="1"/>
    </xf>
    <xf numFmtId="0" fontId="14" fillId="0" borderId="0" xfId="3" applyNumberFormat="1" applyFont="1" applyAlignment="1">
      <alignment horizontal="center"/>
    </xf>
    <xf numFmtId="0" fontId="15" fillId="0" borderId="0" xfId="3" applyNumberFormat="1" applyFont="1" applyAlignment="1">
      <alignment horizontal="center"/>
    </xf>
    <xf numFmtId="0" fontId="17" fillId="0" borderId="0" xfId="4" applyFont="1" applyAlignment="1">
      <alignment horizontal="center"/>
    </xf>
    <xf numFmtId="0" fontId="16" fillId="0" borderId="15" xfId="3" applyNumberFormat="1" applyFont="1" applyFill="1" applyBorder="1" applyAlignment="1">
      <alignment horizontal="left" vertical="top" wrapText="1" indent="2"/>
    </xf>
    <xf numFmtId="0" fontId="16" fillId="0" borderId="16" xfId="3" applyNumberFormat="1" applyFont="1" applyFill="1" applyBorder="1" applyAlignment="1">
      <alignment horizontal="right" vertical="top" wrapText="1"/>
    </xf>
    <xf numFmtId="164" fontId="16" fillId="0" borderId="16" xfId="3" applyNumberFormat="1" applyFont="1" applyFill="1" applyBorder="1" applyAlignment="1">
      <alignment horizontal="right" vertical="top" wrapText="1"/>
    </xf>
    <xf numFmtId="165" fontId="16" fillId="0" borderId="16" xfId="3" applyNumberFormat="1" applyFont="1" applyFill="1" applyBorder="1" applyAlignment="1">
      <alignment horizontal="right" vertical="top" wrapText="1"/>
    </xf>
    <xf numFmtId="166" fontId="4" fillId="0" borderId="6" xfId="1" applyNumberFormat="1" applyFont="1" applyFill="1" applyBorder="1" applyAlignment="1">
      <alignment horizontal="justify" vertical="center" wrapText="1"/>
    </xf>
  </cellXfs>
  <cellStyles count="5">
    <cellStyle name="Обычный" xfId="0" builtinId="0"/>
    <cellStyle name="Обычный 2" xfId="4"/>
    <cellStyle name="Обычный_Лист1" xfId="2"/>
    <cellStyle name="Обычный_Первичка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topLeftCell="A16" workbookViewId="0">
      <selection sqref="A1:B32"/>
    </sheetView>
  </sheetViews>
  <sheetFormatPr defaultRowHeight="15" x14ac:dyDescent="0.25"/>
  <cols>
    <col min="1" max="1" width="92.140625" customWidth="1"/>
    <col min="2" max="2" width="21.140625" customWidth="1"/>
  </cols>
  <sheetData>
    <row r="1" spans="1:2" ht="18.75" x14ac:dyDescent="0.25">
      <c r="A1" s="86" t="s">
        <v>0</v>
      </c>
      <c r="B1" s="86"/>
    </row>
    <row r="2" spans="1:2" ht="18.75" x14ac:dyDescent="0.25">
      <c r="A2" s="86" t="s">
        <v>1</v>
      </c>
      <c r="B2" s="86"/>
    </row>
    <row r="3" spans="1:2" ht="18.75" x14ac:dyDescent="0.25">
      <c r="A3" s="86" t="s">
        <v>159</v>
      </c>
      <c r="B3" s="86"/>
    </row>
    <row r="4" spans="1:2" ht="19.5" thickBot="1" x14ac:dyDescent="0.3">
      <c r="A4" s="1"/>
    </row>
    <row r="5" spans="1:2" ht="34.5" customHeight="1" x14ac:dyDescent="0.25">
      <c r="A5" s="2" t="s">
        <v>168</v>
      </c>
      <c r="B5" s="73">
        <f>(Первичка!F151)/1000</f>
        <v>53.276849999999996</v>
      </c>
    </row>
    <row r="6" spans="1:2" ht="31.5" x14ac:dyDescent="0.25">
      <c r="A6" s="3" t="s">
        <v>2</v>
      </c>
      <c r="B6" s="72">
        <f>SUM(B7:B18)</f>
        <v>114.15170999999999</v>
      </c>
    </row>
    <row r="7" spans="1:2" ht="31.5" x14ac:dyDescent="0.25">
      <c r="A7" s="4" t="s">
        <v>3</v>
      </c>
      <c r="B7" s="72">
        <v>0</v>
      </c>
    </row>
    <row r="8" spans="1:2" ht="47.25" x14ac:dyDescent="0.25">
      <c r="A8" s="4" t="s">
        <v>79</v>
      </c>
      <c r="B8" s="72">
        <f>(Первичка!E183-Первичка!F183+Первичка!E186-Первичка!F186)/1000</f>
        <v>21.315669999999997</v>
      </c>
    </row>
    <row r="9" spans="1:2" ht="15.75" x14ac:dyDescent="0.25">
      <c r="A9" s="4" t="s">
        <v>5</v>
      </c>
      <c r="B9" s="72">
        <v>0</v>
      </c>
    </row>
    <row r="10" spans="1:2" ht="31.5" x14ac:dyDescent="0.25">
      <c r="A10" s="4" t="s">
        <v>6</v>
      </c>
      <c r="B10" s="72">
        <f>(Первичка!E179-Первичка!F179+Первичка!E180-Первичка!F180+Первичка!E181-Первичка!F181+Первичка!E182-Первичка!F182)/1000</f>
        <v>54.816110000000002</v>
      </c>
    </row>
    <row r="11" spans="1:2" ht="31.5" x14ac:dyDescent="0.25">
      <c r="A11" s="4" t="s">
        <v>7</v>
      </c>
      <c r="B11" s="72">
        <v>0</v>
      </c>
    </row>
    <row r="12" spans="1:2" ht="15.75" x14ac:dyDescent="0.25">
      <c r="A12" s="4" t="s">
        <v>8</v>
      </c>
      <c r="B12" s="72">
        <f>(Первичка!E177-Первичка!F177)/1000</f>
        <v>7.0579499999999999</v>
      </c>
    </row>
    <row r="13" spans="1:2" ht="31.5" x14ac:dyDescent="0.25">
      <c r="A13" s="4" t="s">
        <v>9</v>
      </c>
      <c r="B13" s="72">
        <v>0</v>
      </c>
    </row>
    <row r="14" spans="1:2" ht="31.5" x14ac:dyDescent="0.25">
      <c r="A14" s="4" t="s">
        <v>10</v>
      </c>
      <c r="B14" s="72">
        <f>(Первичка!E178-Первичка!F178+Первичка!E184-Первичка!F184+Первичка!E185-Первичка!F185)/1000</f>
        <v>30.961980000000001</v>
      </c>
    </row>
    <row r="15" spans="1:2" ht="31.5" x14ac:dyDescent="0.25">
      <c r="A15" s="4" t="s">
        <v>11</v>
      </c>
      <c r="B15" s="72">
        <v>0</v>
      </c>
    </row>
    <row r="16" spans="1:2" ht="63" x14ac:dyDescent="0.25">
      <c r="A16" s="4" t="s">
        <v>12</v>
      </c>
      <c r="B16" s="72">
        <v>0</v>
      </c>
    </row>
    <row r="17" spans="1:2" ht="78.75" x14ac:dyDescent="0.25">
      <c r="A17" s="4" t="s">
        <v>13</v>
      </c>
      <c r="B17" s="72">
        <v>0</v>
      </c>
    </row>
    <row r="18" spans="1:2" ht="78.75" x14ac:dyDescent="0.25">
      <c r="A18" s="4" t="s">
        <v>14</v>
      </c>
      <c r="B18" s="72">
        <v>0</v>
      </c>
    </row>
    <row r="19" spans="1:2" ht="47.25" x14ac:dyDescent="0.25">
      <c r="A19" s="4" t="s">
        <v>15</v>
      </c>
      <c r="B19" s="72">
        <v>0</v>
      </c>
    </row>
    <row r="20" spans="1:2" ht="31.5" x14ac:dyDescent="0.25">
      <c r="A20" s="4" t="s">
        <v>16</v>
      </c>
      <c r="B20" s="72">
        <v>0</v>
      </c>
    </row>
    <row r="21" spans="1:2" x14ac:dyDescent="0.25">
      <c r="A21" s="85" t="s">
        <v>17</v>
      </c>
      <c r="B21" s="92">
        <f>B5-(B6/B24*B27)</f>
        <v>1.9217876762879058</v>
      </c>
    </row>
    <row r="22" spans="1:2" x14ac:dyDescent="0.25">
      <c r="A22" s="85"/>
      <c r="B22" s="92"/>
    </row>
    <row r="23" spans="1:2" ht="47.25" x14ac:dyDescent="0.25">
      <c r="A23" s="4" t="s">
        <v>18</v>
      </c>
      <c r="B23" s="72" t="s">
        <v>19</v>
      </c>
    </row>
    <row r="24" spans="1:2" ht="15.75" x14ac:dyDescent="0.25">
      <c r="A24" s="4" t="s">
        <v>20</v>
      </c>
      <c r="B24" s="72">
        <f>'Добыча воды'!M30/1000</f>
        <v>8.2110000000000003</v>
      </c>
    </row>
    <row r="25" spans="1:2" ht="15.75" x14ac:dyDescent="0.25">
      <c r="A25" s="4" t="s">
        <v>21</v>
      </c>
      <c r="B25" s="72">
        <v>0</v>
      </c>
    </row>
    <row r="26" spans="1:2" ht="15.75" x14ac:dyDescent="0.25">
      <c r="A26" s="4" t="s">
        <v>22</v>
      </c>
      <c r="B26" s="72">
        <v>0</v>
      </c>
    </row>
    <row r="27" spans="1:2" ht="31.5" x14ac:dyDescent="0.25">
      <c r="A27" s="4" t="s">
        <v>23</v>
      </c>
      <c r="B27" s="72">
        <f>('Добыча воды'!M21+'Добыча воды'!M22)/1000</f>
        <v>3.694</v>
      </c>
    </row>
    <row r="28" spans="1:2" ht="15.75" x14ac:dyDescent="0.25">
      <c r="A28" s="4" t="s">
        <v>24</v>
      </c>
      <c r="B28" s="72">
        <v>0</v>
      </c>
    </row>
    <row r="29" spans="1:2" ht="15.75" x14ac:dyDescent="0.25">
      <c r="A29" s="4" t="s">
        <v>25</v>
      </c>
      <c r="B29" s="70">
        <v>0.25</v>
      </c>
    </row>
    <row r="30" spans="1:2" ht="15.75" x14ac:dyDescent="0.25">
      <c r="A30" s="4" t="s">
        <v>80</v>
      </c>
      <c r="B30" s="72">
        <f>6216/B24/1000</f>
        <v>0.75703324808184136</v>
      </c>
    </row>
    <row r="31" spans="1:2" ht="31.5" x14ac:dyDescent="0.25">
      <c r="A31" s="4" t="s">
        <v>26</v>
      </c>
      <c r="B31" s="72">
        <f>B24-B27</f>
        <v>4.5170000000000003</v>
      </c>
    </row>
    <row r="32" spans="1:2" ht="32.25" thickBot="1" x14ac:dyDescent="0.3">
      <c r="A32" s="5" t="s">
        <v>27</v>
      </c>
      <c r="B32" s="107" t="s">
        <v>19</v>
      </c>
    </row>
  </sheetData>
  <mergeCells count="5">
    <mergeCell ref="A21:A22"/>
    <mergeCell ref="B21:B22"/>
    <mergeCell ref="A1:B1"/>
    <mergeCell ref="A2:B2"/>
    <mergeCell ref="A3:B3"/>
  </mergeCells>
  <pageMargins left="0.70866141732283472" right="0.70866141732283472" top="0.45" bottom="0.44" header="0.31496062992125984" footer="0.31496062992125984"/>
  <pageSetup paperSize="9" scale="7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workbookViewId="0">
      <selection activeCell="A22" sqref="A22"/>
    </sheetView>
  </sheetViews>
  <sheetFormatPr defaultRowHeight="15" x14ac:dyDescent="0.25"/>
  <cols>
    <col min="1" max="1" width="87.7109375" customWidth="1"/>
    <col min="2" max="2" width="17.42578125" customWidth="1"/>
  </cols>
  <sheetData>
    <row r="1" spans="1:2" ht="18.75" x14ac:dyDescent="0.25">
      <c r="A1" s="86" t="s">
        <v>28</v>
      </c>
      <c r="B1" s="86"/>
    </row>
    <row r="2" spans="1:2" ht="40.5" customHeight="1" x14ac:dyDescent="0.25">
      <c r="A2" s="87" t="s">
        <v>29</v>
      </c>
      <c r="B2" s="87"/>
    </row>
    <row r="3" spans="1:2" ht="19.5" thickBot="1" x14ac:dyDescent="0.3">
      <c r="A3" s="1"/>
    </row>
    <row r="4" spans="1:2" ht="15.75" x14ac:dyDescent="0.25">
      <c r="A4" s="6" t="s">
        <v>30</v>
      </c>
      <c r="B4" s="51">
        <v>0</v>
      </c>
    </row>
    <row r="5" spans="1:2" ht="31.5" x14ac:dyDescent="0.25">
      <c r="A5" s="4" t="s">
        <v>31</v>
      </c>
      <c r="B5" s="52">
        <v>0</v>
      </c>
    </row>
    <row r="6" spans="1:2" ht="31.5" x14ac:dyDescent="0.25">
      <c r="A6" s="4" t="s">
        <v>32</v>
      </c>
      <c r="B6" s="52">
        <v>0</v>
      </c>
    </row>
    <row r="7" spans="1:2" ht="15.75" x14ac:dyDescent="0.25">
      <c r="A7" s="4" t="s">
        <v>33</v>
      </c>
      <c r="B7" s="52">
        <v>10</v>
      </c>
    </row>
    <row r="8" spans="1:2" ht="15.75" x14ac:dyDescent="0.25">
      <c r="A8" s="4" t="s">
        <v>34</v>
      </c>
      <c r="B8" s="52"/>
    </row>
    <row r="9" spans="1:2" ht="15.75" x14ac:dyDescent="0.25">
      <c r="A9" s="4" t="s">
        <v>35</v>
      </c>
      <c r="B9" s="52"/>
    </row>
    <row r="10" spans="1:2" ht="31.5" x14ac:dyDescent="0.25">
      <c r="A10" s="4" t="s">
        <v>36</v>
      </c>
      <c r="B10" s="52"/>
    </row>
    <row r="11" spans="1:2" ht="15.75" x14ac:dyDescent="0.25">
      <c r="A11" s="4" t="s">
        <v>37</v>
      </c>
      <c r="B11" s="52"/>
    </row>
    <row r="12" spans="1:2" ht="15.75" x14ac:dyDescent="0.25">
      <c r="A12" s="4" t="s">
        <v>38</v>
      </c>
      <c r="B12" s="52"/>
    </row>
    <row r="13" spans="1:2" ht="47.25" x14ac:dyDescent="0.25">
      <c r="A13" s="4" t="s">
        <v>39</v>
      </c>
      <c r="B13" s="52"/>
    </row>
    <row r="14" spans="1:2" ht="15.75" x14ac:dyDescent="0.25">
      <c r="A14" s="4" t="s">
        <v>34</v>
      </c>
      <c r="B14" s="52"/>
    </row>
    <row r="15" spans="1:2" ht="15.75" x14ac:dyDescent="0.25">
      <c r="A15" s="4" t="s">
        <v>35</v>
      </c>
      <c r="B15" s="52"/>
    </row>
    <row r="16" spans="1:2" ht="31.5" x14ac:dyDescent="0.25">
      <c r="A16" s="4" t="s">
        <v>36</v>
      </c>
      <c r="B16" s="52"/>
    </row>
    <row r="17" spans="1:2" ht="15.75" x14ac:dyDescent="0.25">
      <c r="A17" s="4" t="s">
        <v>37</v>
      </c>
      <c r="B17" s="52"/>
    </row>
    <row r="18" spans="1:2" ht="15.75" x14ac:dyDescent="0.25">
      <c r="A18" s="4" t="s">
        <v>38</v>
      </c>
      <c r="B18" s="52"/>
    </row>
    <row r="19" spans="1:2" ht="31.5" x14ac:dyDescent="0.25">
      <c r="A19" s="4" t="s">
        <v>40</v>
      </c>
      <c r="B19" s="52">
        <v>0</v>
      </c>
    </row>
    <row r="20" spans="1:2" ht="16.5" thickBot="1" x14ac:dyDescent="0.3">
      <c r="A20" s="5" t="s">
        <v>41</v>
      </c>
      <c r="B20" s="53" t="s">
        <v>19</v>
      </c>
    </row>
  </sheetData>
  <mergeCells count="2">
    <mergeCell ref="A1:B1"/>
    <mergeCell ref="A2:B2"/>
  </mergeCells>
  <pageMargins left="0.70866141732283472" right="0.70866141732283472" top="0.47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A22" sqref="A22"/>
    </sheetView>
  </sheetViews>
  <sheetFormatPr defaultRowHeight="15" x14ac:dyDescent="0.25"/>
  <cols>
    <col min="1" max="1" width="83.140625" customWidth="1"/>
    <col min="2" max="2" width="17" customWidth="1"/>
  </cols>
  <sheetData>
    <row r="1" spans="1:2" ht="18.75" x14ac:dyDescent="0.25">
      <c r="A1" s="86" t="s">
        <v>42</v>
      </c>
      <c r="B1" s="86"/>
    </row>
    <row r="2" spans="1:2" ht="66.75" customHeight="1" x14ac:dyDescent="0.25">
      <c r="A2" s="87" t="s">
        <v>43</v>
      </c>
      <c r="B2" s="87"/>
    </row>
    <row r="3" spans="1:2" ht="15.75" thickBot="1" x14ac:dyDescent="0.3">
      <c r="A3" s="7"/>
    </row>
    <row r="4" spans="1:2" x14ac:dyDescent="0.25">
      <c r="A4" s="88" t="s">
        <v>44</v>
      </c>
      <c r="B4" s="90">
        <v>0</v>
      </c>
    </row>
    <row r="5" spans="1:2" x14ac:dyDescent="0.25">
      <c r="A5" s="89"/>
      <c r="B5" s="91"/>
    </row>
    <row r="6" spans="1:2" ht="31.5" x14ac:dyDescent="0.25">
      <c r="A6" s="8" t="s">
        <v>45</v>
      </c>
      <c r="B6" s="54">
        <v>0</v>
      </c>
    </row>
    <row r="7" spans="1:2" ht="47.25" x14ac:dyDescent="0.25">
      <c r="A7" s="8" t="s">
        <v>46</v>
      </c>
      <c r="B7" s="54">
        <v>0</v>
      </c>
    </row>
    <row r="8" spans="1:2" ht="32.25" thickBot="1" x14ac:dyDescent="0.3">
      <c r="A8" s="9" t="s">
        <v>47</v>
      </c>
      <c r="B8" s="55">
        <v>0</v>
      </c>
    </row>
  </sheetData>
  <mergeCells count="4">
    <mergeCell ref="A1:B1"/>
    <mergeCell ref="A2:B2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workbookViewId="0">
      <selection sqref="A1:B30"/>
    </sheetView>
  </sheetViews>
  <sheetFormatPr defaultRowHeight="15" x14ac:dyDescent="0.25"/>
  <cols>
    <col min="1" max="1" width="93.42578125" customWidth="1"/>
    <col min="2" max="2" width="17.28515625" customWidth="1"/>
  </cols>
  <sheetData>
    <row r="1" spans="1:2" ht="18.75" x14ac:dyDescent="0.25">
      <c r="A1" s="86" t="s">
        <v>48</v>
      </c>
      <c r="B1" s="86"/>
    </row>
    <row r="2" spans="1:2" ht="45" customHeight="1" x14ac:dyDescent="0.25">
      <c r="A2" s="87" t="s">
        <v>59</v>
      </c>
      <c r="B2" s="87"/>
    </row>
    <row r="3" spans="1:2" ht="19.5" thickBot="1" x14ac:dyDescent="0.3">
      <c r="A3" s="1"/>
    </row>
    <row r="4" spans="1:2" x14ac:dyDescent="0.25">
      <c r="A4" s="93" t="s">
        <v>169</v>
      </c>
      <c r="B4" s="94">
        <v>0</v>
      </c>
    </row>
    <row r="5" spans="1:2" x14ac:dyDescent="0.25">
      <c r="A5" s="85"/>
      <c r="B5" s="92"/>
    </row>
    <row r="6" spans="1:2" x14ac:dyDescent="0.25">
      <c r="A6" s="85"/>
      <c r="B6" s="92"/>
    </row>
    <row r="7" spans="1:2" ht="31.5" x14ac:dyDescent="0.25">
      <c r="A7" s="4" t="s">
        <v>49</v>
      </c>
      <c r="B7" s="72">
        <f>SUM(B8:B22)</f>
        <v>34.109540000000003</v>
      </c>
    </row>
    <row r="8" spans="1:2" x14ac:dyDescent="0.25">
      <c r="A8" s="85" t="s">
        <v>50</v>
      </c>
      <c r="B8" s="92">
        <v>0</v>
      </c>
    </row>
    <row r="9" spans="1:2" x14ac:dyDescent="0.25">
      <c r="A9" s="85"/>
      <c r="B9" s="92"/>
    </row>
    <row r="10" spans="1:2" ht="31.5" x14ac:dyDescent="0.25">
      <c r="A10" s="4" t="s">
        <v>4</v>
      </c>
      <c r="B10" s="92">
        <f>(Первичка!E195+Первичка!E198)/1000</f>
        <v>5.1776900000000001</v>
      </c>
    </row>
    <row r="11" spans="1:2" ht="15.75" x14ac:dyDescent="0.25">
      <c r="A11" s="4" t="s">
        <v>51</v>
      </c>
      <c r="B11" s="92"/>
    </row>
    <row r="12" spans="1:2" ht="15.75" x14ac:dyDescent="0.25">
      <c r="A12" s="4" t="s">
        <v>5</v>
      </c>
      <c r="B12" s="72">
        <v>0</v>
      </c>
    </row>
    <row r="13" spans="1:2" ht="31.5" x14ac:dyDescent="0.25">
      <c r="A13" s="4" t="s">
        <v>6</v>
      </c>
      <c r="B13" s="72">
        <f>(Первичка!E191+Первичка!E192+Первичка!E193+Первичка!E194)/1000</f>
        <v>18.272009999999998</v>
      </c>
    </row>
    <row r="14" spans="1:2" ht="31.5" x14ac:dyDescent="0.25">
      <c r="A14" s="4" t="s">
        <v>7</v>
      </c>
      <c r="B14" s="72">
        <v>0</v>
      </c>
    </row>
    <row r="15" spans="1:2" ht="15.75" x14ac:dyDescent="0.25">
      <c r="A15" s="4" t="s">
        <v>8</v>
      </c>
      <c r="B15" s="72">
        <f>Первичка!E189/1000</f>
        <v>2.9874299999999998</v>
      </c>
    </row>
    <row r="16" spans="1:2" ht="31.5" x14ac:dyDescent="0.25">
      <c r="A16" s="4" t="s">
        <v>9</v>
      </c>
      <c r="B16" s="72">
        <v>0</v>
      </c>
    </row>
    <row r="17" spans="1:3" ht="31.5" x14ac:dyDescent="0.25">
      <c r="A17" s="4" t="s">
        <v>10</v>
      </c>
      <c r="B17" s="72">
        <f>(Первичка!E190+Первичка!E196+Первичка!E197)/1000</f>
        <v>7.6724100000000002</v>
      </c>
    </row>
    <row r="18" spans="1:3" ht="31.5" x14ac:dyDescent="0.25">
      <c r="A18" s="4" t="s">
        <v>11</v>
      </c>
      <c r="B18" s="72"/>
    </row>
    <row r="19" spans="1:3" x14ac:dyDescent="0.25">
      <c r="A19" s="85" t="s">
        <v>52</v>
      </c>
      <c r="B19" s="92">
        <v>0</v>
      </c>
    </row>
    <row r="20" spans="1:3" x14ac:dyDescent="0.25">
      <c r="A20" s="85"/>
      <c r="B20" s="92"/>
    </row>
    <row r="21" spans="1:3" ht="78.75" x14ac:dyDescent="0.25">
      <c r="A21" s="4" t="s">
        <v>13</v>
      </c>
      <c r="B21" s="72">
        <v>0</v>
      </c>
    </row>
    <row r="22" spans="1:3" ht="78.75" x14ac:dyDescent="0.25">
      <c r="A22" s="4" t="s">
        <v>53</v>
      </c>
      <c r="B22" s="72">
        <v>0</v>
      </c>
    </row>
    <row r="23" spans="1:3" ht="47.25" x14ac:dyDescent="0.25">
      <c r="A23" s="4" t="s">
        <v>15</v>
      </c>
      <c r="B23" s="72">
        <v>0</v>
      </c>
    </row>
    <row r="24" spans="1:3" ht="31.5" x14ac:dyDescent="0.25">
      <c r="A24" s="4" t="s">
        <v>16</v>
      </c>
      <c r="B24" s="72">
        <v>0</v>
      </c>
    </row>
    <row r="25" spans="1:3" ht="31.5" x14ac:dyDescent="0.25">
      <c r="A25" s="4" t="s">
        <v>54</v>
      </c>
      <c r="B25" s="72">
        <f>B4-(B7/('Сброс воды'!M30/1000)*B27)</f>
        <v>-3.113229101972304</v>
      </c>
    </row>
    <row r="26" spans="1:3" ht="47.25" x14ac:dyDescent="0.25">
      <c r="A26" s="4" t="s">
        <v>18</v>
      </c>
      <c r="B26" s="72" t="s">
        <v>19</v>
      </c>
    </row>
    <row r="27" spans="1:3" ht="15.75" x14ac:dyDescent="0.25">
      <c r="A27" s="4" t="s">
        <v>55</v>
      </c>
      <c r="B27" s="72">
        <f>'Сброс воды'!M22/1000</f>
        <v>0.435</v>
      </c>
      <c r="C27" s="84"/>
    </row>
    <row r="28" spans="1:3" ht="31.5" x14ac:dyDescent="0.25">
      <c r="A28" s="4" t="s">
        <v>56</v>
      </c>
      <c r="B28" s="72">
        <v>0</v>
      </c>
    </row>
    <row r="29" spans="1:3" ht="15.75" x14ac:dyDescent="0.25">
      <c r="A29" s="4" t="s">
        <v>57</v>
      </c>
      <c r="B29" s="72">
        <v>0</v>
      </c>
    </row>
    <row r="30" spans="1:3" ht="16.5" thickBot="1" x14ac:dyDescent="0.3">
      <c r="A30" s="5" t="s">
        <v>58</v>
      </c>
      <c r="B30" s="71">
        <v>0.25</v>
      </c>
    </row>
  </sheetData>
  <mergeCells count="9">
    <mergeCell ref="B10:B11"/>
    <mergeCell ref="A19:A20"/>
    <mergeCell ref="B19:B20"/>
    <mergeCell ref="A1:B1"/>
    <mergeCell ref="A2:B2"/>
    <mergeCell ref="A4:A6"/>
    <mergeCell ref="B4:B6"/>
    <mergeCell ref="A8:A9"/>
    <mergeCell ref="B8:B9"/>
  </mergeCells>
  <pageMargins left="0.70866141732283472" right="0.70866141732283472" top="0.5" bottom="0.74803149606299213" header="0.31496062992125984" footer="0.31496062992125984"/>
  <pageSetup paperSize="9" scale="78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>
      <selection activeCell="A22" sqref="A22"/>
    </sheetView>
  </sheetViews>
  <sheetFormatPr defaultRowHeight="15" x14ac:dyDescent="0.25"/>
  <cols>
    <col min="1" max="1" width="99.140625" customWidth="1"/>
    <col min="2" max="2" width="14.85546875" customWidth="1"/>
  </cols>
  <sheetData>
    <row r="1" spans="1:2" ht="18.75" x14ac:dyDescent="0.25">
      <c r="A1" s="86" t="s">
        <v>60</v>
      </c>
      <c r="B1" s="86"/>
    </row>
    <row r="2" spans="1:2" ht="41.25" customHeight="1" x14ac:dyDescent="0.25">
      <c r="A2" s="87" t="s">
        <v>61</v>
      </c>
      <c r="B2" s="87"/>
    </row>
    <row r="3" spans="1:2" ht="19.5" thickBot="1" x14ac:dyDescent="0.3">
      <c r="A3" s="1"/>
    </row>
    <row r="4" spans="1:2" ht="31.5" x14ac:dyDescent="0.25">
      <c r="A4" s="6" t="s">
        <v>62</v>
      </c>
      <c r="B4" s="56">
        <v>0</v>
      </c>
    </row>
    <row r="5" spans="1:2" ht="31.5" x14ac:dyDescent="0.25">
      <c r="A5" s="4" t="s">
        <v>63</v>
      </c>
      <c r="B5" s="57">
        <v>0</v>
      </c>
    </row>
    <row r="6" spans="1:2" ht="15.75" x14ac:dyDescent="0.25">
      <c r="A6" s="4" t="s">
        <v>64</v>
      </c>
      <c r="B6" s="57"/>
    </row>
    <row r="7" spans="1:2" ht="15.75" x14ac:dyDescent="0.25">
      <c r="A7" s="4" t="s">
        <v>65</v>
      </c>
      <c r="B7" s="57"/>
    </row>
    <row r="8" spans="1:2" ht="15.75" x14ac:dyDescent="0.25">
      <c r="A8" s="4" t="s">
        <v>66</v>
      </c>
      <c r="B8" s="57"/>
    </row>
    <row r="9" spans="1:2" ht="15.75" x14ac:dyDescent="0.25">
      <c r="A9" s="4" t="s">
        <v>67</v>
      </c>
      <c r="B9" s="57"/>
    </row>
    <row r="10" spans="1:2" ht="15.75" x14ac:dyDescent="0.25">
      <c r="A10" s="4" t="s">
        <v>68</v>
      </c>
      <c r="B10" s="57"/>
    </row>
    <row r="11" spans="1:2" ht="15.75" x14ac:dyDescent="0.25">
      <c r="A11" s="4" t="s">
        <v>69</v>
      </c>
      <c r="B11" s="57"/>
    </row>
    <row r="12" spans="1:2" ht="15.75" x14ac:dyDescent="0.25">
      <c r="A12" s="4" t="s">
        <v>70</v>
      </c>
      <c r="B12" s="57"/>
    </row>
    <row r="13" spans="1:2" ht="47.25" x14ac:dyDescent="0.25">
      <c r="A13" s="4" t="s">
        <v>71</v>
      </c>
      <c r="B13" s="57">
        <v>0</v>
      </c>
    </row>
    <row r="14" spans="1:2" ht="15.75" x14ac:dyDescent="0.25">
      <c r="A14" s="4" t="s">
        <v>64</v>
      </c>
      <c r="B14" s="57"/>
    </row>
    <row r="15" spans="1:2" ht="15.75" x14ac:dyDescent="0.25">
      <c r="A15" s="4" t="s">
        <v>65</v>
      </c>
      <c r="B15" s="57"/>
    </row>
    <row r="16" spans="1:2" ht="15.75" x14ac:dyDescent="0.25">
      <c r="A16" s="4" t="s">
        <v>66</v>
      </c>
      <c r="B16" s="57"/>
    </row>
    <row r="17" spans="1:2" ht="15.75" x14ac:dyDescent="0.25">
      <c r="A17" s="4" t="s">
        <v>67</v>
      </c>
      <c r="B17" s="57"/>
    </row>
    <row r="18" spans="1:2" ht="15.75" x14ac:dyDescent="0.25">
      <c r="A18" s="4" t="s">
        <v>72</v>
      </c>
      <c r="B18" s="57"/>
    </row>
    <row r="19" spans="1:2" ht="15.75" x14ac:dyDescent="0.25">
      <c r="A19" s="4" t="s">
        <v>69</v>
      </c>
      <c r="B19" s="57"/>
    </row>
    <row r="20" spans="1:2" ht="15.75" x14ac:dyDescent="0.25">
      <c r="A20" s="4" t="s">
        <v>70</v>
      </c>
      <c r="B20" s="57"/>
    </row>
    <row r="21" spans="1:2" ht="31.5" x14ac:dyDescent="0.25">
      <c r="A21" s="4" t="s">
        <v>40</v>
      </c>
      <c r="B21" s="57">
        <v>0</v>
      </c>
    </row>
    <row r="22" spans="1:2" ht="16.5" thickBot="1" x14ac:dyDescent="0.3">
      <c r="A22" s="5" t="s">
        <v>41</v>
      </c>
      <c r="B22" s="58">
        <v>0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D26" sqref="D26"/>
    </sheetView>
  </sheetViews>
  <sheetFormatPr defaultRowHeight="15" x14ac:dyDescent="0.25"/>
  <cols>
    <col min="1" max="1" width="82.140625" customWidth="1"/>
    <col min="2" max="2" width="14.85546875" customWidth="1"/>
  </cols>
  <sheetData>
    <row r="1" spans="1:2" ht="18.75" x14ac:dyDescent="0.25">
      <c r="A1" s="86" t="s">
        <v>73</v>
      </c>
      <c r="B1" s="86"/>
    </row>
    <row r="2" spans="1:2" ht="59.25" customHeight="1" x14ac:dyDescent="0.25">
      <c r="A2" s="87" t="s">
        <v>74</v>
      </c>
      <c r="B2" s="87"/>
    </row>
    <row r="3" spans="1:2" ht="15.75" thickBot="1" x14ac:dyDescent="0.3">
      <c r="A3" s="7"/>
    </row>
    <row r="4" spans="1:2" ht="31.5" x14ac:dyDescent="0.25">
      <c r="A4" s="10" t="s">
        <v>75</v>
      </c>
      <c r="B4" s="59">
        <v>0</v>
      </c>
    </row>
    <row r="5" spans="1:2" ht="31.5" x14ac:dyDescent="0.25">
      <c r="A5" s="8" t="s">
        <v>76</v>
      </c>
      <c r="B5" s="60">
        <v>0</v>
      </c>
    </row>
    <row r="6" spans="1:2" ht="47.25" x14ac:dyDescent="0.25">
      <c r="A6" s="8" t="s">
        <v>77</v>
      </c>
      <c r="B6" s="60">
        <v>0</v>
      </c>
    </row>
    <row r="7" spans="1:2" ht="16.5" thickBot="1" x14ac:dyDescent="0.3">
      <c r="A7" s="9" t="s">
        <v>78</v>
      </c>
      <c r="B7" s="61">
        <v>0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topLeftCell="A184" workbookViewId="0">
      <selection activeCell="B198" sqref="B198:H198"/>
    </sheetView>
  </sheetViews>
  <sheetFormatPr defaultColWidth="25.140625" defaultRowHeight="21.75" customHeight="1" x14ac:dyDescent="0.25"/>
  <cols>
    <col min="1" max="1" width="7.85546875" customWidth="1"/>
    <col min="2" max="2" width="28.42578125" customWidth="1"/>
    <col min="3" max="8" width="18.140625" customWidth="1"/>
  </cols>
  <sheetData>
    <row r="1" spans="1:8" ht="21.75" customHeight="1" x14ac:dyDescent="0.25">
      <c r="A1" s="11"/>
      <c r="B1" s="25" t="s">
        <v>160</v>
      </c>
      <c r="C1" s="26"/>
      <c r="D1" s="26"/>
      <c r="E1" s="26"/>
      <c r="F1" s="26"/>
      <c r="G1" s="26"/>
      <c r="H1" s="26"/>
    </row>
    <row r="2" spans="1:8" ht="21.75" customHeight="1" x14ac:dyDescent="0.25">
      <c r="A2" s="11"/>
      <c r="B2" s="100" t="s">
        <v>81</v>
      </c>
      <c r="C2" s="100"/>
      <c r="D2" s="100"/>
      <c r="E2" s="100"/>
      <c r="F2" s="100"/>
      <c r="G2" s="100"/>
      <c r="H2" s="100"/>
    </row>
    <row r="3" spans="1:8" ht="21.75" customHeight="1" x14ac:dyDescent="0.25">
      <c r="A3" s="13"/>
      <c r="B3" s="101" t="s">
        <v>161</v>
      </c>
      <c r="C3" s="101"/>
      <c r="D3" s="101"/>
      <c r="E3" s="101"/>
      <c r="F3" s="101"/>
      <c r="G3" s="101"/>
      <c r="H3" s="101"/>
    </row>
    <row r="4" spans="1:8" ht="21.75" customHeight="1" x14ac:dyDescent="0.25">
      <c r="A4" s="14"/>
      <c r="B4" s="95" t="s">
        <v>82</v>
      </c>
      <c r="C4" s="95"/>
      <c r="D4" s="95"/>
      <c r="E4" s="95"/>
      <c r="F4" s="95"/>
      <c r="G4" s="95"/>
      <c r="H4" s="95"/>
    </row>
    <row r="5" spans="1:8" ht="21.75" customHeight="1" x14ac:dyDescent="0.25">
      <c r="A5" s="14"/>
      <c r="B5" s="96" t="s">
        <v>83</v>
      </c>
      <c r="C5" s="96"/>
      <c r="D5" s="96"/>
      <c r="E5" s="96"/>
      <c r="F5" s="96"/>
      <c r="G5" s="96"/>
      <c r="H5" s="96"/>
    </row>
    <row r="6" spans="1:8" ht="21.75" customHeight="1" x14ac:dyDescent="0.25">
      <c r="A6" s="14"/>
      <c r="B6" s="95" t="s">
        <v>162</v>
      </c>
      <c r="C6" s="95"/>
      <c r="D6" s="95"/>
      <c r="E6" s="95"/>
      <c r="F6" s="95"/>
      <c r="G6" s="95"/>
      <c r="H6" s="95"/>
    </row>
    <row r="7" spans="1:8" ht="21.75" customHeight="1" thickBot="1" x14ac:dyDescent="0.3">
      <c r="A7" s="15"/>
      <c r="B7" s="26"/>
      <c r="C7" s="26"/>
      <c r="D7" s="26"/>
      <c r="E7" s="26"/>
      <c r="F7" s="26"/>
      <c r="G7" s="26"/>
      <c r="H7" s="26"/>
    </row>
    <row r="8" spans="1:8" ht="21.75" customHeight="1" x14ac:dyDescent="0.25">
      <c r="A8" s="16"/>
      <c r="B8" s="31" t="s">
        <v>84</v>
      </c>
      <c r="C8" s="97" t="s">
        <v>85</v>
      </c>
      <c r="D8" s="97"/>
      <c r="E8" s="98" t="s">
        <v>86</v>
      </c>
      <c r="F8" s="98"/>
      <c r="G8" s="99" t="s">
        <v>87</v>
      </c>
      <c r="H8" s="99"/>
    </row>
    <row r="9" spans="1:8" ht="21.75" customHeight="1" thickBot="1" x14ac:dyDescent="0.3">
      <c r="A9" s="17"/>
      <c r="B9" s="33"/>
      <c r="C9" s="34" t="s">
        <v>88</v>
      </c>
      <c r="D9" s="34" t="s">
        <v>89</v>
      </c>
      <c r="E9" s="35" t="s">
        <v>88</v>
      </c>
      <c r="F9" s="35" t="s">
        <v>89</v>
      </c>
      <c r="G9" s="35" t="s">
        <v>88</v>
      </c>
      <c r="H9" s="36" t="s">
        <v>89</v>
      </c>
    </row>
    <row r="10" spans="1:8" ht="21.75" customHeight="1" x14ac:dyDescent="0.25">
      <c r="A10" s="18"/>
      <c r="B10" s="38" t="s">
        <v>90</v>
      </c>
      <c r="C10" s="39"/>
      <c r="D10" s="39"/>
      <c r="E10" s="39"/>
      <c r="F10" s="40">
        <v>51861.66</v>
      </c>
      <c r="G10" s="39"/>
      <c r="H10" s="42"/>
    </row>
    <row r="11" spans="1:8" ht="21.75" customHeight="1" x14ac:dyDescent="0.25">
      <c r="A11" s="18"/>
      <c r="B11" s="38" t="s">
        <v>91</v>
      </c>
      <c r="C11" s="39"/>
      <c r="D11" s="39"/>
      <c r="E11" s="39"/>
      <c r="F11" s="40">
        <v>51861.66</v>
      </c>
      <c r="G11" s="39"/>
      <c r="H11" s="42"/>
    </row>
    <row r="12" spans="1:8" ht="21.75" customHeight="1" x14ac:dyDescent="0.25">
      <c r="A12" s="14"/>
      <c r="B12" s="62" t="s">
        <v>92</v>
      </c>
      <c r="C12" s="39"/>
      <c r="D12" s="39"/>
      <c r="E12" s="39"/>
      <c r="F12" s="40">
        <v>49298.19</v>
      </c>
      <c r="G12" s="39"/>
      <c r="H12" s="42"/>
    </row>
    <row r="13" spans="1:8" ht="21.75" customHeight="1" x14ac:dyDescent="0.25">
      <c r="A13" s="14"/>
      <c r="B13" s="62" t="s">
        <v>93</v>
      </c>
      <c r="C13" s="39"/>
      <c r="D13" s="39"/>
      <c r="E13" s="39"/>
      <c r="F13" s="40">
        <v>2563.4699999999998</v>
      </c>
      <c r="G13" s="39"/>
      <c r="H13" s="42"/>
    </row>
    <row r="14" spans="1:8" ht="21.75" customHeight="1" x14ac:dyDescent="0.25">
      <c r="A14" s="18"/>
      <c r="B14" s="38" t="s">
        <v>94</v>
      </c>
      <c r="C14" s="39"/>
      <c r="D14" s="39"/>
      <c r="E14" s="40">
        <v>37019.129999999997</v>
      </c>
      <c r="F14" s="39"/>
      <c r="G14" s="39"/>
      <c r="H14" s="42"/>
    </row>
    <row r="15" spans="1:8" ht="21.75" customHeight="1" x14ac:dyDescent="0.25">
      <c r="A15" s="18"/>
      <c r="B15" s="38" t="s">
        <v>95</v>
      </c>
      <c r="C15" s="39"/>
      <c r="D15" s="39"/>
      <c r="E15" s="40">
        <v>37019.129999999997</v>
      </c>
      <c r="F15" s="39"/>
      <c r="G15" s="39"/>
      <c r="H15" s="42"/>
    </row>
    <row r="16" spans="1:8" ht="21.75" customHeight="1" x14ac:dyDescent="0.25">
      <c r="A16" s="14"/>
      <c r="B16" s="62" t="s">
        <v>92</v>
      </c>
      <c r="C16" s="39"/>
      <c r="D16" s="39"/>
      <c r="E16" s="40">
        <v>32574.34</v>
      </c>
      <c r="F16" s="39"/>
      <c r="G16" s="39"/>
      <c r="H16" s="42"/>
    </row>
    <row r="17" spans="1:8" ht="21.75" customHeight="1" x14ac:dyDescent="0.25">
      <c r="A17" s="14"/>
      <c r="B17" s="62" t="s">
        <v>93</v>
      </c>
      <c r="C17" s="39"/>
      <c r="D17" s="39"/>
      <c r="E17" s="40">
        <v>4444.79</v>
      </c>
      <c r="F17" s="39"/>
      <c r="G17" s="39"/>
      <c r="H17" s="42"/>
    </row>
    <row r="18" spans="1:8" ht="21.75" customHeight="1" x14ac:dyDescent="0.25">
      <c r="A18" s="18"/>
      <c r="B18" s="38" t="s">
        <v>96</v>
      </c>
      <c r="C18" s="39"/>
      <c r="D18" s="39"/>
      <c r="E18" s="40">
        <v>7911.07</v>
      </c>
      <c r="F18" s="39"/>
      <c r="G18" s="39"/>
      <c r="H18" s="42"/>
    </row>
    <row r="19" spans="1:8" ht="21.75" customHeight="1" x14ac:dyDescent="0.25">
      <c r="A19" s="14"/>
      <c r="B19" s="62" t="s">
        <v>92</v>
      </c>
      <c r="C19" s="39"/>
      <c r="D19" s="39"/>
      <c r="E19" s="40">
        <v>7520.03</v>
      </c>
      <c r="F19" s="39"/>
      <c r="G19" s="39"/>
      <c r="H19" s="42"/>
    </row>
    <row r="20" spans="1:8" ht="21.75" customHeight="1" x14ac:dyDescent="0.25">
      <c r="A20" s="14"/>
      <c r="B20" s="62" t="s">
        <v>93</v>
      </c>
      <c r="C20" s="39"/>
      <c r="D20" s="39"/>
      <c r="E20" s="41">
        <v>391.04</v>
      </c>
      <c r="F20" s="39"/>
      <c r="G20" s="39"/>
      <c r="H20" s="42"/>
    </row>
    <row r="21" spans="1:8" ht="21.75" customHeight="1" x14ac:dyDescent="0.25">
      <c r="A21" s="18"/>
      <c r="B21" s="38" t="s">
        <v>97</v>
      </c>
      <c r="C21" s="39"/>
      <c r="D21" s="39"/>
      <c r="E21" s="41">
        <v>533.41999999999996</v>
      </c>
      <c r="F21" s="39"/>
      <c r="G21" s="39"/>
      <c r="H21" s="42"/>
    </row>
    <row r="22" spans="1:8" ht="21.75" customHeight="1" x14ac:dyDescent="0.25">
      <c r="A22" s="18"/>
      <c r="B22" s="38" t="s">
        <v>98</v>
      </c>
      <c r="C22" s="39"/>
      <c r="D22" s="39"/>
      <c r="E22" s="41">
        <v>533.41999999999996</v>
      </c>
      <c r="F22" s="39"/>
      <c r="G22" s="39"/>
      <c r="H22" s="42"/>
    </row>
    <row r="23" spans="1:8" ht="21.75" customHeight="1" x14ac:dyDescent="0.25">
      <c r="A23" s="14"/>
      <c r="B23" s="62" t="s">
        <v>92</v>
      </c>
      <c r="C23" s="39"/>
      <c r="D23" s="39"/>
      <c r="E23" s="41">
        <v>504.51</v>
      </c>
      <c r="F23" s="39"/>
      <c r="G23" s="39"/>
      <c r="H23" s="42"/>
    </row>
    <row r="24" spans="1:8" ht="21.75" customHeight="1" x14ac:dyDescent="0.25">
      <c r="A24" s="14"/>
      <c r="B24" s="62" t="s">
        <v>93</v>
      </c>
      <c r="C24" s="39"/>
      <c r="D24" s="39"/>
      <c r="E24" s="41">
        <v>28.91</v>
      </c>
      <c r="F24" s="39"/>
      <c r="G24" s="39"/>
      <c r="H24" s="42"/>
    </row>
    <row r="25" spans="1:8" ht="21.75" customHeight="1" x14ac:dyDescent="0.25">
      <c r="A25" s="18"/>
      <c r="B25" s="38" t="s">
        <v>99</v>
      </c>
      <c r="C25" s="39"/>
      <c r="D25" s="39"/>
      <c r="E25" s="41">
        <v>894.17</v>
      </c>
      <c r="F25" s="39"/>
      <c r="G25" s="39"/>
      <c r="H25" s="42"/>
    </row>
    <row r="26" spans="1:8" ht="21.75" customHeight="1" x14ac:dyDescent="0.25">
      <c r="A26" s="18"/>
      <c r="B26" s="38" t="s">
        <v>100</v>
      </c>
      <c r="C26" s="39"/>
      <c r="D26" s="39"/>
      <c r="E26" s="41">
        <v>894.17</v>
      </c>
      <c r="F26" s="39"/>
      <c r="G26" s="39"/>
      <c r="H26" s="42"/>
    </row>
    <row r="27" spans="1:8" ht="21.75" customHeight="1" x14ac:dyDescent="0.25">
      <c r="A27" s="14"/>
      <c r="B27" s="62" t="s">
        <v>92</v>
      </c>
      <c r="C27" s="39"/>
      <c r="D27" s="39"/>
      <c r="E27" s="41">
        <v>799.22</v>
      </c>
      <c r="F27" s="39"/>
      <c r="G27" s="39"/>
      <c r="H27" s="42"/>
    </row>
    <row r="28" spans="1:8" ht="21.75" customHeight="1" thickBot="1" x14ac:dyDescent="0.3">
      <c r="A28" s="14"/>
      <c r="B28" s="62" t="s">
        <v>93</v>
      </c>
      <c r="C28" s="39"/>
      <c r="D28" s="39"/>
      <c r="E28" s="41">
        <v>94.95</v>
      </c>
      <c r="F28" s="39"/>
      <c r="G28" s="39"/>
      <c r="H28" s="42"/>
    </row>
    <row r="29" spans="1:8" ht="21.75" customHeight="1" thickBot="1" x14ac:dyDescent="0.3">
      <c r="A29" s="14"/>
      <c r="B29" s="43" t="s">
        <v>101</v>
      </c>
      <c r="C29" s="44"/>
      <c r="D29" s="44"/>
      <c r="E29" s="45">
        <v>46357.79</v>
      </c>
      <c r="F29" s="45">
        <v>51861.66</v>
      </c>
      <c r="G29" s="44"/>
      <c r="H29" s="46"/>
    </row>
    <row r="30" spans="1:8" ht="21.75" customHeight="1" x14ac:dyDescent="0.25">
      <c r="A30" s="15"/>
      <c r="B30" s="19"/>
      <c r="C30" s="19"/>
      <c r="D30" s="19"/>
      <c r="E30" s="19"/>
      <c r="F30" s="19"/>
      <c r="G30" s="19"/>
      <c r="H30" s="19"/>
    </row>
    <row r="31" spans="1:8" ht="21.75" customHeight="1" x14ac:dyDescent="0.25">
      <c r="A31" s="12"/>
      <c r="B31" s="12"/>
      <c r="C31" s="12"/>
      <c r="D31" s="12"/>
      <c r="E31" s="12"/>
      <c r="F31" s="12"/>
      <c r="G31" s="12"/>
      <c r="H31" s="12"/>
    </row>
    <row r="32" spans="1:8" ht="21.75" customHeight="1" x14ac:dyDescent="0.25">
      <c r="A32" s="12"/>
      <c r="B32" s="12"/>
      <c r="C32" s="12"/>
      <c r="D32" s="12"/>
      <c r="E32" s="12"/>
      <c r="F32" s="12"/>
      <c r="G32" s="12"/>
      <c r="H32" s="12"/>
    </row>
    <row r="33" spans="1:8" ht="21.75" customHeight="1" x14ac:dyDescent="0.25">
      <c r="A33" s="12"/>
      <c r="B33" s="20" t="s">
        <v>102</v>
      </c>
      <c r="C33" s="21"/>
      <c r="D33" s="12"/>
      <c r="E33" s="22"/>
      <c r="F33" s="12"/>
      <c r="G33" s="21"/>
      <c r="H33" s="12"/>
    </row>
    <row r="34" spans="1:8" ht="21.75" customHeight="1" x14ac:dyDescent="0.25">
      <c r="A34" s="12"/>
      <c r="B34" s="12"/>
      <c r="C34" s="23" t="s">
        <v>103</v>
      </c>
      <c r="D34" s="12"/>
      <c r="E34" s="23" t="s">
        <v>104</v>
      </c>
      <c r="F34" s="12"/>
      <c r="G34" s="23" t="s">
        <v>105</v>
      </c>
      <c r="H34" s="12"/>
    </row>
    <row r="35" spans="1:8" ht="21.75" customHeight="1" x14ac:dyDescent="0.25">
      <c r="A35" s="24"/>
      <c r="B35" s="25" t="s">
        <v>160</v>
      </c>
      <c r="C35" s="26"/>
      <c r="D35" s="26"/>
      <c r="E35" s="26"/>
      <c r="F35" s="26"/>
      <c r="G35" s="26"/>
      <c r="H35" s="26"/>
    </row>
    <row r="36" spans="1:8" ht="21.75" customHeight="1" x14ac:dyDescent="0.25">
      <c r="A36" s="24"/>
      <c r="B36" s="100" t="s">
        <v>106</v>
      </c>
      <c r="C36" s="100"/>
      <c r="D36" s="100"/>
      <c r="E36" s="100"/>
      <c r="F36" s="100"/>
      <c r="G36" s="100"/>
      <c r="H36" s="100"/>
    </row>
    <row r="37" spans="1:8" ht="21.75" customHeight="1" x14ac:dyDescent="0.25">
      <c r="A37" s="27"/>
      <c r="B37" s="101" t="s">
        <v>161</v>
      </c>
      <c r="C37" s="101"/>
      <c r="D37" s="101"/>
      <c r="E37" s="101"/>
      <c r="F37" s="101"/>
      <c r="G37" s="101"/>
      <c r="H37" s="101"/>
    </row>
    <row r="38" spans="1:8" ht="21.75" customHeight="1" x14ac:dyDescent="0.25">
      <c r="A38" s="28"/>
      <c r="B38" s="95" t="s">
        <v>107</v>
      </c>
      <c r="C38" s="95"/>
      <c r="D38" s="95"/>
      <c r="E38" s="95"/>
      <c r="F38" s="95"/>
      <c r="G38" s="95"/>
      <c r="H38" s="95"/>
    </row>
    <row r="39" spans="1:8" ht="21.75" customHeight="1" x14ac:dyDescent="0.25">
      <c r="A39" s="28"/>
      <c r="B39" s="96" t="s">
        <v>83</v>
      </c>
      <c r="C39" s="96"/>
      <c r="D39" s="96"/>
      <c r="E39" s="96"/>
      <c r="F39" s="96"/>
      <c r="G39" s="96"/>
      <c r="H39" s="96"/>
    </row>
    <row r="40" spans="1:8" ht="21.75" customHeight="1" x14ac:dyDescent="0.25">
      <c r="A40" s="28"/>
      <c r="B40" s="95" t="s">
        <v>108</v>
      </c>
      <c r="C40" s="95"/>
      <c r="D40" s="95"/>
      <c r="E40" s="95"/>
      <c r="F40" s="95"/>
      <c r="G40" s="95"/>
      <c r="H40" s="95"/>
    </row>
    <row r="41" spans="1:8" ht="21.75" customHeight="1" thickBot="1" x14ac:dyDescent="0.3">
      <c r="A41" s="29"/>
      <c r="B41" s="26"/>
      <c r="C41" s="26"/>
      <c r="D41" s="26"/>
      <c r="E41" s="26"/>
      <c r="F41" s="26"/>
      <c r="G41" s="26"/>
      <c r="H41" s="26"/>
    </row>
    <row r="42" spans="1:8" ht="21.75" customHeight="1" x14ac:dyDescent="0.25">
      <c r="A42" s="30"/>
      <c r="B42" s="31" t="s">
        <v>84</v>
      </c>
      <c r="C42" s="97" t="s">
        <v>85</v>
      </c>
      <c r="D42" s="97"/>
      <c r="E42" s="98" t="s">
        <v>86</v>
      </c>
      <c r="F42" s="98"/>
      <c r="G42" s="99" t="s">
        <v>87</v>
      </c>
      <c r="H42" s="99"/>
    </row>
    <row r="43" spans="1:8" ht="21.75" customHeight="1" thickBot="1" x14ac:dyDescent="0.3">
      <c r="A43" s="32"/>
      <c r="B43" s="33"/>
      <c r="C43" s="34" t="s">
        <v>88</v>
      </c>
      <c r="D43" s="34" t="s">
        <v>89</v>
      </c>
      <c r="E43" s="35" t="s">
        <v>88</v>
      </c>
      <c r="F43" s="35" t="s">
        <v>89</v>
      </c>
      <c r="G43" s="35" t="s">
        <v>88</v>
      </c>
      <c r="H43" s="36" t="s">
        <v>89</v>
      </c>
    </row>
    <row r="44" spans="1:8" ht="21.75" customHeight="1" x14ac:dyDescent="0.25">
      <c r="A44" s="37"/>
      <c r="B44" s="38" t="s">
        <v>109</v>
      </c>
      <c r="C44" s="39"/>
      <c r="D44" s="39"/>
      <c r="E44" s="40">
        <v>200064.46</v>
      </c>
      <c r="F44" s="40">
        <v>200064.46</v>
      </c>
      <c r="G44" s="39"/>
      <c r="H44" s="42"/>
    </row>
    <row r="45" spans="1:8" ht="21.75" customHeight="1" x14ac:dyDescent="0.25">
      <c r="A45" s="28"/>
      <c r="B45" s="62" t="s">
        <v>110</v>
      </c>
      <c r="C45" s="39"/>
      <c r="D45" s="39"/>
      <c r="E45" s="40">
        <v>159175.24</v>
      </c>
      <c r="F45" s="40">
        <v>159175.24</v>
      </c>
      <c r="G45" s="39"/>
      <c r="H45" s="42"/>
    </row>
    <row r="46" spans="1:8" ht="21.75" customHeight="1" x14ac:dyDescent="0.25">
      <c r="A46" s="28"/>
      <c r="B46" s="63"/>
      <c r="C46" s="39"/>
      <c r="D46" s="39"/>
      <c r="E46" s="39"/>
      <c r="F46" s="40">
        <v>132155.43</v>
      </c>
      <c r="G46" s="39"/>
      <c r="H46" s="42"/>
    </row>
    <row r="47" spans="1:8" ht="21.75" customHeight="1" x14ac:dyDescent="0.25">
      <c r="A47" s="28"/>
      <c r="B47" s="63" t="s">
        <v>111</v>
      </c>
      <c r="C47" s="39"/>
      <c r="D47" s="39"/>
      <c r="E47" s="40">
        <v>8500.84</v>
      </c>
      <c r="F47" s="40">
        <v>1442.89</v>
      </c>
      <c r="G47" s="39"/>
      <c r="H47" s="42"/>
    </row>
    <row r="48" spans="1:8" ht="21.75" customHeight="1" x14ac:dyDescent="0.25">
      <c r="A48" s="28"/>
      <c r="B48" s="63" t="s">
        <v>163</v>
      </c>
      <c r="C48" s="39"/>
      <c r="D48" s="39"/>
      <c r="E48" s="40">
        <v>4695.88</v>
      </c>
      <c r="F48" s="41">
        <v>811.88</v>
      </c>
      <c r="G48" s="39"/>
      <c r="H48" s="42"/>
    </row>
    <row r="49" spans="1:8" ht="21.75" customHeight="1" x14ac:dyDescent="0.25">
      <c r="A49" s="28"/>
      <c r="B49" s="63" t="s">
        <v>164</v>
      </c>
      <c r="C49" s="39"/>
      <c r="D49" s="39"/>
      <c r="E49" s="41">
        <v>894.78</v>
      </c>
      <c r="F49" s="41">
        <v>151.1</v>
      </c>
      <c r="G49" s="39"/>
      <c r="H49" s="42"/>
    </row>
    <row r="50" spans="1:8" ht="21.75" customHeight="1" x14ac:dyDescent="0.25">
      <c r="A50" s="28"/>
      <c r="B50" s="63" t="s">
        <v>112</v>
      </c>
      <c r="C50" s="39"/>
      <c r="D50" s="39"/>
      <c r="E50" s="40">
        <v>46261.67</v>
      </c>
      <c r="F50" s="40">
        <v>7851.21</v>
      </c>
      <c r="G50" s="39"/>
      <c r="H50" s="42"/>
    </row>
    <row r="51" spans="1:8" ht="21.75" customHeight="1" x14ac:dyDescent="0.25">
      <c r="A51" s="28"/>
      <c r="B51" s="63" t="s">
        <v>113</v>
      </c>
      <c r="C51" s="39"/>
      <c r="D51" s="39"/>
      <c r="E51" s="40">
        <v>14090.1</v>
      </c>
      <c r="F51" s="40">
        <v>2391.33</v>
      </c>
      <c r="G51" s="39"/>
      <c r="H51" s="42"/>
    </row>
    <row r="52" spans="1:8" ht="21.75" customHeight="1" x14ac:dyDescent="0.25">
      <c r="A52" s="28"/>
      <c r="B52" s="63" t="s">
        <v>114</v>
      </c>
      <c r="C52" s="39"/>
      <c r="D52" s="39"/>
      <c r="E52" s="40">
        <v>3844.04</v>
      </c>
      <c r="F52" s="41">
        <v>652.47</v>
      </c>
      <c r="G52" s="39"/>
      <c r="H52" s="42"/>
    </row>
    <row r="53" spans="1:8" ht="21.75" customHeight="1" x14ac:dyDescent="0.25">
      <c r="A53" s="28"/>
      <c r="B53" s="63" t="s">
        <v>115</v>
      </c>
      <c r="C53" s="39"/>
      <c r="D53" s="39"/>
      <c r="E53" s="40">
        <v>1186.21</v>
      </c>
      <c r="F53" s="41">
        <v>201.34</v>
      </c>
      <c r="G53" s="39"/>
      <c r="H53" s="42"/>
    </row>
    <row r="54" spans="1:8" ht="21.75" customHeight="1" x14ac:dyDescent="0.25">
      <c r="A54" s="28"/>
      <c r="B54" s="63" t="s">
        <v>116</v>
      </c>
      <c r="C54" s="39"/>
      <c r="D54" s="39"/>
      <c r="E54" s="40">
        <v>2248.46</v>
      </c>
      <c r="F54" s="41">
        <v>380.51</v>
      </c>
      <c r="G54" s="39"/>
      <c r="H54" s="42"/>
    </row>
    <row r="55" spans="1:8" ht="21.75" customHeight="1" x14ac:dyDescent="0.25">
      <c r="A55" s="28"/>
      <c r="B55" s="63" t="s">
        <v>165</v>
      </c>
      <c r="C55" s="39"/>
      <c r="D55" s="39"/>
      <c r="E55" s="40">
        <v>9160.17</v>
      </c>
      <c r="F55" s="40">
        <v>1533.05</v>
      </c>
      <c r="G55" s="39"/>
      <c r="H55" s="42"/>
    </row>
    <row r="56" spans="1:8" ht="21.75" customHeight="1" x14ac:dyDescent="0.25">
      <c r="A56" s="28"/>
      <c r="B56" s="63" t="s">
        <v>166</v>
      </c>
      <c r="C56" s="39"/>
      <c r="D56" s="39"/>
      <c r="E56" s="40">
        <v>4819.51</v>
      </c>
      <c r="F56" s="41">
        <v>813.5</v>
      </c>
      <c r="G56" s="39"/>
      <c r="H56" s="42"/>
    </row>
    <row r="57" spans="1:8" ht="21.75" customHeight="1" x14ac:dyDescent="0.25">
      <c r="A57" s="28"/>
      <c r="B57" s="63" t="s">
        <v>117</v>
      </c>
      <c r="C57" s="39"/>
      <c r="D57" s="39"/>
      <c r="E57" s="40">
        <v>12576.44</v>
      </c>
      <c r="F57" s="40">
        <v>2136.0100000000002</v>
      </c>
      <c r="G57" s="39"/>
      <c r="H57" s="42"/>
    </row>
    <row r="58" spans="1:8" ht="21.75" customHeight="1" x14ac:dyDescent="0.25">
      <c r="A58" s="28"/>
      <c r="B58" s="63" t="s">
        <v>167</v>
      </c>
      <c r="C58" s="39"/>
      <c r="D58" s="39"/>
      <c r="E58" s="40">
        <v>5254.4</v>
      </c>
      <c r="F58" s="41">
        <v>879.02</v>
      </c>
      <c r="G58" s="39"/>
      <c r="H58" s="42"/>
    </row>
    <row r="59" spans="1:8" ht="21.75" customHeight="1" x14ac:dyDescent="0.25">
      <c r="A59" s="28"/>
      <c r="B59" s="63" t="s">
        <v>118</v>
      </c>
      <c r="C59" s="39"/>
      <c r="D59" s="39"/>
      <c r="E59" s="40">
        <v>4812.46</v>
      </c>
      <c r="F59" s="41">
        <v>815.67</v>
      </c>
      <c r="G59" s="39"/>
      <c r="H59" s="42"/>
    </row>
    <row r="60" spans="1:8" ht="21.75" customHeight="1" x14ac:dyDescent="0.25">
      <c r="A60" s="28"/>
      <c r="B60" s="63" t="s">
        <v>119</v>
      </c>
      <c r="C60" s="39"/>
      <c r="D60" s="39"/>
      <c r="E60" s="40">
        <v>16308.11</v>
      </c>
      <c r="F60" s="40">
        <v>2806.51</v>
      </c>
      <c r="G60" s="39"/>
      <c r="H60" s="42"/>
    </row>
    <row r="61" spans="1:8" ht="21.75" customHeight="1" x14ac:dyDescent="0.25">
      <c r="A61" s="28"/>
      <c r="B61" s="63" t="s">
        <v>120</v>
      </c>
      <c r="C61" s="39"/>
      <c r="D61" s="39"/>
      <c r="E61" s="40">
        <v>24522.17</v>
      </c>
      <c r="F61" s="40">
        <v>4153.32</v>
      </c>
      <c r="G61" s="39"/>
      <c r="H61" s="42"/>
    </row>
    <row r="62" spans="1:8" ht="21.75" customHeight="1" x14ac:dyDescent="0.25">
      <c r="A62" s="28"/>
      <c r="B62" s="62" t="s">
        <v>121</v>
      </c>
      <c r="C62" s="39"/>
      <c r="D62" s="39"/>
      <c r="E62" s="40">
        <v>40889.22</v>
      </c>
      <c r="F62" s="40">
        <v>40889.22</v>
      </c>
      <c r="G62" s="39"/>
      <c r="H62" s="42"/>
    </row>
    <row r="63" spans="1:8" ht="21.75" customHeight="1" x14ac:dyDescent="0.25">
      <c r="A63" s="28"/>
      <c r="B63" s="63"/>
      <c r="C63" s="39"/>
      <c r="D63" s="39"/>
      <c r="E63" s="39"/>
      <c r="F63" s="40">
        <v>39096.43</v>
      </c>
      <c r="G63" s="39"/>
      <c r="H63" s="42"/>
    </row>
    <row r="64" spans="1:8" ht="21.75" customHeight="1" x14ac:dyDescent="0.25">
      <c r="A64" s="28"/>
      <c r="B64" s="63" t="s">
        <v>111</v>
      </c>
      <c r="C64" s="39"/>
      <c r="D64" s="39"/>
      <c r="E64" s="40">
        <v>3144.51</v>
      </c>
      <c r="F64" s="41">
        <v>157.08000000000001</v>
      </c>
      <c r="G64" s="39"/>
      <c r="H64" s="42"/>
    </row>
    <row r="65" spans="1:8" ht="21.75" customHeight="1" x14ac:dyDescent="0.25">
      <c r="A65" s="28"/>
      <c r="B65" s="63" t="s">
        <v>122</v>
      </c>
      <c r="C65" s="39"/>
      <c r="D65" s="39"/>
      <c r="E65" s="40">
        <v>2652</v>
      </c>
      <c r="F65" s="39"/>
      <c r="G65" s="39"/>
      <c r="H65" s="42"/>
    </row>
    <row r="66" spans="1:8" ht="21.75" customHeight="1" x14ac:dyDescent="0.25">
      <c r="A66" s="28"/>
      <c r="B66" s="63" t="s">
        <v>123</v>
      </c>
      <c r="C66" s="39"/>
      <c r="D66" s="39"/>
      <c r="E66" s="41">
        <v>468.93</v>
      </c>
      <c r="F66" s="41">
        <v>23.43</v>
      </c>
      <c r="G66" s="39"/>
      <c r="H66" s="42"/>
    </row>
    <row r="67" spans="1:8" ht="21.75" customHeight="1" x14ac:dyDescent="0.25">
      <c r="A67" s="28"/>
      <c r="B67" s="63" t="s">
        <v>112</v>
      </c>
      <c r="C67" s="39"/>
      <c r="D67" s="39"/>
      <c r="E67" s="40">
        <v>13515.93</v>
      </c>
      <c r="F67" s="41">
        <v>712.44</v>
      </c>
      <c r="G67" s="39"/>
      <c r="H67" s="42"/>
    </row>
    <row r="68" spans="1:8" ht="21.75" customHeight="1" x14ac:dyDescent="0.25">
      <c r="A68" s="28"/>
      <c r="B68" s="63" t="s">
        <v>113</v>
      </c>
      <c r="C68" s="39"/>
      <c r="D68" s="39"/>
      <c r="E68" s="40">
        <v>4118.1099999999997</v>
      </c>
      <c r="F68" s="41">
        <v>218.53</v>
      </c>
      <c r="G68" s="39"/>
      <c r="H68" s="42"/>
    </row>
    <row r="69" spans="1:8" ht="21.75" customHeight="1" x14ac:dyDescent="0.25">
      <c r="A69" s="28"/>
      <c r="B69" s="63" t="s">
        <v>114</v>
      </c>
      <c r="C69" s="39"/>
      <c r="D69" s="39"/>
      <c r="E69" s="40">
        <v>1122.5899999999999</v>
      </c>
      <c r="F69" s="41">
        <v>58.76</v>
      </c>
      <c r="G69" s="39"/>
      <c r="H69" s="42"/>
    </row>
    <row r="70" spans="1:8" ht="21.75" customHeight="1" x14ac:dyDescent="0.25">
      <c r="A70" s="28"/>
      <c r="B70" s="63" t="s">
        <v>115</v>
      </c>
      <c r="C70" s="39"/>
      <c r="D70" s="39"/>
      <c r="E70" s="41">
        <v>346.43</v>
      </c>
      <c r="F70" s="41">
        <v>18.13</v>
      </c>
      <c r="G70" s="39"/>
      <c r="H70" s="42"/>
    </row>
    <row r="71" spans="1:8" ht="21.75" customHeight="1" x14ac:dyDescent="0.25">
      <c r="A71" s="29"/>
      <c r="B71" s="63" t="s">
        <v>116</v>
      </c>
      <c r="C71" s="39"/>
      <c r="D71" s="39"/>
      <c r="E71" s="41">
        <v>643.15</v>
      </c>
      <c r="F71" s="41">
        <v>46.65</v>
      </c>
      <c r="G71" s="39"/>
      <c r="H71" s="42"/>
    </row>
    <row r="72" spans="1:8" ht="21.75" customHeight="1" x14ac:dyDescent="0.25">
      <c r="A72" s="26"/>
      <c r="B72" s="63" t="s">
        <v>118</v>
      </c>
      <c r="C72" s="39"/>
      <c r="D72" s="39"/>
      <c r="E72" s="40">
        <v>1329.94</v>
      </c>
      <c r="F72" s="41">
        <v>90.23</v>
      </c>
      <c r="G72" s="39"/>
      <c r="H72" s="42"/>
    </row>
    <row r="73" spans="1:8" ht="21.75" customHeight="1" x14ac:dyDescent="0.25">
      <c r="A73" s="26"/>
      <c r="B73" s="63" t="s">
        <v>119</v>
      </c>
      <c r="C73" s="39"/>
      <c r="D73" s="39"/>
      <c r="E73" s="40">
        <v>6600</v>
      </c>
      <c r="F73" s="39"/>
      <c r="G73" s="39"/>
      <c r="H73" s="42"/>
    </row>
    <row r="74" spans="1:8" ht="21.75" customHeight="1" thickBot="1" x14ac:dyDescent="0.3">
      <c r="A74" s="26"/>
      <c r="B74" s="63" t="s">
        <v>120</v>
      </c>
      <c r="C74" s="39"/>
      <c r="D74" s="39"/>
      <c r="E74" s="40">
        <v>6947.63</v>
      </c>
      <c r="F74" s="41">
        <v>467.54</v>
      </c>
      <c r="G74" s="39"/>
      <c r="H74" s="42"/>
    </row>
    <row r="75" spans="1:8" ht="21.75" customHeight="1" x14ac:dyDescent="0.25">
      <c r="A75" s="26"/>
      <c r="B75" s="43" t="s">
        <v>101</v>
      </c>
      <c r="C75" s="44"/>
      <c r="D75" s="44"/>
      <c r="E75" s="45">
        <v>200064.46</v>
      </c>
      <c r="F75" s="45">
        <v>200064.46</v>
      </c>
      <c r="G75" s="44"/>
      <c r="H75" s="46"/>
    </row>
    <row r="76" spans="1:8" ht="21.75" customHeight="1" x14ac:dyDescent="0.25">
      <c r="A76" s="26"/>
      <c r="B76" s="26"/>
      <c r="C76" s="26"/>
      <c r="D76" s="26"/>
      <c r="E76" s="26"/>
      <c r="F76" s="26"/>
      <c r="G76" s="26"/>
      <c r="H76" s="26"/>
    </row>
    <row r="77" spans="1:8" ht="21.75" customHeight="1" x14ac:dyDescent="0.25">
      <c r="B77" s="25" t="s">
        <v>160</v>
      </c>
      <c r="C77" s="26"/>
      <c r="D77" s="26"/>
      <c r="E77" s="26"/>
      <c r="F77" s="26"/>
      <c r="G77" s="26"/>
      <c r="H77" s="26"/>
    </row>
    <row r="78" spans="1:8" ht="21.75" customHeight="1" x14ac:dyDescent="0.25">
      <c r="B78" s="100" t="s">
        <v>81</v>
      </c>
      <c r="C78" s="100"/>
      <c r="D78" s="100"/>
      <c r="E78" s="100"/>
      <c r="F78" s="100"/>
      <c r="G78" s="100"/>
      <c r="H78" s="100"/>
    </row>
    <row r="79" spans="1:8" ht="21.75" customHeight="1" x14ac:dyDescent="0.25">
      <c r="B79" s="101" t="s">
        <v>170</v>
      </c>
      <c r="C79" s="101"/>
      <c r="D79" s="101"/>
      <c r="E79" s="101"/>
      <c r="F79" s="101"/>
      <c r="G79" s="101"/>
      <c r="H79" s="101"/>
    </row>
    <row r="80" spans="1:8" ht="21.75" customHeight="1" x14ac:dyDescent="0.25">
      <c r="B80" s="95" t="s">
        <v>82</v>
      </c>
      <c r="C80" s="95"/>
      <c r="D80" s="95"/>
      <c r="E80" s="95"/>
      <c r="F80" s="95"/>
      <c r="G80" s="95"/>
      <c r="H80" s="95"/>
    </row>
    <row r="81" spans="2:8" ht="21.75" customHeight="1" x14ac:dyDescent="0.25">
      <c r="B81" s="96" t="s">
        <v>83</v>
      </c>
      <c r="C81" s="96"/>
      <c r="D81" s="96"/>
      <c r="E81" s="96"/>
      <c r="F81" s="96"/>
      <c r="G81" s="96"/>
      <c r="H81" s="96"/>
    </row>
    <row r="82" spans="2:8" ht="21.75" customHeight="1" x14ac:dyDescent="0.25">
      <c r="B82" s="95" t="s">
        <v>171</v>
      </c>
      <c r="C82" s="95"/>
      <c r="D82" s="95"/>
      <c r="E82" s="95"/>
      <c r="F82" s="95"/>
      <c r="G82" s="95"/>
      <c r="H82" s="95"/>
    </row>
    <row r="83" spans="2:8" ht="21.75" customHeight="1" thickBot="1" x14ac:dyDescent="0.3">
      <c r="B83" s="26"/>
      <c r="C83" s="26"/>
      <c r="D83" s="26"/>
      <c r="E83" s="26"/>
      <c r="F83" s="26"/>
      <c r="G83" s="26"/>
      <c r="H83" s="26"/>
    </row>
    <row r="84" spans="2:8" ht="21.75" customHeight="1" x14ac:dyDescent="0.25">
      <c r="B84" s="31" t="s">
        <v>84</v>
      </c>
      <c r="C84" s="97" t="s">
        <v>85</v>
      </c>
      <c r="D84" s="97"/>
      <c r="E84" s="98" t="s">
        <v>86</v>
      </c>
      <c r="F84" s="98"/>
      <c r="G84" s="99" t="s">
        <v>87</v>
      </c>
      <c r="H84" s="99"/>
    </row>
    <row r="85" spans="2:8" ht="21.75" customHeight="1" thickBot="1" x14ac:dyDescent="0.3">
      <c r="B85" s="33"/>
      <c r="C85" s="34" t="s">
        <v>88</v>
      </c>
      <c r="D85" s="34" t="s">
        <v>89</v>
      </c>
      <c r="E85" s="35" t="s">
        <v>88</v>
      </c>
      <c r="F85" s="35" t="s">
        <v>89</v>
      </c>
      <c r="G85" s="35" t="s">
        <v>88</v>
      </c>
      <c r="H85" s="36" t="s">
        <v>89</v>
      </c>
    </row>
    <row r="86" spans="2:8" ht="21.75" customHeight="1" x14ac:dyDescent="0.25">
      <c r="B86" s="38" t="s">
        <v>90</v>
      </c>
      <c r="C86" s="39"/>
      <c r="D86" s="39"/>
      <c r="E86" s="39"/>
      <c r="F86" s="40">
        <v>41734.92</v>
      </c>
      <c r="G86" s="39"/>
      <c r="H86" s="42"/>
    </row>
    <row r="87" spans="2:8" ht="21.75" customHeight="1" x14ac:dyDescent="0.25">
      <c r="B87" s="38" t="s">
        <v>91</v>
      </c>
      <c r="C87" s="39"/>
      <c r="D87" s="39"/>
      <c r="E87" s="39"/>
      <c r="F87" s="40">
        <v>41734.92</v>
      </c>
      <c r="G87" s="39"/>
      <c r="H87" s="42"/>
    </row>
    <row r="88" spans="2:8" ht="21.75" customHeight="1" x14ac:dyDescent="0.25">
      <c r="B88" s="62" t="s">
        <v>92</v>
      </c>
      <c r="C88" s="39"/>
      <c r="D88" s="39"/>
      <c r="E88" s="39"/>
      <c r="F88" s="40">
        <v>41734.92</v>
      </c>
      <c r="G88" s="39"/>
      <c r="H88" s="42"/>
    </row>
    <row r="89" spans="2:8" ht="21.75" customHeight="1" x14ac:dyDescent="0.25">
      <c r="B89" s="38" t="s">
        <v>94</v>
      </c>
      <c r="C89" s="39"/>
      <c r="D89" s="39"/>
      <c r="E89" s="40">
        <v>17887.939999999999</v>
      </c>
      <c r="F89" s="39"/>
      <c r="G89" s="39"/>
      <c r="H89" s="42"/>
    </row>
    <row r="90" spans="2:8" ht="21.75" customHeight="1" x14ac:dyDescent="0.25">
      <c r="B90" s="38" t="s">
        <v>95</v>
      </c>
      <c r="C90" s="39"/>
      <c r="D90" s="39"/>
      <c r="E90" s="40">
        <v>17887.939999999999</v>
      </c>
      <c r="F90" s="39"/>
      <c r="G90" s="39"/>
      <c r="H90" s="42"/>
    </row>
    <row r="91" spans="2:8" ht="21.75" customHeight="1" x14ac:dyDescent="0.25">
      <c r="B91" s="62" t="s">
        <v>92</v>
      </c>
      <c r="C91" s="39"/>
      <c r="D91" s="39"/>
      <c r="E91" s="40">
        <v>17887.939999999999</v>
      </c>
      <c r="F91" s="39"/>
      <c r="G91" s="39"/>
      <c r="H91" s="42"/>
    </row>
    <row r="92" spans="2:8" ht="21.75" customHeight="1" x14ac:dyDescent="0.25">
      <c r="B92" s="38" t="s">
        <v>96</v>
      </c>
      <c r="C92" s="39"/>
      <c r="D92" s="39"/>
      <c r="E92" s="40">
        <v>6366.34</v>
      </c>
      <c r="F92" s="39"/>
      <c r="G92" s="39"/>
      <c r="H92" s="42"/>
    </row>
    <row r="93" spans="2:8" ht="21.75" customHeight="1" x14ac:dyDescent="0.25">
      <c r="B93" s="62" t="s">
        <v>92</v>
      </c>
      <c r="C93" s="39"/>
      <c r="D93" s="39"/>
      <c r="E93" s="40">
        <v>6366.34</v>
      </c>
      <c r="F93" s="39"/>
      <c r="G93" s="39"/>
      <c r="H93" s="42"/>
    </row>
    <row r="94" spans="2:8" ht="21.75" customHeight="1" x14ac:dyDescent="0.25">
      <c r="B94" s="38" t="s">
        <v>97</v>
      </c>
      <c r="C94" s="39"/>
      <c r="D94" s="39"/>
      <c r="E94" s="41">
        <v>410.98</v>
      </c>
      <c r="F94" s="39"/>
      <c r="G94" s="39"/>
      <c r="H94" s="42"/>
    </row>
    <row r="95" spans="2:8" ht="21.75" customHeight="1" x14ac:dyDescent="0.25">
      <c r="B95" s="38" t="s">
        <v>98</v>
      </c>
      <c r="C95" s="39"/>
      <c r="D95" s="39"/>
      <c r="E95" s="41">
        <v>410.98</v>
      </c>
      <c r="F95" s="39"/>
      <c r="G95" s="39"/>
      <c r="H95" s="42"/>
    </row>
    <row r="96" spans="2:8" ht="21.75" customHeight="1" x14ac:dyDescent="0.25">
      <c r="B96" s="62" t="s">
        <v>92</v>
      </c>
      <c r="C96" s="39"/>
      <c r="D96" s="39"/>
      <c r="E96" s="41">
        <v>410.98</v>
      </c>
      <c r="F96" s="39"/>
      <c r="G96" s="39"/>
      <c r="H96" s="42"/>
    </row>
    <row r="97" spans="2:8" ht="21.75" customHeight="1" x14ac:dyDescent="0.25">
      <c r="B97" s="38" t="s">
        <v>99</v>
      </c>
      <c r="C97" s="39"/>
      <c r="D97" s="39"/>
      <c r="E97" s="41">
        <v>382.04</v>
      </c>
      <c r="F97" s="39"/>
      <c r="G97" s="39"/>
      <c r="H97" s="42"/>
    </row>
    <row r="98" spans="2:8" ht="21.75" customHeight="1" x14ac:dyDescent="0.25">
      <c r="B98" s="38" t="s">
        <v>100</v>
      </c>
      <c r="C98" s="39"/>
      <c r="D98" s="39"/>
      <c r="E98" s="41">
        <v>382.04</v>
      </c>
      <c r="F98" s="39"/>
      <c r="G98" s="39"/>
      <c r="H98" s="42"/>
    </row>
    <row r="99" spans="2:8" ht="21.75" customHeight="1" thickBot="1" x14ac:dyDescent="0.3">
      <c r="B99" s="62" t="s">
        <v>92</v>
      </c>
      <c r="C99" s="39"/>
      <c r="D99" s="39"/>
      <c r="E99" s="41">
        <v>382.04</v>
      </c>
      <c r="F99" s="39"/>
      <c r="G99" s="39"/>
      <c r="H99" s="42"/>
    </row>
    <row r="100" spans="2:8" ht="21.75" customHeight="1" x14ac:dyDescent="0.25">
      <c r="B100" s="43" t="s">
        <v>101</v>
      </c>
      <c r="C100" s="44"/>
      <c r="D100" s="44"/>
      <c r="E100" s="45">
        <v>25047.3</v>
      </c>
      <c r="F100" s="45">
        <v>41734.92</v>
      </c>
      <c r="G100" s="44"/>
      <c r="H100" s="46"/>
    </row>
    <row r="102" spans="2:8" ht="21.75" customHeight="1" x14ac:dyDescent="0.25">
      <c r="B102" s="25" t="s">
        <v>160</v>
      </c>
      <c r="C102" s="26"/>
      <c r="D102" s="26"/>
      <c r="E102" s="26"/>
      <c r="F102" s="26"/>
      <c r="G102" s="26"/>
      <c r="H102" s="26"/>
    </row>
    <row r="103" spans="2:8" ht="21.75" customHeight="1" x14ac:dyDescent="0.25">
      <c r="B103" s="100" t="s">
        <v>106</v>
      </c>
      <c r="C103" s="100"/>
      <c r="D103" s="100"/>
      <c r="E103" s="100"/>
      <c r="F103" s="100"/>
      <c r="G103" s="100"/>
      <c r="H103" s="100"/>
    </row>
    <row r="104" spans="2:8" ht="21.75" customHeight="1" x14ac:dyDescent="0.25">
      <c r="B104" s="101" t="s">
        <v>170</v>
      </c>
      <c r="C104" s="101"/>
      <c r="D104" s="101"/>
      <c r="E104" s="101"/>
      <c r="F104" s="101"/>
      <c r="G104" s="101"/>
      <c r="H104" s="101"/>
    </row>
    <row r="105" spans="2:8" ht="21.75" customHeight="1" x14ac:dyDescent="0.25">
      <c r="B105" s="95" t="s">
        <v>107</v>
      </c>
      <c r="C105" s="95"/>
      <c r="D105" s="95"/>
      <c r="E105" s="95"/>
      <c r="F105" s="95"/>
      <c r="G105" s="95"/>
      <c r="H105" s="95"/>
    </row>
    <row r="106" spans="2:8" ht="21.75" customHeight="1" x14ac:dyDescent="0.25">
      <c r="B106" s="96" t="s">
        <v>83</v>
      </c>
      <c r="C106" s="96"/>
      <c r="D106" s="96"/>
      <c r="E106" s="96"/>
      <c r="F106" s="96"/>
      <c r="G106" s="96"/>
      <c r="H106" s="96"/>
    </row>
    <row r="107" spans="2:8" ht="21.75" customHeight="1" x14ac:dyDescent="0.25">
      <c r="B107" s="95" t="s">
        <v>108</v>
      </c>
      <c r="C107" s="95"/>
      <c r="D107" s="95"/>
      <c r="E107" s="95"/>
      <c r="F107" s="95"/>
      <c r="G107" s="95"/>
      <c r="H107" s="95"/>
    </row>
    <row r="108" spans="2:8" ht="21.75" customHeight="1" thickBot="1" x14ac:dyDescent="0.3">
      <c r="B108" s="26"/>
      <c r="C108" s="26"/>
      <c r="D108" s="26"/>
      <c r="E108" s="26"/>
      <c r="F108" s="26"/>
      <c r="G108" s="26"/>
      <c r="H108" s="26"/>
    </row>
    <row r="109" spans="2:8" ht="21.75" customHeight="1" x14ac:dyDescent="0.25">
      <c r="B109" s="31" t="s">
        <v>84</v>
      </c>
      <c r="C109" s="97" t="s">
        <v>85</v>
      </c>
      <c r="D109" s="97"/>
      <c r="E109" s="98" t="s">
        <v>86</v>
      </c>
      <c r="F109" s="98"/>
      <c r="G109" s="99" t="s">
        <v>87</v>
      </c>
      <c r="H109" s="99"/>
    </row>
    <row r="110" spans="2:8" ht="21.75" customHeight="1" thickBot="1" x14ac:dyDescent="0.3">
      <c r="B110" s="33"/>
      <c r="C110" s="34" t="s">
        <v>88</v>
      </c>
      <c r="D110" s="34" t="s">
        <v>89</v>
      </c>
      <c r="E110" s="35" t="s">
        <v>88</v>
      </c>
      <c r="F110" s="35" t="s">
        <v>89</v>
      </c>
      <c r="G110" s="35" t="s">
        <v>88</v>
      </c>
      <c r="H110" s="36" t="s">
        <v>89</v>
      </c>
    </row>
    <row r="111" spans="2:8" ht="21.75" customHeight="1" x14ac:dyDescent="0.25">
      <c r="B111" s="38" t="s">
        <v>109</v>
      </c>
      <c r="C111" s="39"/>
      <c r="D111" s="39"/>
      <c r="E111" s="40">
        <v>204022.36</v>
      </c>
      <c r="F111" s="40">
        <v>117169.73</v>
      </c>
      <c r="G111" s="40">
        <v>86852.63</v>
      </c>
      <c r="H111" s="42"/>
    </row>
    <row r="112" spans="2:8" ht="21.75" customHeight="1" x14ac:dyDescent="0.25">
      <c r="B112" s="74" t="s">
        <v>110</v>
      </c>
      <c r="C112" s="75"/>
      <c r="D112" s="75"/>
      <c r="E112" s="76">
        <v>130005.54</v>
      </c>
      <c r="F112" s="76">
        <v>97975.48</v>
      </c>
      <c r="G112" s="76">
        <v>32030.06</v>
      </c>
      <c r="H112" s="77"/>
    </row>
    <row r="113" spans="2:9" ht="21.75" customHeight="1" x14ac:dyDescent="0.25">
      <c r="B113" s="63"/>
      <c r="C113" s="39"/>
      <c r="D113" s="39"/>
      <c r="E113" s="39"/>
      <c r="F113" s="40">
        <v>82088.22</v>
      </c>
      <c r="G113" s="39"/>
      <c r="H113" s="42"/>
    </row>
    <row r="114" spans="2:9" ht="21.75" customHeight="1" x14ac:dyDescent="0.25">
      <c r="B114" s="63" t="s">
        <v>111</v>
      </c>
      <c r="C114" s="39"/>
      <c r="D114" s="39"/>
      <c r="E114" s="40">
        <v>7966.26</v>
      </c>
      <c r="F114" s="41">
        <v>908.31</v>
      </c>
      <c r="G114" s="39"/>
      <c r="H114" s="42"/>
      <c r="I114" s="78"/>
    </row>
    <row r="115" spans="2:9" ht="21.75" customHeight="1" x14ac:dyDescent="0.25">
      <c r="B115" s="63" t="s">
        <v>112</v>
      </c>
      <c r="C115" s="39"/>
      <c r="D115" s="39"/>
      <c r="E115" s="40">
        <v>30194.07</v>
      </c>
      <c r="F115" s="40">
        <v>4886.21</v>
      </c>
      <c r="G115" s="39"/>
      <c r="H115" s="42"/>
      <c r="I115" s="78"/>
    </row>
    <row r="116" spans="2:9" ht="21.75" customHeight="1" x14ac:dyDescent="0.25">
      <c r="B116" s="79" t="s">
        <v>113</v>
      </c>
      <c r="C116" s="80"/>
      <c r="D116" s="80"/>
      <c r="E116" s="81">
        <v>9070.52</v>
      </c>
      <c r="F116" s="81">
        <v>1467.67</v>
      </c>
      <c r="G116" s="80"/>
      <c r="H116" s="82"/>
      <c r="I116" s="78"/>
    </row>
    <row r="117" spans="2:9" ht="21.75" customHeight="1" x14ac:dyDescent="0.25">
      <c r="B117" s="79" t="s">
        <v>114</v>
      </c>
      <c r="C117" s="80"/>
      <c r="D117" s="80"/>
      <c r="E117" s="81">
        <v>2495.61</v>
      </c>
      <c r="F117" s="83">
        <v>403.8</v>
      </c>
      <c r="G117" s="80"/>
      <c r="H117" s="82"/>
      <c r="I117" s="78"/>
    </row>
    <row r="118" spans="2:9" ht="21.75" customHeight="1" x14ac:dyDescent="0.25">
      <c r="B118" s="79" t="s">
        <v>115</v>
      </c>
      <c r="C118" s="80"/>
      <c r="D118" s="80"/>
      <c r="E118" s="83">
        <v>770.26</v>
      </c>
      <c r="F118" s="83">
        <v>124.63</v>
      </c>
      <c r="G118" s="80"/>
      <c r="H118" s="82"/>
      <c r="I118" s="78"/>
    </row>
    <row r="119" spans="2:9" ht="21.75" customHeight="1" x14ac:dyDescent="0.25">
      <c r="B119" s="79" t="s">
        <v>116</v>
      </c>
      <c r="C119" s="80"/>
      <c r="D119" s="80"/>
      <c r="E119" s="81">
        <v>1292.55</v>
      </c>
      <c r="F119" s="83">
        <v>185.15</v>
      </c>
      <c r="G119" s="80"/>
      <c r="H119" s="82"/>
      <c r="I119" s="78"/>
    </row>
    <row r="120" spans="2:9" ht="21.75" customHeight="1" x14ac:dyDescent="0.25">
      <c r="B120" s="79" t="s">
        <v>165</v>
      </c>
      <c r="C120" s="80"/>
      <c r="D120" s="80"/>
      <c r="E120" s="81">
        <v>27596.400000000001</v>
      </c>
      <c r="F120" s="81">
        <v>4503.18</v>
      </c>
      <c r="G120" s="80"/>
      <c r="H120" s="82"/>
      <c r="I120" s="78"/>
    </row>
    <row r="121" spans="2:9" ht="21.75" customHeight="1" x14ac:dyDescent="0.25">
      <c r="B121" s="79" t="s">
        <v>117</v>
      </c>
      <c r="C121" s="80"/>
      <c r="D121" s="80"/>
      <c r="E121" s="81">
        <v>3692.13</v>
      </c>
      <c r="F121" s="83">
        <v>593.52</v>
      </c>
      <c r="G121" s="80"/>
      <c r="H121" s="82"/>
      <c r="I121" s="78"/>
    </row>
    <row r="122" spans="2:9" ht="21.75" customHeight="1" x14ac:dyDescent="0.25">
      <c r="B122" s="79" t="s">
        <v>118</v>
      </c>
      <c r="C122" s="80"/>
      <c r="D122" s="80"/>
      <c r="E122" s="81">
        <v>2224.92</v>
      </c>
      <c r="F122" s="83">
        <v>359.91</v>
      </c>
      <c r="G122" s="80"/>
      <c r="H122" s="82"/>
      <c r="I122" s="78"/>
    </row>
    <row r="123" spans="2:9" ht="21.75" customHeight="1" x14ac:dyDescent="0.25">
      <c r="B123" s="79" t="s">
        <v>119</v>
      </c>
      <c r="C123" s="80"/>
      <c r="D123" s="80"/>
      <c r="E123" s="81">
        <v>27471.59</v>
      </c>
      <c r="F123" s="83">
        <v>451.47</v>
      </c>
      <c r="G123" s="80"/>
      <c r="H123" s="82"/>
      <c r="I123" s="78"/>
    </row>
    <row r="124" spans="2:9" ht="21.75" customHeight="1" x14ac:dyDescent="0.25">
      <c r="B124" s="79" t="s">
        <v>120</v>
      </c>
      <c r="C124" s="80"/>
      <c r="D124" s="80"/>
      <c r="E124" s="81">
        <v>17231.23</v>
      </c>
      <c r="F124" s="81">
        <v>2003.41</v>
      </c>
      <c r="G124" s="80"/>
      <c r="H124" s="82"/>
      <c r="I124" s="78"/>
    </row>
    <row r="125" spans="2:9" ht="21.75" customHeight="1" x14ac:dyDescent="0.25">
      <c r="B125" s="74" t="s">
        <v>121</v>
      </c>
      <c r="C125" s="75"/>
      <c r="D125" s="75"/>
      <c r="E125" s="76">
        <v>74016.820000000007</v>
      </c>
      <c r="F125" s="76">
        <v>19194.25</v>
      </c>
      <c r="G125" s="76">
        <v>54822.57</v>
      </c>
      <c r="H125" s="77"/>
    </row>
    <row r="126" spans="2:9" ht="21.75" customHeight="1" x14ac:dyDescent="0.25">
      <c r="B126" s="63"/>
      <c r="C126" s="39"/>
      <c r="D126" s="39"/>
      <c r="E126" s="39"/>
      <c r="F126" s="40">
        <v>19194.25</v>
      </c>
      <c r="G126" s="39"/>
      <c r="H126" s="42"/>
    </row>
    <row r="127" spans="2:9" ht="21.75" customHeight="1" x14ac:dyDescent="0.25">
      <c r="B127" s="63" t="s">
        <v>111</v>
      </c>
      <c r="C127" s="39"/>
      <c r="D127" s="39"/>
      <c r="E127" s="40">
        <v>2987.43</v>
      </c>
      <c r="F127" s="39"/>
      <c r="G127" s="39"/>
      <c r="H127" s="42"/>
    </row>
    <row r="128" spans="2:9" ht="21.75" customHeight="1" x14ac:dyDescent="0.25">
      <c r="B128" s="63" t="s">
        <v>123</v>
      </c>
      <c r="C128" s="39"/>
      <c r="D128" s="39"/>
      <c r="E128" s="41">
        <v>594</v>
      </c>
      <c r="F128" s="39"/>
      <c r="G128" s="39"/>
      <c r="H128" s="42"/>
    </row>
    <row r="129" spans="2:8" ht="21.75" customHeight="1" x14ac:dyDescent="0.25">
      <c r="B129" s="63" t="s">
        <v>112</v>
      </c>
      <c r="C129" s="39"/>
      <c r="D129" s="39"/>
      <c r="E129" s="40">
        <v>8435.9699999999993</v>
      </c>
      <c r="F129" s="39"/>
      <c r="G129" s="39"/>
      <c r="H129" s="42"/>
    </row>
    <row r="130" spans="2:8" ht="21.75" customHeight="1" x14ac:dyDescent="0.25">
      <c r="B130" s="63" t="s">
        <v>113</v>
      </c>
      <c r="C130" s="39"/>
      <c r="D130" s="39"/>
      <c r="E130" s="40">
        <v>2534.27</v>
      </c>
      <c r="F130" s="39"/>
      <c r="G130" s="39"/>
      <c r="H130" s="42"/>
    </row>
    <row r="131" spans="2:8" ht="21.75" customHeight="1" x14ac:dyDescent="0.25">
      <c r="B131" s="63" t="s">
        <v>114</v>
      </c>
      <c r="C131" s="39"/>
      <c r="D131" s="39"/>
      <c r="E131" s="41">
        <v>697.28</v>
      </c>
      <c r="F131" s="39"/>
      <c r="G131" s="39"/>
      <c r="H131" s="42"/>
    </row>
    <row r="132" spans="2:8" ht="21.75" customHeight="1" x14ac:dyDescent="0.25">
      <c r="B132" s="63" t="s">
        <v>115</v>
      </c>
      <c r="C132" s="39"/>
      <c r="D132" s="39"/>
      <c r="E132" s="41">
        <v>215.2</v>
      </c>
      <c r="F132" s="39"/>
      <c r="G132" s="39"/>
      <c r="H132" s="42"/>
    </row>
    <row r="133" spans="2:8" ht="21.75" customHeight="1" x14ac:dyDescent="0.25">
      <c r="B133" s="63" t="s">
        <v>116</v>
      </c>
      <c r="C133" s="39"/>
      <c r="D133" s="39"/>
      <c r="E133" s="41">
        <v>415.93</v>
      </c>
      <c r="F133" s="39"/>
      <c r="G133" s="39"/>
      <c r="H133" s="42"/>
    </row>
    <row r="134" spans="2:8" ht="21.75" customHeight="1" x14ac:dyDescent="0.25">
      <c r="B134" s="63" t="s">
        <v>165</v>
      </c>
      <c r="C134" s="39"/>
      <c r="D134" s="39"/>
      <c r="E134" s="40">
        <v>45200</v>
      </c>
      <c r="F134" s="39"/>
      <c r="G134" s="39"/>
      <c r="H134" s="42"/>
    </row>
    <row r="135" spans="2:8" ht="21.75" customHeight="1" x14ac:dyDescent="0.25">
      <c r="B135" s="63" t="s">
        <v>118</v>
      </c>
      <c r="C135" s="39"/>
      <c r="D135" s="39"/>
      <c r="E135" s="41">
        <v>691.18</v>
      </c>
      <c r="F135" s="39"/>
      <c r="G135" s="39"/>
      <c r="H135" s="42"/>
    </row>
    <row r="136" spans="2:8" ht="21.75" customHeight="1" x14ac:dyDescent="0.25">
      <c r="B136" s="63" t="s">
        <v>119</v>
      </c>
      <c r="C136" s="39"/>
      <c r="D136" s="39"/>
      <c r="E136" s="40">
        <v>6600</v>
      </c>
      <c r="F136" s="39"/>
      <c r="G136" s="39"/>
      <c r="H136" s="42"/>
    </row>
    <row r="137" spans="2:8" ht="21.75" customHeight="1" thickBot="1" x14ac:dyDescent="0.3">
      <c r="B137" s="63" t="s">
        <v>120</v>
      </c>
      <c r="C137" s="39"/>
      <c r="D137" s="39"/>
      <c r="E137" s="40">
        <v>5645.56</v>
      </c>
      <c r="F137" s="39"/>
      <c r="G137" s="39"/>
      <c r="H137" s="42"/>
    </row>
    <row r="138" spans="2:8" ht="21.75" customHeight="1" x14ac:dyDescent="0.25">
      <c r="B138" s="43" t="s">
        <v>101</v>
      </c>
      <c r="C138" s="44"/>
      <c r="D138" s="44"/>
      <c r="E138" s="45">
        <v>204022.36</v>
      </c>
      <c r="F138" s="45">
        <v>117169.73</v>
      </c>
      <c r="G138" s="45">
        <v>86852.63</v>
      </c>
      <c r="H138" s="46"/>
    </row>
    <row r="140" spans="2:8" ht="21.75" customHeight="1" x14ac:dyDescent="0.25">
      <c r="B140" s="25" t="s">
        <v>160</v>
      </c>
      <c r="C140" s="26"/>
      <c r="D140" s="26"/>
      <c r="E140" s="26"/>
      <c r="F140" s="26"/>
      <c r="G140" s="26"/>
      <c r="H140" s="26"/>
    </row>
    <row r="141" spans="2:8" ht="21.75" customHeight="1" x14ac:dyDescent="0.25">
      <c r="B141" s="100" t="s">
        <v>81</v>
      </c>
      <c r="C141" s="100"/>
      <c r="D141" s="100"/>
      <c r="E141" s="100"/>
      <c r="F141" s="100"/>
      <c r="G141" s="100"/>
      <c r="H141" s="100"/>
    </row>
    <row r="142" spans="2:8" ht="21.75" customHeight="1" x14ac:dyDescent="0.25">
      <c r="B142" s="101" t="s">
        <v>173</v>
      </c>
      <c r="C142" s="101"/>
      <c r="D142" s="101"/>
      <c r="E142" s="101"/>
      <c r="F142" s="101"/>
      <c r="G142" s="101"/>
      <c r="H142" s="101"/>
    </row>
    <row r="143" spans="2:8" ht="21.75" customHeight="1" x14ac:dyDescent="0.25">
      <c r="B143" s="95" t="s">
        <v>82</v>
      </c>
      <c r="C143" s="95"/>
      <c r="D143" s="95"/>
      <c r="E143" s="95"/>
      <c r="F143" s="95"/>
      <c r="G143" s="95"/>
      <c r="H143" s="95"/>
    </row>
    <row r="144" spans="2:8" ht="21.75" customHeight="1" x14ac:dyDescent="0.25">
      <c r="B144" s="96" t="s">
        <v>83</v>
      </c>
      <c r="C144" s="96"/>
      <c r="D144" s="96"/>
      <c r="E144" s="96"/>
      <c r="F144" s="96"/>
      <c r="G144" s="96"/>
      <c r="H144" s="96"/>
    </row>
    <row r="145" spans="2:8" ht="21.75" customHeight="1" x14ac:dyDescent="0.25">
      <c r="B145" s="95" t="s">
        <v>171</v>
      </c>
      <c r="C145" s="95"/>
      <c r="D145" s="95"/>
      <c r="E145" s="95"/>
      <c r="F145" s="95"/>
      <c r="G145" s="95"/>
      <c r="H145" s="95"/>
    </row>
    <row r="146" spans="2:8" ht="21.75" customHeight="1" thickBot="1" x14ac:dyDescent="0.3">
      <c r="B146" s="26"/>
      <c r="C146" s="26"/>
      <c r="D146" s="26"/>
      <c r="E146" s="26"/>
      <c r="F146" s="26"/>
      <c r="G146" s="26"/>
      <c r="H146" s="26"/>
    </row>
    <row r="147" spans="2:8" ht="21.75" customHeight="1" x14ac:dyDescent="0.25">
      <c r="B147" s="31" t="s">
        <v>84</v>
      </c>
      <c r="C147" s="97" t="s">
        <v>85</v>
      </c>
      <c r="D147" s="97"/>
      <c r="E147" s="98" t="s">
        <v>86</v>
      </c>
      <c r="F147" s="98"/>
      <c r="G147" s="99" t="s">
        <v>87</v>
      </c>
      <c r="H147" s="99"/>
    </row>
    <row r="148" spans="2:8" ht="21.75" customHeight="1" thickBot="1" x14ac:dyDescent="0.3">
      <c r="B148" s="33"/>
      <c r="C148" s="34" t="s">
        <v>88</v>
      </c>
      <c r="D148" s="34" t="s">
        <v>89</v>
      </c>
      <c r="E148" s="35" t="s">
        <v>88</v>
      </c>
      <c r="F148" s="35" t="s">
        <v>89</v>
      </c>
      <c r="G148" s="35" t="s">
        <v>88</v>
      </c>
      <c r="H148" s="36" t="s">
        <v>89</v>
      </c>
    </row>
    <row r="149" spans="2:8" ht="21.75" customHeight="1" x14ac:dyDescent="0.25">
      <c r="B149" s="38" t="s">
        <v>90</v>
      </c>
      <c r="C149" s="39"/>
      <c r="D149" s="39"/>
      <c r="E149" s="39"/>
      <c r="F149" s="40">
        <v>53276.85</v>
      </c>
      <c r="G149" s="39"/>
      <c r="H149" s="42"/>
    </row>
    <row r="150" spans="2:8" ht="21.75" customHeight="1" x14ac:dyDescent="0.25">
      <c r="B150" s="38" t="s">
        <v>91</v>
      </c>
      <c r="C150" s="39"/>
      <c r="D150" s="39"/>
      <c r="E150" s="39"/>
      <c r="F150" s="40">
        <v>53276.85</v>
      </c>
      <c r="G150" s="39"/>
      <c r="H150" s="42"/>
    </row>
    <row r="151" spans="2:8" ht="21.75" customHeight="1" x14ac:dyDescent="0.25">
      <c r="B151" s="62" t="s">
        <v>92</v>
      </c>
      <c r="C151" s="39"/>
      <c r="D151" s="39"/>
      <c r="E151" s="39"/>
      <c r="F151" s="40">
        <v>53276.85</v>
      </c>
      <c r="G151" s="39"/>
      <c r="H151" s="42"/>
    </row>
    <row r="152" spans="2:8" ht="21.75" customHeight="1" x14ac:dyDescent="0.25">
      <c r="B152" s="38" t="s">
        <v>94</v>
      </c>
      <c r="C152" s="39"/>
      <c r="D152" s="39"/>
      <c r="E152" s="40">
        <v>17377.07</v>
      </c>
      <c r="F152" s="39"/>
      <c r="G152" s="39"/>
      <c r="H152" s="42"/>
    </row>
    <row r="153" spans="2:8" ht="21.75" customHeight="1" x14ac:dyDescent="0.25">
      <c r="B153" s="38" t="s">
        <v>95</v>
      </c>
      <c r="C153" s="39"/>
      <c r="D153" s="39"/>
      <c r="E153" s="40">
        <v>17377.07</v>
      </c>
      <c r="F153" s="39"/>
      <c r="G153" s="39"/>
      <c r="H153" s="42"/>
    </row>
    <row r="154" spans="2:8" ht="21.75" customHeight="1" x14ac:dyDescent="0.25">
      <c r="B154" s="62" t="s">
        <v>92</v>
      </c>
      <c r="C154" s="39"/>
      <c r="D154" s="39"/>
      <c r="E154" s="40">
        <v>17377.07</v>
      </c>
      <c r="F154" s="39"/>
      <c r="G154" s="39"/>
      <c r="H154" s="42"/>
    </row>
    <row r="155" spans="2:8" ht="21.75" customHeight="1" x14ac:dyDescent="0.25">
      <c r="B155" s="38" t="s">
        <v>96</v>
      </c>
      <c r="C155" s="39"/>
      <c r="D155" s="39"/>
      <c r="E155" s="40">
        <v>8126.96</v>
      </c>
      <c r="F155" s="39"/>
      <c r="G155" s="39"/>
      <c r="H155" s="42"/>
    </row>
    <row r="156" spans="2:8" ht="21.75" customHeight="1" x14ac:dyDescent="0.25">
      <c r="B156" s="62" t="s">
        <v>92</v>
      </c>
      <c r="C156" s="39"/>
      <c r="D156" s="39"/>
      <c r="E156" s="40">
        <v>8126.96</v>
      </c>
      <c r="F156" s="39"/>
      <c r="G156" s="39"/>
      <c r="H156" s="42"/>
    </row>
    <row r="157" spans="2:8" ht="21.75" customHeight="1" x14ac:dyDescent="0.25">
      <c r="B157" s="38" t="s">
        <v>97</v>
      </c>
      <c r="C157" s="39"/>
      <c r="D157" s="39"/>
      <c r="E157" s="41">
        <v>460.31</v>
      </c>
      <c r="F157" s="39"/>
      <c r="G157" s="39"/>
      <c r="H157" s="42"/>
    </row>
    <row r="158" spans="2:8" ht="21.75" customHeight="1" x14ac:dyDescent="0.25">
      <c r="B158" s="38" t="s">
        <v>98</v>
      </c>
      <c r="C158" s="39"/>
      <c r="D158" s="39"/>
      <c r="E158" s="41">
        <v>460.31</v>
      </c>
      <c r="F158" s="39"/>
      <c r="G158" s="39"/>
      <c r="H158" s="42"/>
    </row>
    <row r="159" spans="2:8" ht="21.75" customHeight="1" x14ac:dyDescent="0.25">
      <c r="B159" s="62" t="s">
        <v>92</v>
      </c>
      <c r="C159" s="39"/>
      <c r="D159" s="39"/>
      <c r="E159" s="41">
        <v>460.31</v>
      </c>
      <c r="F159" s="39"/>
      <c r="G159" s="39"/>
      <c r="H159" s="42"/>
    </row>
    <row r="160" spans="2:8" ht="21.75" customHeight="1" x14ac:dyDescent="0.25">
      <c r="B160" s="38" t="s">
        <v>99</v>
      </c>
      <c r="C160" s="39"/>
      <c r="D160" s="39"/>
      <c r="E160" s="41">
        <v>309.3</v>
      </c>
      <c r="F160" s="39"/>
      <c r="G160" s="39"/>
      <c r="H160" s="42"/>
    </row>
    <row r="161" spans="2:8" ht="21.75" customHeight="1" x14ac:dyDescent="0.25">
      <c r="B161" s="38" t="s">
        <v>100</v>
      </c>
      <c r="C161" s="39"/>
      <c r="D161" s="39"/>
      <c r="E161" s="41">
        <v>309.3</v>
      </c>
      <c r="F161" s="39"/>
      <c r="G161" s="39"/>
      <c r="H161" s="42"/>
    </row>
    <row r="162" spans="2:8" ht="21.75" customHeight="1" thickBot="1" x14ac:dyDescent="0.3">
      <c r="B162" s="62" t="s">
        <v>92</v>
      </c>
      <c r="C162" s="39"/>
      <c r="D162" s="39"/>
      <c r="E162" s="41">
        <v>309.3</v>
      </c>
      <c r="F162" s="39"/>
      <c r="G162" s="39"/>
      <c r="H162" s="42"/>
    </row>
    <row r="163" spans="2:8" ht="21.75" customHeight="1" x14ac:dyDescent="0.25">
      <c r="B163" s="43" t="s">
        <v>101</v>
      </c>
      <c r="C163" s="44"/>
      <c r="D163" s="44"/>
      <c r="E163" s="45">
        <v>26273.64</v>
      </c>
      <c r="F163" s="45">
        <v>53276.85</v>
      </c>
      <c r="G163" s="44"/>
      <c r="H163" s="46"/>
    </row>
    <row r="165" spans="2:8" ht="21.75" customHeight="1" x14ac:dyDescent="0.25">
      <c r="B165" s="25" t="s">
        <v>160</v>
      </c>
      <c r="C165" s="26"/>
      <c r="D165" s="26"/>
      <c r="E165" s="26"/>
      <c r="F165" s="26"/>
      <c r="G165" s="26"/>
      <c r="H165" s="26"/>
    </row>
    <row r="166" spans="2:8" ht="21.75" customHeight="1" x14ac:dyDescent="0.25">
      <c r="B166" s="100" t="s">
        <v>106</v>
      </c>
      <c r="C166" s="100"/>
      <c r="D166" s="100"/>
      <c r="E166" s="100"/>
      <c r="F166" s="100"/>
      <c r="G166" s="100"/>
      <c r="H166" s="100"/>
    </row>
    <row r="167" spans="2:8" ht="21.75" customHeight="1" x14ac:dyDescent="0.25">
      <c r="B167" s="101" t="s">
        <v>173</v>
      </c>
      <c r="C167" s="101"/>
      <c r="D167" s="101"/>
      <c r="E167" s="101"/>
      <c r="F167" s="101"/>
      <c r="G167" s="101"/>
      <c r="H167" s="101"/>
    </row>
    <row r="168" spans="2:8" ht="21.75" customHeight="1" x14ac:dyDescent="0.25">
      <c r="B168" s="95" t="s">
        <v>107</v>
      </c>
      <c r="C168" s="95"/>
      <c r="D168" s="95"/>
      <c r="E168" s="95"/>
      <c r="F168" s="95"/>
      <c r="G168" s="95"/>
      <c r="H168" s="95"/>
    </row>
    <row r="169" spans="2:8" ht="21.75" customHeight="1" x14ac:dyDescent="0.25">
      <c r="B169" s="96" t="s">
        <v>83</v>
      </c>
      <c r="C169" s="96"/>
      <c r="D169" s="96"/>
      <c r="E169" s="96"/>
      <c r="F169" s="96"/>
      <c r="G169" s="96"/>
      <c r="H169" s="96"/>
    </row>
    <row r="170" spans="2:8" ht="21.75" customHeight="1" x14ac:dyDescent="0.25">
      <c r="B170" s="95" t="s">
        <v>108</v>
      </c>
      <c r="C170" s="95"/>
      <c r="D170" s="95"/>
      <c r="E170" s="95"/>
      <c r="F170" s="95"/>
      <c r="G170" s="95"/>
      <c r="H170" s="95"/>
    </row>
    <row r="171" spans="2:8" ht="21.75" customHeight="1" thickBot="1" x14ac:dyDescent="0.3">
      <c r="B171" s="26"/>
      <c r="C171" s="26"/>
      <c r="D171" s="26"/>
      <c r="E171" s="26"/>
      <c r="F171" s="26"/>
      <c r="G171" s="26"/>
      <c r="H171" s="26"/>
    </row>
    <row r="172" spans="2:8" ht="21.75" customHeight="1" x14ac:dyDescent="0.25">
      <c r="B172" s="31" t="s">
        <v>84</v>
      </c>
      <c r="C172" s="97" t="s">
        <v>85</v>
      </c>
      <c r="D172" s="97"/>
      <c r="E172" s="98" t="s">
        <v>86</v>
      </c>
      <c r="F172" s="98"/>
      <c r="G172" s="99" t="s">
        <v>87</v>
      </c>
      <c r="H172" s="99"/>
    </row>
    <row r="173" spans="2:8" ht="21.75" customHeight="1" thickBot="1" x14ac:dyDescent="0.3">
      <c r="B173" s="33"/>
      <c r="C173" s="34" t="s">
        <v>88</v>
      </c>
      <c r="D173" s="34" t="s">
        <v>89</v>
      </c>
      <c r="E173" s="35" t="s">
        <v>88</v>
      </c>
      <c r="F173" s="35" t="s">
        <v>89</v>
      </c>
      <c r="G173" s="35" t="s">
        <v>88</v>
      </c>
      <c r="H173" s="36" t="s">
        <v>89</v>
      </c>
    </row>
    <row r="174" spans="2:8" ht="21.75" customHeight="1" x14ac:dyDescent="0.25">
      <c r="B174" s="38" t="s">
        <v>109</v>
      </c>
      <c r="C174" s="39"/>
      <c r="D174" s="39"/>
      <c r="E174" s="40">
        <v>161537.37</v>
      </c>
      <c r="F174" s="40">
        <v>138472.32999999999</v>
      </c>
      <c r="G174" s="40">
        <v>23065.040000000001</v>
      </c>
      <c r="H174" s="42"/>
    </row>
    <row r="175" spans="2:8" ht="21.75" customHeight="1" x14ac:dyDescent="0.25">
      <c r="B175" s="74" t="s">
        <v>110</v>
      </c>
      <c r="C175" s="75"/>
      <c r="D175" s="75"/>
      <c r="E175" s="76">
        <v>127427.83</v>
      </c>
      <c r="F175" s="76">
        <v>110129.02</v>
      </c>
      <c r="G175" s="76">
        <v>17298.810000000001</v>
      </c>
      <c r="H175" s="77"/>
    </row>
    <row r="176" spans="2:8" ht="21.75" customHeight="1" x14ac:dyDescent="0.25">
      <c r="B176" s="103"/>
      <c r="C176" s="104"/>
      <c r="D176" s="104"/>
      <c r="E176" s="104"/>
      <c r="F176" s="105">
        <v>96852.9</v>
      </c>
      <c r="G176" s="39"/>
      <c r="H176" s="42"/>
    </row>
    <row r="177" spans="2:9" ht="33" customHeight="1" x14ac:dyDescent="0.25">
      <c r="B177" s="103" t="s">
        <v>111</v>
      </c>
      <c r="C177" s="104"/>
      <c r="D177" s="104"/>
      <c r="E177" s="105">
        <v>8019.58</v>
      </c>
      <c r="F177" s="106">
        <v>961.63</v>
      </c>
      <c r="G177" s="39"/>
      <c r="H177" s="42"/>
      <c r="I177" s="78"/>
    </row>
    <row r="178" spans="2:9" ht="33" customHeight="1" x14ac:dyDescent="0.25">
      <c r="B178" s="103" t="s">
        <v>163</v>
      </c>
      <c r="C178" s="104"/>
      <c r="D178" s="104"/>
      <c r="E178" s="105">
        <v>4363.0200000000004</v>
      </c>
      <c r="F178" s="106">
        <v>590.02</v>
      </c>
      <c r="G178" s="39"/>
      <c r="H178" s="42"/>
      <c r="I178" s="78"/>
    </row>
    <row r="179" spans="2:9" ht="33" customHeight="1" x14ac:dyDescent="0.25">
      <c r="B179" s="103" t="s">
        <v>112</v>
      </c>
      <c r="C179" s="104"/>
      <c r="D179" s="104"/>
      <c r="E179" s="105">
        <v>41982.2</v>
      </c>
      <c r="F179" s="105">
        <v>3324.38</v>
      </c>
      <c r="G179" s="39"/>
      <c r="H179" s="42"/>
      <c r="I179" s="78"/>
    </row>
    <row r="180" spans="2:9" ht="33" customHeight="1" x14ac:dyDescent="0.25">
      <c r="B180" s="103" t="s">
        <v>113</v>
      </c>
      <c r="C180" s="104"/>
      <c r="D180" s="104"/>
      <c r="E180" s="105">
        <v>12893.01</v>
      </c>
      <c r="F180" s="105">
        <v>1021.42</v>
      </c>
      <c r="G180" s="39"/>
      <c r="H180" s="42"/>
      <c r="I180" s="78"/>
    </row>
    <row r="181" spans="2:9" ht="33" customHeight="1" x14ac:dyDescent="0.25">
      <c r="B181" s="103" t="s">
        <v>114</v>
      </c>
      <c r="C181" s="104"/>
      <c r="D181" s="104"/>
      <c r="E181" s="105">
        <v>3558.11</v>
      </c>
      <c r="F181" s="106">
        <v>281.88</v>
      </c>
      <c r="G181" s="39"/>
      <c r="H181" s="42"/>
      <c r="I181" s="78"/>
    </row>
    <row r="182" spans="2:9" ht="33" customHeight="1" x14ac:dyDescent="0.25">
      <c r="B182" s="103" t="s">
        <v>115</v>
      </c>
      <c r="C182" s="104"/>
      <c r="D182" s="104"/>
      <c r="E182" s="105">
        <v>1097.3800000000001</v>
      </c>
      <c r="F182" s="106">
        <v>86.91</v>
      </c>
      <c r="G182" s="39"/>
      <c r="H182" s="42"/>
      <c r="I182" s="78"/>
    </row>
    <row r="183" spans="2:9" ht="33" customHeight="1" x14ac:dyDescent="0.25">
      <c r="B183" s="103" t="s">
        <v>116</v>
      </c>
      <c r="C183" s="104"/>
      <c r="D183" s="104"/>
      <c r="E183" s="105">
        <v>1804.39</v>
      </c>
      <c r="F183" s="106">
        <v>205.61</v>
      </c>
      <c r="G183" s="39"/>
      <c r="H183" s="42"/>
      <c r="I183" s="78"/>
    </row>
    <row r="184" spans="2:9" ht="33" customHeight="1" x14ac:dyDescent="0.25">
      <c r="B184" s="103" t="s">
        <v>118</v>
      </c>
      <c r="C184" s="104"/>
      <c r="D184" s="104"/>
      <c r="E184" s="105">
        <v>2568.5</v>
      </c>
      <c r="F184" s="106">
        <v>289.36</v>
      </c>
      <c r="G184" s="39"/>
      <c r="H184" s="42"/>
      <c r="I184" s="78"/>
    </row>
    <row r="185" spans="2:9" ht="33" customHeight="1" x14ac:dyDescent="0.25">
      <c r="B185" s="103" t="s">
        <v>119</v>
      </c>
      <c r="C185" s="104"/>
      <c r="D185" s="104"/>
      <c r="E185" s="105">
        <v>28733.47</v>
      </c>
      <c r="F185" s="105">
        <v>3823.63</v>
      </c>
      <c r="G185" s="39"/>
      <c r="H185" s="42"/>
      <c r="I185" s="78"/>
    </row>
    <row r="186" spans="2:9" ht="33" customHeight="1" x14ac:dyDescent="0.25">
      <c r="B186" s="103" t="s">
        <v>120</v>
      </c>
      <c r="C186" s="104"/>
      <c r="D186" s="104"/>
      <c r="E186" s="105">
        <v>22408.17</v>
      </c>
      <c r="F186" s="105">
        <v>2691.28</v>
      </c>
      <c r="G186" s="39"/>
      <c r="H186" s="42"/>
      <c r="I186" s="78"/>
    </row>
    <row r="187" spans="2:9" ht="21.75" customHeight="1" x14ac:dyDescent="0.25">
      <c r="B187" s="74" t="s">
        <v>121</v>
      </c>
      <c r="C187" s="75"/>
      <c r="D187" s="75"/>
      <c r="E187" s="76">
        <v>34109.54</v>
      </c>
      <c r="F187" s="76">
        <v>28343.31</v>
      </c>
      <c r="G187" s="76">
        <v>5766.23</v>
      </c>
      <c r="H187" s="77"/>
    </row>
    <row r="188" spans="2:9" ht="21.75" customHeight="1" x14ac:dyDescent="0.25">
      <c r="B188" s="63"/>
      <c r="C188" s="39"/>
      <c r="D188" s="39"/>
      <c r="E188" s="39"/>
      <c r="F188" s="40">
        <v>28343.31</v>
      </c>
      <c r="G188" s="39"/>
      <c r="H188" s="42"/>
    </row>
    <row r="189" spans="2:9" ht="25.5" customHeight="1" x14ac:dyDescent="0.25">
      <c r="B189" s="63" t="s">
        <v>111</v>
      </c>
      <c r="C189" s="39"/>
      <c r="D189" s="39"/>
      <c r="E189" s="40">
        <v>2987.43</v>
      </c>
      <c r="F189" s="39"/>
      <c r="G189" s="39"/>
      <c r="H189" s="42"/>
    </row>
    <row r="190" spans="2:9" ht="25.5" customHeight="1" x14ac:dyDescent="0.25">
      <c r="B190" s="63" t="s">
        <v>123</v>
      </c>
      <c r="C190" s="39"/>
      <c r="D190" s="39"/>
      <c r="E190" s="41">
        <v>445.5</v>
      </c>
      <c r="F190" s="39"/>
      <c r="G190" s="39"/>
      <c r="H190" s="42"/>
    </row>
    <row r="191" spans="2:9" ht="25.5" customHeight="1" x14ac:dyDescent="0.25">
      <c r="B191" s="63" t="s">
        <v>112</v>
      </c>
      <c r="C191" s="39"/>
      <c r="D191" s="39"/>
      <c r="E191" s="40">
        <v>12885.94</v>
      </c>
      <c r="F191" s="39"/>
      <c r="G191" s="39"/>
      <c r="H191" s="42"/>
    </row>
    <row r="192" spans="2:9" ht="25.5" customHeight="1" x14ac:dyDescent="0.25">
      <c r="B192" s="63" t="s">
        <v>113</v>
      </c>
      <c r="C192" s="39"/>
      <c r="D192" s="39"/>
      <c r="E192" s="40">
        <v>3957.18</v>
      </c>
      <c r="F192" s="39"/>
      <c r="G192" s="39"/>
      <c r="H192" s="42"/>
    </row>
    <row r="193" spans="2:8" ht="25.5" customHeight="1" x14ac:dyDescent="0.25">
      <c r="B193" s="63" t="s">
        <v>114</v>
      </c>
      <c r="C193" s="39"/>
      <c r="D193" s="39"/>
      <c r="E193" s="40">
        <v>1092.08</v>
      </c>
      <c r="F193" s="39"/>
      <c r="G193" s="39"/>
      <c r="H193" s="42"/>
    </row>
    <row r="194" spans="2:8" ht="25.5" customHeight="1" x14ac:dyDescent="0.25">
      <c r="B194" s="63" t="s">
        <v>115</v>
      </c>
      <c r="C194" s="39"/>
      <c r="D194" s="39"/>
      <c r="E194" s="41">
        <v>336.81</v>
      </c>
      <c r="F194" s="39"/>
      <c r="G194" s="39"/>
      <c r="H194" s="42"/>
    </row>
    <row r="195" spans="2:8" ht="25.5" customHeight="1" x14ac:dyDescent="0.25">
      <c r="B195" s="63" t="s">
        <v>116</v>
      </c>
      <c r="C195" s="39"/>
      <c r="D195" s="39"/>
      <c r="E195" s="41">
        <v>424.77</v>
      </c>
      <c r="F195" s="39"/>
      <c r="G195" s="39"/>
      <c r="H195" s="42"/>
    </row>
    <row r="196" spans="2:8" ht="25.5" customHeight="1" x14ac:dyDescent="0.25">
      <c r="B196" s="63" t="s">
        <v>118</v>
      </c>
      <c r="C196" s="39"/>
      <c r="D196" s="39"/>
      <c r="E196" s="41">
        <v>626.91</v>
      </c>
      <c r="F196" s="39"/>
      <c r="G196" s="39"/>
      <c r="H196" s="42"/>
    </row>
    <row r="197" spans="2:8" ht="25.5" customHeight="1" x14ac:dyDescent="0.25">
      <c r="B197" s="63" t="s">
        <v>119</v>
      </c>
      <c r="C197" s="39"/>
      <c r="D197" s="39"/>
      <c r="E197" s="40">
        <v>6600</v>
      </c>
      <c r="F197" s="39"/>
      <c r="G197" s="39"/>
      <c r="H197" s="42"/>
    </row>
    <row r="198" spans="2:8" ht="25.5" customHeight="1" thickBot="1" x14ac:dyDescent="0.3">
      <c r="B198" s="63" t="s">
        <v>120</v>
      </c>
      <c r="C198" s="39"/>
      <c r="D198" s="39"/>
      <c r="E198" s="40">
        <v>4752.92</v>
      </c>
      <c r="F198" s="39"/>
      <c r="G198" s="39"/>
      <c r="H198" s="42"/>
    </row>
    <row r="199" spans="2:8" ht="21.75" customHeight="1" x14ac:dyDescent="0.25">
      <c r="B199" s="43" t="s">
        <v>101</v>
      </c>
      <c r="C199" s="44"/>
      <c r="D199" s="44"/>
      <c r="E199" s="45">
        <v>161537.37</v>
      </c>
      <c r="F199" s="45">
        <v>138472.32999999999</v>
      </c>
      <c r="G199" s="45">
        <v>23065.040000000001</v>
      </c>
      <c r="H199" s="46"/>
    </row>
  </sheetData>
  <mergeCells count="48">
    <mergeCell ref="B168:H168"/>
    <mergeCell ref="B169:H169"/>
    <mergeCell ref="B170:H170"/>
    <mergeCell ref="C172:D172"/>
    <mergeCell ref="E172:F172"/>
    <mergeCell ref="G172:H172"/>
    <mergeCell ref="C147:D147"/>
    <mergeCell ref="E147:F147"/>
    <mergeCell ref="G147:H147"/>
    <mergeCell ref="B166:H166"/>
    <mergeCell ref="B167:H167"/>
    <mergeCell ref="B141:H141"/>
    <mergeCell ref="B142:H142"/>
    <mergeCell ref="B143:H143"/>
    <mergeCell ref="B144:H144"/>
    <mergeCell ref="B145:H145"/>
    <mergeCell ref="B38:H38"/>
    <mergeCell ref="B39:H39"/>
    <mergeCell ref="B40:H40"/>
    <mergeCell ref="C42:D42"/>
    <mergeCell ref="E42:F42"/>
    <mergeCell ref="G42:H42"/>
    <mergeCell ref="C8:D8"/>
    <mergeCell ref="E8:F8"/>
    <mergeCell ref="G8:H8"/>
    <mergeCell ref="B36:H36"/>
    <mergeCell ref="B37:H37"/>
    <mergeCell ref="B2:H2"/>
    <mergeCell ref="B3:H3"/>
    <mergeCell ref="B4:H4"/>
    <mergeCell ref="B5:H5"/>
    <mergeCell ref="B6:H6"/>
    <mergeCell ref="B78:H78"/>
    <mergeCell ref="B79:H79"/>
    <mergeCell ref="B80:H80"/>
    <mergeCell ref="B81:H81"/>
    <mergeCell ref="B82:H82"/>
    <mergeCell ref="C84:D84"/>
    <mergeCell ref="E84:F84"/>
    <mergeCell ref="G84:H84"/>
    <mergeCell ref="B103:H103"/>
    <mergeCell ref="B104:H104"/>
    <mergeCell ref="B105:H105"/>
    <mergeCell ref="B106:H106"/>
    <mergeCell ref="B107:H107"/>
    <mergeCell ref="C109:D109"/>
    <mergeCell ref="E109:F109"/>
    <mergeCell ref="G109:H10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M34"/>
  <sheetViews>
    <sheetView workbookViewId="0">
      <pane xSplit="1" ySplit="3" topLeftCell="B4" activePane="bottomRight" state="frozen"/>
      <selection activeCell="B198" sqref="B198:H198"/>
      <selection pane="topRight" activeCell="B198" sqref="B198:H198"/>
      <selection pane="bottomLeft" activeCell="B198" sqref="B198:H198"/>
      <selection pane="bottomRight" activeCell="B198" sqref="B198:H198"/>
    </sheetView>
  </sheetViews>
  <sheetFormatPr defaultRowHeight="15" outlineLevelRow="1" x14ac:dyDescent="0.25"/>
  <cols>
    <col min="1" max="1" width="57.42578125" style="47" customWidth="1"/>
    <col min="2" max="16384" width="9.140625" style="47"/>
  </cols>
  <sheetData>
    <row r="1" spans="1:13" ht="18" x14ac:dyDescent="0.25">
      <c r="A1" s="102" t="s">
        <v>124</v>
      </c>
      <c r="B1" s="102"/>
      <c r="C1" s="102"/>
      <c r="D1" s="102"/>
      <c r="E1" s="102"/>
    </row>
    <row r="3" spans="1:13" x14ac:dyDescent="0.25">
      <c r="A3" s="48" t="s">
        <v>125</v>
      </c>
      <c r="B3" s="64">
        <v>42005</v>
      </c>
      <c r="C3" s="64">
        <v>42036</v>
      </c>
      <c r="D3" s="64">
        <v>42064</v>
      </c>
      <c r="E3" s="65" t="s">
        <v>126</v>
      </c>
      <c r="F3" s="64">
        <v>42095</v>
      </c>
      <c r="G3" s="64">
        <v>42125</v>
      </c>
      <c r="H3" s="64">
        <v>42156</v>
      </c>
      <c r="I3" s="65" t="s">
        <v>172</v>
      </c>
      <c r="J3" s="64">
        <v>42186</v>
      </c>
      <c r="K3" s="64">
        <v>42217</v>
      </c>
      <c r="L3" s="64">
        <v>42248</v>
      </c>
      <c r="M3" s="65" t="s">
        <v>174</v>
      </c>
    </row>
    <row r="4" spans="1:13" x14ac:dyDescent="0.25">
      <c r="A4" s="49" t="s">
        <v>127</v>
      </c>
      <c r="B4" s="66">
        <f t="shared" ref="B4:E4" si="0">SUM(B5:B20)</f>
        <v>1364</v>
      </c>
      <c r="C4" s="66">
        <f t="shared" si="0"/>
        <v>1488</v>
      </c>
      <c r="D4" s="66">
        <f t="shared" si="0"/>
        <v>1271</v>
      </c>
      <c r="E4" s="66">
        <f t="shared" si="0"/>
        <v>4123</v>
      </c>
      <c r="F4" s="66">
        <f t="shared" ref="F4:I4" si="1">SUM(F5:F20)</f>
        <v>1420</v>
      </c>
      <c r="G4" s="66">
        <f t="shared" si="1"/>
        <v>1395</v>
      </c>
      <c r="H4" s="66">
        <f t="shared" si="1"/>
        <v>1379</v>
      </c>
      <c r="I4" s="66">
        <f t="shared" si="1"/>
        <v>4194</v>
      </c>
      <c r="J4" s="66">
        <v>1471</v>
      </c>
      <c r="K4" s="66">
        <v>1516</v>
      </c>
      <c r="L4" s="66">
        <v>1530</v>
      </c>
      <c r="M4" s="66">
        <v>4517</v>
      </c>
    </row>
    <row r="5" spans="1:13" outlineLevel="1" x14ac:dyDescent="0.25">
      <c r="A5" s="48" t="s">
        <v>128</v>
      </c>
      <c r="B5" s="67">
        <v>14</v>
      </c>
      <c r="C5" s="67">
        <f>18+4</f>
        <v>22</v>
      </c>
      <c r="D5" s="67">
        <v>11</v>
      </c>
      <c r="E5" s="66">
        <f>SUM(B5:D5)</f>
        <v>47</v>
      </c>
      <c r="F5" s="67">
        <v>17</v>
      </c>
      <c r="G5" s="67">
        <v>18</v>
      </c>
      <c r="H5" s="67">
        <v>16</v>
      </c>
      <c r="I5" s="66">
        <f>SUM(F5:H5)</f>
        <v>51</v>
      </c>
      <c r="J5" s="67">
        <v>23</v>
      </c>
      <c r="K5" s="67">
        <v>24</v>
      </c>
      <c r="L5" s="67">
        <v>23</v>
      </c>
      <c r="M5" s="66">
        <v>70</v>
      </c>
    </row>
    <row r="6" spans="1:13" outlineLevel="1" x14ac:dyDescent="0.25">
      <c r="A6" s="48" t="s">
        <v>129</v>
      </c>
      <c r="B6" s="67">
        <f>3+4</f>
        <v>7</v>
      </c>
      <c r="C6" s="67">
        <f>3+4</f>
        <v>7</v>
      </c>
      <c r="D6" s="67">
        <f>3+3</f>
        <v>6</v>
      </c>
      <c r="E6" s="66">
        <f t="shared" ref="E6:E21" si="2">SUM(B6:D6)</f>
        <v>20</v>
      </c>
      <c r="F6" s="67">
        <f>6+4</f>
        <v>10</v>
      </c>
      <c r="G6" s="67">
        <f>8+4</f>
        <v>12</v>
      </c>
      <c r="H6" s="67">
        <f>6+4</f>
        <v>10</v>
      </c>
      <c r="I6" s="66">
        <f t="shared" ref="I6:I20" si="3">SUM(F6:H6)</f>
        <v>32</v>
      </c>
      <c r="J6" s="67">
        <v>14</v>
      </c>
      <c r="K6" s="67">
        <v>10</v>
      </c>
      <c r="L6" s="67">
        <v>12</v>
      </c>
      <c r="M6" s="66">
        <v>36</v>
      </c>
    </row>
    <row r="7" spans="1:13" outlineLevel="1" x14ac:dyDescent="0.25">
      <c r="A7" s="48" t="s">
        <v>130</v>
      </c>
      <c r="B7" s="67">
        <f>97+53</f>
        <v>150</v>
      </c>
      <c r="C7" s="67">
        <f>69+41</f>
        <v>110</v>
      </c>
      <c r="D7" s="67">
        <f>76+48</f>
        <v>124</v>
      </c>
      <c r="E7" s="66">
        <f t="shared" si="2"/>
        <v>384</v>
      </c>
      <c r="F7" s="67">
        <f>86+48</f>
        <v>134</v>
      </c>
      <c r="G7" s="67">
        <f>76+45</f>
        <v>121</v>
      </c>
      <c r="H7" s="67">
        <f>72+36</f>
        <v>108</v>
      </c>
      <c r="I7" s="66">
        <f t="shared" si="3"/>
        <v>363</v>
      </c>
      <c r="J7" s="67">
        <v>145</v>
      </c>
      <c r="K7" s="67">
        <v>122</v>
      </c>
      <c r="L7" s="67">
        <v>139</v>
      </c>
      <c r="M7" s="66">
        <v>406</v>
      </c>
    </row>
    <row r="8" spans="1:13" outlineLevel="1" x14ac:dyDescent="0.25">
      <c r="A8" s="48" t="s">
        <v>131</v>
      </c>
      <c r="B8" s="67">
        <v>7</v>
      </c>
      <c r="C8" s="67">
        <v>9</v>
      </c>
      <c r="D8" s="67">
        <v>7</v>
      </c>
      <c r="E8" s="66">
        <f t="shared" si="2"/>
        <v>23</v>
      </c>
      <c r="F8" s="67">
        <v>7</v>
      </c>
      <c r="G8" s="67">
        <v>6</v>
      </c>
      <c r="H8" s="67">
        <v>6</v>
      </c>
      <c r="I8" s="66">
        <f t="shared" si="3"/>
        <v>19</v>
      </c>
      <c r="J8" s="67">
        <v>9</v>
      </c>
      <c r="K8" s="67">
        <v>7</v>
      </c>
      <c r="L8" s="67">
        <v>13</v>
      </c>
      <c r="M8" s="66">
        <v>29</v>
      </c>
    </row>
    <row r="9" spans="1:13" outlineLevel="1" x14ac:dyDescent="0.25">
      <c r="A9" s="48" t="s">
        <v>132</v>
      </c>
      <c r="B9" s="67">
        <v>87</v>
      </c>
      <c r="C9" s="67">
        <v>265</v>
      </c>
      <c r="D9" s="67">
        <v>89</v>
      </c>
      <c r="E9" s="66">
        <f t="shared" si="2"/>
        <v>441</v>
      </c>
      <c r="F9" s="67">
        <v>192</v>
      </c>
      <c r="G9" s="67">
        <v>63</v>
      </c>
      <c r="H9" s="67">
        <v>97</v>
      </c>
      <c r="I9" s="66">
        <f t="shared" si="3"/>
        <v>352</v>
      </c>
      <c r="J9" s="67">
        <v>122</v>
      </c>
      <c r="K9" s="67">
        <v>175</v>
      </c>
      <c r="L9" s="67">
        <v>213</v>
      </c>
      <c r="M9" s="66">
        <v>510</v>
      </c>
    </row>
    <row r="10" spans="1:13" outlineLevel="1" x14ac:dyDescent="0.25">
      <c r="A10" s="48" t="s">
        <v>133</v>
      </c>
      <c r="B10" s="67">
        <f>90+30</f>
        <v>120</v>
      </c>
      <c r="C10" s="67">
        <f>50+24</f>
        <v>74</v>
      </c>
      <c r="D10" s="67">
        <f>60+23</f>
        <v>83</v>
      </c>
      <c r="E10" s="66">
        <f t="shared" si="2"/>
        <v>277</v>
      </c>
      <c r="F10" s="67">
        <f>43+19</f>
        <v>62</v>
      </c>
      <c r="G10" s="67">
        <f>72+19</f>
        <v>91</v>
      </c>
      <c r="H10" s="67">
        <f>31+16</f>
        <v>47</v>
      </c>
      <c r="I10" s="66">
        <f t="shared" si="3"/>
        <v>200</v>
      </c>
      <c r="J10" s="67">
        <v>72</v>
      </c>
      <c r="K10" s="67">
        <v>55</v>
      </c>
      <c r="L10" s="67">
        <v>61</v>
      </c>
      <c r="M10" s="66">
        <v>188</v>
      </c>
    </row>
    <row r="11" spans="1:13" outlineLevel="1" x14ac:dyDescent="0.25">
      <c r="A11" s="48" t="s">
        <v>134</v>
      </c>
      <c r="B11" s="67">
        <v>4</v>
      </c>
      <c r="C11" s="67">
        <v>3</v>
      </c>
      <c r="D11" s="67">
        <v>3</v>
      </c>
      <c r="E11" s="66">
        <f t="shared" si="2"/>
        <v>10</v>
      </c>
      <c r="F11" s="67">
        <v>4</v>
      </c>
      <c r="G11" s="67">
        <v>3</v>
      </c>
      <c r="H11" s="67">
        <v>4</v>
      </c>
      <c r="I11" s="66">
        <f t="shared" si="3"/>
        <v>11</v>
      </c>
      <c r="J11" s="67">
        <v>4</v>
      </c>
      <c r="K11" s="67">
        <v>4</v>
      </c>
      <c r="L11" s="67">
        <v>4</v>
      </c>
      <c r="M11" s="66">
        <v>12</v>
      </c>
    </row>
    <row r="12" spans="1:13" outlineLevel="1" x14ac:dyDescent="0.25">
      <c r="A12" s="48" t="s">
        <v>135</v>
      </c>
      <c r="B12" s="67">
        <f>79+708</f>
        <v>787</v>
      </c>
      <c r="C12" s="67">
        <f>92+712</f>
        <v>804</v>
      </c>
      <c r="D12" s="67">
        <f>72+692</f>
        <v>764</v>
      </c>
      <c r="E12" s="66">
        <f t="shared" si="2"/>
        <v>2355</v>
      </c>
      <c r="F12" s="67">
        <f>752+24</f>
        <v>776</v>
      </c>
      <c r="G12" s="67">
        <f>467+386</f>
        <v>853</v>
      </c>
      <c r="H12" s="67">
        <f>423+476</f>
        <v>899</v>
      </c>
      <c r="I12" s="66">
        <f t="shared" si="3"/>
        <v>2528</v>
      </c>
      <c r="J12" s="67">
        <v>834</v>
      </c>
      <c r="K12" s="67">
        <v>850</v>
      </c>
      <c r="L12" s="67">
        <v>840</v>
      </c>
      <c r="M12" s="66">
        <v>2524</v>
      </c>
    </row>
    <row r="13" spans="1:13" outlineLevel="1" x14ac:dyDescent="0.25">
      <c r="A13" s="48" t="s">
        <v>136</v>
      </c>
      <c r="B13" s="67">
        <f>43+12</f>
        <v>55</v>
      </c>
      <c r="C13" s="67">
        <f>37+9</f>
        <v>46</v>
      </c>
      <c r="D13" s="67">
        <f>42+12</f>
        <v>54</v>
      </c>
      <c r="E13" s="66">
        <f t="shared" si="2"/>
        <v>155</v>
      </c>
      <c r="F13" s="67">
        <f>42+14</f>
        <v>56</v>
      </c>
      <c r="G13" s="67">
        <f>50+16</f>
        <v>66</v>
      </c>
      <c r="H13" s="67">
        <f>48+13</f>
        <v>61</v>
      </c>
      <c r="I13" s="66">
        <f t="shared" si="3"/>
        <v>183</v>
      </c>
      <c r="J13" s="67">
        <v>56</v>
      </c>
      <c r="K13" s="67">
        <v>67</v>
      </c>
      <c r="L13" s="67">
        <v>43</v>
      </c>
      <c r="M13" s="66">
        <v>166</v>
      </c>
    </row>
    <row r="14" spans="1:13" outlineLevel="1" x14ac:dyDescent="0.25">
      <c r="A14" s="48" t="s">
        <v>137</v>
      </c>
      <c r="B14" s="67">
        <v>16</v>
      </c>
      <c r="C14" s="67">
        <v>12</v>
      </c>
      <c r="D14" s="67">
        <v>6</v>
      </c>
      <c r="E14" s="66">
        <f t="shared" si="2"/>
        <v>34</v>
      </c>
      <c r="F14" s="67">
        <v>12</v>
      </c>
      <c r="G14" s="67">
        <v>9</v>
      </c>
      <c r="H14" s="67">
        <v>12</v>
      </c>
      <c r="I14" s="66">
        <f t="shared" si="3"/>
        <v>33</v>
      </c>
      <c r="J14" s="67">
        <v>29</v>
      </c>
      <c r="K14" s="67">
        <v>26</v>
      </c>
      <c r="L14" s="67">
        <v>19</v>
      </c>
      <c r="M14" s="66">
        <v>74</v>
      </c>
    </row>
    <row r="15" spans="1:13" outlineLevel="1" x14ac:dyDescent="0.25">
      <c r="A15" s="48" t="s">
        <v>138</v>
      </c>
      <c r="B15" s="67">
        <v>20</v>
      </c>
      <c r="C15" s="67">
        <v>26</v>
      </c>
      <c r="D15" s="67">
        <v>17</v>
      </c>
      <c r="E15" s="66">
        <f t="shared" si="2"/>
        <v>63</v>
      </c>
      <c r="F15" s="67">
        <v>16</v>
      </c>
      <c r="G15" s="67">
        <v>16</v>
      </c>
      <c r="H15" s="67">
        <v>14</v>
      </c>
      <c r="I15" s="66">
        <f t="shared" si="3"/>
        <v>46</v>
      </c>
      <c r="J15" s="67">
        <v>24</v>
      </c>
      <c r="K15" s="67">
        <v>23</v>
      </c>
      <c r="L15" s="67">
        <v>16</v>
      </c>
      <c r="M15" s="66">
        <v>63</v>
      </c>
    </row>
    <row r="16" spans="1:13" outlineLevel="1" x14ac:dyDescent="0.25">
      <c r="A16" s="48" t="s">
        <v>139</v>
      </c>
      <c r="B16" s="67"/>
      <c r="C16" s="67"/>
      <c r="D16" s="67"/>
      <c r="E16" s="66">
        <f t="shared" si="2"/>
        <v>0</v>
      </c>
      <c r="F16" s="67"/>
      <c r="G16" s="67"/>
      <c r="H16" s="67"/>
      <c r="I16" s="66">
        <f t="shared" si="3"/>
        <v>0</v>
      </c>
      <c r="J16" s="67"/>
      <c r="K16" s="67"/>
      <c r="L16" s="67"/>
      <c r="M16" s="66">
        <v>0</v>
      </c>
    </row>
    <row r="17" spans="1:13" outlineLevel="1" x14ac:dyDescent="0.25">
      <c r="A17" s="48" t="s">
        <v>140</v>
      </c>
      <c r="B17" s="67">
        <v>20</v>
      </c>
      <c r="C17" s="67">
        <v>21</v>
      </c>
      <c r="D17" s="67">
        <v>16</v>
      </c>
      <c r="E17" s="66">
        <f t="shared" si="2"/>
        <v>57</v>
      </c>
      <c r="F17" s="67">
        <v>18</v>
      </c>
      <c r="G17" s="67">
        <v>15</v>
      </c>
      <c r="H17" s="67">
        <v>16</v>
      </c>
      <c r="I17" s="66">
        <f t="shared" si="3"/>
        <v>49</v>
      </c>
      <c r="J17" s="67">
        <v>18</v>
      </c>
      <c r="K17" s="67">
        <v>21</v>
      </c>
      <c r="L17" s="67">
        <v>20</v>
      </c>
      <c r="M17" s="66">
        <v>59</v>
      </c>
    </row>
    <row r="18" spans="1:13" outlineLevel="1" x14ac:dyDescent="0.25">
      <c r="A18" s="48" t="s">
        <v>141</v>
      </c>
      <c r="B18" s="67">
        <v>49</v>
      </c>
      <c r="C18" s="67">
        <v>53</v>
      </c>
      <c r="D18" s="67">
        <v>65</v>
      </c>
      <c r="E18" s="66">
        <f t="shared" si="2"/>
        <v>167</v>
      </c>
      <c r="F18" s="67">
        <v>76</v>
      </c>
      <c r="G18" s="67">
        <v>71</v>
      </c>
      <c r="H18" s="67">
        <v>64</v>
      </c>
      <c r="I18" s="66">
        <f t="shared" si="3"/>
        <v>211</v>
      </c>
      <c r="J18" s="67">
        <v>81</v>
      </c>
      <c r="K18" s="67">
        <v>88</v>
      </c>
      <c r="L18" s="67">
        <v>88</v>
      </c>
      <c r="M18" s="66">
        <v>257</v>
      </c>
    </row>
    <row r="19" spans="1:13" outlineLevel="1" x14ac:dyDescent="0.25">
      <c r="A19" s="48" t="s">
        <v>142</v>
      </c>
      <c r="B19" s="67">
        <v>26</v>
      </c>
      <c r="C19" s="67">
        <v>34</v>
      </c>
      <c r="D19" s="67">
        <v>24</v>
      </c>
      <c r="E19" s="66">
        <f t="shared" si="2"/>
        <v>84</v>
      </c>
      <c r="F19" s="67">
        <v>38</v>
      </c>
      <c r="G19" s="67">
        <v>49</v>
      </c>
      <c r="H19" s="67">
        <v>23</v>
      </c>
      <c r="I19" s="66">
        <f t="shared" si="3"/>
        <v>110</v>
      </c>
      <c r="J19" s="67">
        <v>36</v>
      </c>
      <c r="K19" s="67">
        <v>41</v>
      </c>
      <c r="L19" s="67">
        <v>37</v>
      </c>
      <c r="M19" s="66">
        <v>114</v>
      </c>
    </row>
    <row r="20" spans="1:13" outlineLevel="1" x14ac:dyDescent="0.25">
      <c r="A20" s="48" t="s">
        <v>143</v>
      </c>
      <c r="B20" s="67">
        <v>2</v>
      </c>
      <c r="C20" s="67">
        <v>2</v>
      </c>
      <c r="D20" s="67">
        <v>2</v>
      </c>
      <c r="E20" s="66">
        <f t="shared" si="2"/>
        <v>6</v>
      </c>
      <c r="F20" s="67">
        <v>2</v>
      </c>
      <c r="G20" s="67">
        <v>2</v>
      </c>
      <c r="H20" s="67">
        <v>2</v>
      </c>
      <c r="I20" s="66">
        <f t="shared" si="3"/>
        <v>6</v>
      </c>
      <c r="J20" s="67">
        <v>4</v>
      </c>
      <c r="K20" s="67">
        <v>3</v>
      </c>
      <c r="L20" s="67">
        <v>2</v>
      </c>
      <c r="M20" s="66">
        <v>9</v>
      </c>
    </row>
    <row r="21" spans="1:13" x14ac:dyDescent="0.25">
      <c r="A21" s="49" t="s">
        <v>144</v>
      </c>
      <c r="B21" s="66">
        <v>764</v>
      </c>
      <c r="C21" s="66">
        <v>733</v>
      </c>
      <c r="D21" s="66">
        <v>761</v>
      </c>
      <c r="E21" s="66">
        <f t="shared" si="2"/>
        <v>2258</v>
      </c>
      <c r="F21" s="66">
        <v>952</v>
      </c>
      <c r="G21" s="66">
        <v>609</v>
      </c>
      <c r="H21" s="66">
        <v>700</v>
      </c>
      <c r="I21" s="66">
        <f t="shared" ref="I21" si="4">SUM(F21:H21)</f>
        <v>2261</v>
      </c>
      <c r="J21" s="66">
        <v>889</v>
      </c>
      <c r="K21" s="66">
        <v>873</v>
      </c>
      <c r="L21" s="66">
        <v>698</v>
      </c>
      <c r="M21" s="66">
        <v>2460</v>
      </c>
    </row>
    <row r="22" spans="1:13" x14ac:dyDescent="0.25">
      <c r="A22" s="49" t="s">
        <v>145</v>
      </c>
      <c r="B22" s="66">
        <f>SUM(B23:B29)</f>
        <v>635</v>
      </c>
      <c r="C22" s="66">
        <f t="shared" ref="C22:E22" si="5">SUM(C23:C29)</f>
        <v>614</v>
      </c>
      <c r="D22" s="66">
        <f t="shared" si="5"/>
        <v>549</v>
      </c>
      <c r="E22" s="66">
        <f t="shared" si="5"/>
        <v>1798</v>
      </c>
      <c r="F22" s="66">
        <f t="shared" ref="F22:I22" si="6">SUM(F23:F29)</f>
        <v>587</v>
      </c>
      <c r="G22" s="66">
        <f t="shared" si="6"/>
        <v>506</v>
      </c>
      <c r="H22" s="66">
        <f t="shared" si="6"/>
        <v>436</v>
      </c>
      <c r="I22" s="66">
        <f t="shared" si="6"/>
        <v>1529</v>
      </c>
      <c r="J22" s="66">
        <v>421</v>
      </c>
      <c r="K22" s="66">
        <v>364</v>
      </c>
      <c r="L22" s="66">
        <v>449</v>
      </c>
      <c r="M22" s="66">
        <v>1234</v>
      </c>
    </row>
    <row r="23" spans="1:13" x14ac:dyDescent="0.25">
      <c r="A23" s="48" t="s">
        <v>146</v>
      </c>
      <c r="B23" s="68">
        <f>88+22</f>
        <v>110</v>
      </c>
      <c r="C23" s="68">
        <v>85</v>
      </c>
      <c r="D23" s="68">
        <f>67+15</f>
        <v>82</v>
      </c>
      <c r="E23" s="66">
        <f t="shared" ref="E23:E29" si="7">SUM(B23:D23)</f>
        <v>277</v>
      </c>
      <c r="F23" s="68">
        <f>64+16</f>
        <v>80</v>
      </c>
      <c r="G23" s="68">
        <v>78</v>
      </c>
      <c r="H23" s="68">
        <f>35+25</f>
        <v>60</v>
      </c>
      <c r="I23" s="66">
        <f t="shared" ref="I23:I29" si="8">SUM(F23:H23)</f>
        <v>218</v>
      </c>
      <c r="J23" s="68">
        <v>76</v>
      </c>
      <c r="K23" s="68">
        <v>52</v>
      </c>
      <c r="L23" s="68">
        <v>87</v>
      </c>
      <c r="M23" s="66">
        <v>215</v>
      </c>
    </row>
    <row r="24" spans="1:13" x14ac:dyDescent="0.25">
      <c r="A24" s="48" t="s">
        <v>147</v>
      </c>
      <c r="B24" s="68">
        <v>367</v>
      </c>
      <c r="C24" s="68">
        <v>345</v>
      </c>
      <c r="D24" s="68">
        <v>312</v>
      </c>
      <c r="E24" s="66">
        <f t="shared" si="7"/>
        <v>1024</v>
      </c>
      <c r="F24" s="68">
        <v>331</v>
      </c>
      <c r="G24" s="68">
        <v>259</v>
      </c>
      <c r="H24" s="68">
        <v>210</v>
      </c>
      <c r="I24" s="66">
        <f t="shared" si="8"/>
        <v>800</v>
      </c>
      <c r="J24" s="68">
        <v>178</v>
      </c>
      <c r="K24" s="68">
        <v>152</v>
      </c>
      <c r="L24" s="68">
        <v>138</v>
      </c>
      <c r="M24" s="66">
        <v>468</v>
      </c>
    </row>
    <row r="25" spans="1:13" x14ac:dyDescent="0.25">
      <c r="A25" s="48" t="s">
        <v>148</v>
      </c>
      <c r="B25" s="68"/>
      <c r="C25" s="68"/>
      <c r="D25" s="68"/>
      <c r="E25" s="66">
        <f t="shared" si="7"/>
        <v>0</v>
      </c>
      <c r="F25" s="68"/>
      <c r="G25" s="68"/>
      <c r="H25" s="68"/>
      <c r="I25" s="66">
        <f t="shared" si="8"/>
        <v>0</v>
      </c>
      <c r="J25" s="68"/>
      <c r="K25" s="68"/>
      <c r="L25" s="68"/>
      <c r="M25" s="66">
        <v>0</v>
      </c>
    </row>
    <row r="26" spans="1:13" x14ac:dyDescent="0.25">
      <c r="A26" s="48" t="s">
        <v>149</v>
      </c>
      <c r="B26" s="68">
        <v>4</v>
      </c>
      <c r="C26" s="68">
        <v>2</v>
      </c>
      <c r="D26" s="68">
        <v>3</v>
      </c>
      <c r="E26" s="66">
        <f t="shared" si="7"/>
        <v>9</v>
      </c>
      <c r="F26" s="68">
        <v>4</v>
      </c>
      <c r="G26" s="68">
        <v>4</v>
      </c>
      <c r="H26" s="68">
        <v>4</v>
      </c>
      <c r="I26" s="66">
        <f t="shared" si="8"/>
        <v>12</v>
      </c>
      <c r="J26" s="68">
        <v>4</v>
      </c>
      <c r="K26" s="68">
        <v>4</v>
      </c>
      <c r="L26" s="68">
        <v>4</v>
      </c>
      <c r="M26" s="66">
        <v>12</v>
      </c>
    </row>
    <row r="27" spans="1:13" x14ac:dyDescent="0.25">
      <c r="A27" s="48" t="s">
        <v>150</v>
      </c>
      <c r="B27" s="68">
        <v>31</v>
      </c>
      <c r="C27" s="68">
        <v>29</v>
      </c>
      <c r="D27" s="68">
        <v>26</v>
      </c>
      <c r="E27" s="66">
        <f t="shared" si="7"/>
        <v>86</v>
      </c>
      <c r="F27" s="68">
        <v>19</v>
      </c>
      <c r="G27" s="68">
        <v>24</v>
      </c>
      <c r="H27" s="68">
        <v>23</v>
      </c>
      <c r="I27" s="66">
        <f t="shared" si="8"/>
        <v>66</v>
      </c>
      <c r="J27" s="68">
        <v>36</v>
      </c>
      <c r="K27" s="68">
        <v>34</v>
      </c>
      <c r="L27" s="68">
        <v>34</v>
      </c>
      <c r="M27" s="66">
        <v>104</v>
      </c>
    </row>
    <row r="28" spans="1:13" x14ac:dyDescent="0.25">
      <c r="A28" s="48" t="s">
        <v>151</v>
      </c>
      <c r="B28" s="68">
        <f>45+62</f>
        <v>107</v>
      </c>
      <c r="C28" s="68">
        <f>43+63</f>
        <v>106</v>
      </c>
      <c r="D28" s="68">
        <f>42+72</f>
        <v>114</v>
      </c>
      <c r="E28" s="66">
        <f t="shared" si="7"/>
        <v>327</v>
      </c>
      <c r="F28" s="68">
        <f>51+77</f>
        <v>128</v>
      </c>
      <c r="G28" s="68">
        <f>51+68</f>
        <v>119</v>
      </c>
      <c r="H28" s="68">
        <f>58+49</f>
        <v>107</v>
      </c>
      <c r="I28" s="66">
        <f t="shared" si="8"/>
        <v>354</v>
      </c>
      <c r="J28" s="68">
        <v>75</v>
      </c>
      <c r="K28" s="68">
        <v>75</v>
      </c>
      <c r="L28" s="68">
        <v>150</v>
      </c>
      <c r="M28" s="66">
        <v>300</v>
      </c>
    </row>
    <row r="29" spans="1:13" x14ac:dyDescent="0.25">
      <c r="A29" s="48" t="s">
        <v>152</v>
      </c>
      <c r="B29" s="68">
        <v>16</v>
      </c>
      <c r="C29" s="68">
        <v>47</v>
      </c>
      <c r="D29" s="68">
        <v>12</v>
      </c>
      <c r="E29" s="66">
        <f t="shared" si="7"/>
        <v>75</v>
      </c>
      <c r="F29" s="68">
        <v>25</v>
      </c>
      <c r="G29" s="68">
        <v>22</v>
      </c>
      <c r="H29" s="68">
        <v>32</v>
      </c>
      <c r="I29" s="66">
        <f t="shared" si="8"/>
        <v>79</v>
      </c>
      <c r="J29" s="68">
        <v>52</v>
      </c>
      <c r="K29" s="68">
        <v>47</v>
      </c>
      <c r="L29" s="68">
        <v>36</v>
      </c>
      <c r="M29" s="66">
        <v>135</v>
      </c>
    </row>
    <row r="30" spans="1:13" x14ac:dyDescent="0.25">
      <c r="A30" s="50" t="s">
        <v>153</v>
      </c>
      <c r="B30" s="69">
        <f t="shared" ref="B30:I30" si="9">B4+B21+B22</f>
        <v>2763</v>
      </c>
      <c r="C30" s="69">
        <f t="shared" si="9"/>
        <v>2835</v>
      </c>
      <c r="D30" s="69">
        <f t="shared" si="9"/>
        <v>2581</v>
      </c>
      <c r="E30" s="69">
        <f t="shared" si="9"/>
        <v>8179</v>
      </c>
      <c r="F30" s="69">
        <f t="shared" si="9"/>
        <v>2959</v>
      </c>
      <c r="G30" s="69">
        <f t="shared" si="9"/>
        <v>2510</v>
      </c>
      <c r="H30" s="69">
        <f t="shared" si="9"/>
        <v>2515</v>
      </c>
      <c r="I30" s="69">
        <f t="shared" si="9"/>
        <v>7984</v>
      </c>
      <c r="J30" s="69">
        <v>2781</v>
      </c>
      <c r="K30" s="69">
        <v>2753</v>
      </c>
      <c r="L30" s="69">
        <v>2677</v>
      </c>
      <c r="M30" s="69">
        <v>8211</v>
      </c>
    </row>
    <row r="32" spans="1:13" x14ac:dyDescent="0.25">
      <c r="A32" s="47" t="s">
        <v>154</v>
      </c>
    </row>
    <row r="33" spans="1:1" x14ac:dyDescent="0.25">
      <c r="A33" s="47" t="s">
        <v>155</v>
      </c>
    </row>
    <row r="34" spans="1:1" x14ac:dyDescent="0.25">
      <c r="A34" s="47" t="s">
        <v>156</v>
      </c>
    </row>
  </sheetData>
  <mergeCells count="1">
    <mergeCell ref="A1:E1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34"/>
  <sheetViews>
    <sheetView workbookViewId="0">
      <selection activeCell="B198" sqref="B198:H198"/>
    </sheetView>
  </sheetViews>
  <sheetFormatPr defaultRowHeight="15" outlineLevelRow="1" x14ac:dyDescent="0.25"/>
  <cols>
    <col min="1" max="1" width="57.42578125" style="47" customWidth="1"/>
    <col min="2" max="16384" width="9.140625" style="47"/>
  </cols>
  <sheetData>
    <row r="1" spans="1:13" ht="18" x14ac:dyDescent="0.25">
      <c r="A1" s="102" t="s">
        <v>157</v>
      </c>
      <c r="B1" s="102"/>
      <c r="C1" s="102"/>
      <c r="D1" s="102"/>
      <c r="E1" s="102"/>
    </row>
    <row r="3" spans="1:13" x14ac:dyDescent="0.25">
      <c r="A3" s="48" t="s">
        <v>125</v>
      </c>
      <c r="B3" s="64">
        <v>42005</v>
      </c>
      <c r="C3" s="64">
        <v>42036</v>
      </c>
      <c r="D3" s="64">
        <v>42064</v>
      </c>
      <c r="E3" s="65" t="s">
        <v>126</v>
      </c>
      <c r="F3" s="64">
        <v>42095</v>
      </c>
      <c r="G3" s="64">
        <v>42125</v>
      </c>
      <c r="H3" s="64">
        <v>42156</v>
      </c>
      <c r="I3" s="65" t="s">
        <v>172</v>
      </c>
      <c r="J3" s="64">
        <v>42186</v>
      </c>
      <c r="K3" s="64">
        <v>42217</v>
      </c>
      <c r="L3" s="64">
        <v>42248</v>
      </c>
      <c r="M3" s="65" t="s">
        <v>174</v>
      </c>
    </row>
    <row r="4" spans="1:13" x14ac:dyDescent="0.25">
      <c r="A4" s="49" t="s">
        <v>127</v>
      </c>
      <c r="B4" s="66">
        <f t="shared" ref="B4:E4" si="0">SUM(B5:B20)</f>
        <v>1180</v>
      </c>
      <c r="C4" s="66">
        <f t="shared" si="0"/>
        <v>1431</v>
      </c>
      <c r="D4" s="66">
        <f t="shared" si="0"/>
        <v>942</v>
      </c>
      <c r="E4" s="66">
        <f t="shared" si="0"/>
        <v>3553</v>
      </c>
      <c r="F4" s="66">
        <f t="shared" ref="F4:I4" si="1">SUM(F5:F20)</f>
        <v>1262</v>
      </c>
      <c r="G4" s="66">
        <f t="shared" si="1"/>
        <v>1080</v>
      </c>
      <c r="H4" s="66">
        <f t="shared" si="1"/>
        <v>1050</v>
      </c>
      <c r="I4" s="66">
        <f t="shared" si="1"/>
        <v>3392</v>
      </c>
      <c r="J4" s="66">
        <v>1439</v>
      </c>
      <c r="K4" s="66">
        <v>1450</v>
      </c>
      <c r="L4" s="66">
        <v>1442</v>
      </c>
      <c r="M4" s="66">
        <v>4331</v>
      </c>
    </row>
    <row r="5" spans="1:13" outlineLevel="1" x14ac:dyDescent="0.25">
      <c r="A5" s="48" t="s">
        <v>128</v>
      </c>
      <c r="B5" s="67">
        <v>14</v>
      </c>
      <c r="C5" s="67">
        <f>18+4</f>
        <v>22</v>
      </c>
      <c r="D5" s="67">
        <v>11</v>
      </c>
      <c r="E5" s="66">
        <f>SUM(B5:D5)</f>
        <v>47</v>
      </c>
      <c r="F5" s="67">
        <v>17</v>
      </c>
      <c r="G5" s="67">
        <v>18</v>
      </c>
      <c r="H5" s="67">
        <v>16</v>
      </c>
      <c r="I5" s="66">
        <f>SUM(F5:H5)</f>
        <v>51</v>
      </c>
      <c r="J5" s="67">
        <v>23</v>
      </c>
      <c r="K5" s="67">
        <v>24</v>
      </c>
      <c r="L5" s="68">
        <v>23</v>
      </c>
      <c r="M5" s="66">
        <v>70</v>
      </c>
    </row>
    <row r="6" spans="1:13" outlineLevel="1" x14ac:dyDescent="0.25">
      <c r="A6" s="48" t="s">
        <v>129</v>
      </c>
      <c r="B6" s="67">
        <f>3+4</f>
        <v>7</v>
      </c>
      <c r="C6" s="67">
        <f>3+4</f>
        <v>7</v>
      </c>
      <c r="D6" s="67">
        <f>3+3</f>
        <v>6</v>
      </c>
      <c r="E6" s="66">
        <f t="shared" ref="E6:E21" si="2">SUM(B6:D6)</f>
        <v>20</v>
      </c>
      <c r="F6" s="67">
        <f>6+4</f>
        <v>10</v>
      </c>
      <c r="G6" s="67">
        <f>8+4</f>
        <v>12</v>
      </c>
      <c r="H6" s="67">
        <f>6+4</f>
        <v>10</v>
      </c>
      <c r="I6" s="66">
        <f t="shared" ref="I6:I21" si="3">SUM(F6:H6)</f>
        <v>32</v>
      </c>
      <c r="J6" s="67">
        <v>14</v>
      </c>
      <c r="K6" s="67">
        <v>10</v>
      </c>
      <c r="L6" s="68">
        <v>12</v>
      </c>
      <c r="M6" s="66">
        <v>36</v>
      </c>
    </row>
    <row r="7" spans="1:13" outlineLevel="1" x14ac:dyDescent="0.25">
      <c r="A7" s="48" t="s">
        <v>130</v>
      </c>
      <c r="B7" s="67">
        <f>97+53</f>
        <v>150</v>
      </c>
      <c r="C7" s="67">
        <f>69+41</f>
        <v>110</v>
      </c>
      <c r="D7" s="67">
        <f>76+48</f>
        <v>124</v>
      </c>
      <c r="E7" s="66">
        <f t="shared" si="2"/>
        <v>384</v>
      </c>
      <c r="F7" s="67">
        <f>86+48</f>
        <v>134</v>
      </c>
      <c r="G7" s="67">
        <f>76+45</f>
        <v>121</v>
      </c>
      <c r="H7" s="67">
        <f>72+36</f>
        <v>108</v>
      </c>
      <c r="I7" s="66">
        <f t="shared" si="3"/>
        <v>363</v>
      </c>
      <c r="J7" s="67">
        <v>145</v>
      </c>
      <c r="K7" s="67">
        <v>122</v>
      </c>
      <c r="L7" s="68">
        <v>139</v>
      </c>
      <c r="M7" s="66">
        <v>406</v>
      </c>
    </row>
    <row r="8" spans="1:13" outlineLevel="1" x14ac:dyDescent="0.25">
      <c r="A8" s="48" t="s">
        <v>131</v>
      </c>
      <c r="B8" s="67">
        <v>7</v>
      </c>
      <c r="C8" s="67">
        <v>9</v>
      </c>
      <c r="D8" s="67">
        <v>7</v>
      </c>
      <c r="E8" s="66">
        <f t="shared" si="2"/>
        <v>23</v>
      </c>
      <c r="F8" s="67">
        <v>7</v>
      </c>
      <c r="G8" s="67">
        <v>6</v>
      </c>
      <c r="H8" s="67">
        <v>6</v>
      </c>
      <c r="I8" s="66">
        <f t="shared" si="3"/>
        <v>19</v>
      </c>
      <c r="J8" s="67">
        <v>9</v>
      </c>
      <c r="K8" s="67">
        <v>7</v>
      </c>
      <c r="L8" s="68">
        <v>13</v>
      </c>
      <c r="M8" s="66">
        <v>29</v>
      </c>
    </row>
    <row r="9" spans="1:13" outlineLevel="1" x14ac:dyDescent="0.25">
      <c r="A9" s="48" t="s">
        <v>132</v>
      </c>
      <c r="B9" s="67">
        <v>87</v>
      </c>
      <c r="C9" s="67">
        <v>265</v>
      </c>
      <c r="D9" s="67">
        <v>89</v>
      </c>
      <c r="E9" s="66">
        <f t="shared" si="2"/>
        <v>441</v>
      </c>
      <c r="F9" s="67">
        <v>192</v>
      </c>
      <c r="G9" s="67">
        <v>63</v>
      </c>
      <c r="H9" s="67">
        <v>97</v>
      </c>
      <c r="I9" s="66">
        <f t="shared" si="3"/>
        <v>352</v>
      </c>
      <c r="J9" s="67">
        <v>122</v>
      </c>
      <c r="K9" s="67">
        <v>175</v>
      </c>
      <c r="L9" s="68">
        <v>213</v>
      </c>
      <c r="M9" s="66">
        <v>510</v>
      </c>
    </row>
    <row r="10" spans="1:13" outlineLevel="1" x14ac:dyDescent="0.25">
      <c r="A10" s="48" t="s">
        <v>133</v>
      </c>
      <c r="B10" s="67">
        <f>90+30</f>
        <v>120</v>
      </c>
      <c r="C10" s="67">
        <f>50+24</f>
        <v>74</v>
      </c>
      <c r="D10" s="67">
        <f>60+23</f>
        <v>83</v>
      </c>
      <c r="E10" s="66">
        <f t="shared" si="2"/>
        <v>277</v>
      </c>
      <c r="F10" s="67">
        <f>43+19</f>
        <v>62</v>
      </c>
      <c r="G10" s="67">
        <f>72+19</f>
        <v>91</v>
      </c>
      <c r="H10" s="67">
        <f>31+16</f>
        <v>47</v>
      </c>
      <c r="I10" s="66">
        <f t="shared" si="3"/>
        <v>200</v>
      </c>
      <c r="J10" s="67">
        <v>72</v>
      </c>
      <c r="K10" s="67">
        <v>55</v>
      </c>
      <c r="L10" s="68">
        <v>61</v>
      </c>
      <c r="M10" s="66">
        <v>188</v>
      </c>
    </row>
    <row r="11" spans="1:13" outlineLevel="1" x14ac:dyDescent="0.25">
      <c r="A11" s="48" t="s">
        <v>134</v>
      </c>
      <c r="B11" s="67">
        <v>4</v>
      </c>
      <c r="C11" s="67">
        <v>3</v>
      </c>
      <c r="D11" s="67">
        <v>3</v>
      </c>
      <c r="E11" s="66">
        <f t="shared" si="2"/>
        <v>10</v>
      </c>
      <c r="F11" s="67">
        <v>4</v>
      </c>
      <c r="G11" s="67">
        <v>3</v>
      </c>
      <c r="H11" s="67">
        <v>4</v>
      </c>
      <c r="I11" s="66">
        <f t="shared" si="3"/>
        <v>11</v>
      </c>
      <c r="J11" s="67">
        <v>4</v>
      </c>
      <c r="K11" s="67">
        <v>4</v>
      </c>
      <c r="L11" s="68">
        <v>4</v>
      </c>
      <c r="M11" s="66">
        <v>12</v>
      </c>
    </row>
    <row r="12" spans="1:13" outlineLevel="1" x14ac:dyDescent="0.25">
      <c r="A12" s="48" t="s">
        <v>135</v>
      </c>
      <c r="B12" s="67">
        <f>79+524</f>
        <v>603</v>
      </c>
      <c r="C12" s="67">
        <f>92+655</f>
        <v>747</v>
      </c>
      <c r="D12" s="67">
        <f>72+363</f>
        <v>435</v>
      </c>
      <c r="E12" s="66">
        <f t="shared" si="2"/>
        <v>1785</v>
      </c>
      <c r="F12" s="67">
        <f>594+24</f>
        <v>618</v>
      </c>
      <c r="G12" s="67">
        <f>381+157</f>
        <v>538</v>
      </c>
      <c r="H12" s="67">
        <f>224+346</f>
        <v>570</v>
      </c>
      <c r="I12" s="66">
        <f t="shared" si="3"/>
        <v>1726</v>
      </c>
      <c r="J12" s="67">
        <v>802</v>
      </c>
      <c r="K12" s="67">
        <v>784</v>
      </c>
      <c r="L12" s="68">
        <v>752</v>
      </c>
      <c r="M12" s="66">
        <v>2338</v>
      </c>
    </row>
    <row r="13" spans="1:13" outlineLevel="1" x14ac:dyDescent="0.25">
      <c r="A13" s="48" t="s">
        <v>136</v>
      </c>
      <c r="B13" s="67">
        <f>43+12</f>
        <v>55</v>
      </c>
      <c r="C13" s="67">
        <f>37+9</f>
        <v>46</v>
      </c>
      <c r="D13" s="67">
        <f>42+12</f>
        <v>54</v>
      </c>
      <c r="E13" s="66">
        <f t="shared" si="2"/>
        <v>155</v>
      </c>
      <c r="F13" s="67">
        <f>42+14</f>
        <v>56</v>
      </c>
      <c r="G13" s="67">
        <f>50+16</f>
        <v>66</v>
      </c>
      <c r="H13" s="67">
        <f>48+13</f>
        <v>61</v>
      </c>
      <c r="I13" s="66">
        <f t="shared" si="3"/>
        <v>183</v>
      </c>
      <c r="J13" s="67">
        <v>56</v>
      </c>
      <c r="K13" s="67">
        <v>67</v>
      </c>
      <c r="L13" s="68">
        <v>43</v>
      </c>
      <c r="M13" s="66">
        <v>166</v>
      </c>
    </row>
    <row r="14" spans="1:13" outlineLevel="1" x14ac:dyDescent="0.25">
      <c r="A14" s="48" t="s">
        <v>137</v>
      </c>
      <c r="B14" s="67">
        <v>16</v>
      </c>
      <c r="C14" s="67">
        <v>12</v>
      </c>
      <c r="D14" s="67">
        <v>6</v>
      </c>
      <c r="E14" s="66">
        <f t="shared" si="2"/>
        <v>34</v>
      </c>
      <c r="F14" s="67">
        <v>12</v>
      </c>
      <c r="G14" s="67">
        <v>9</v>
      </c>
      <c r="H14" s="67">
        <v>12</v>
      </c>
      <c r="I14" s="66">
        <f t="shared" si="3"/>
        <v>33</v>
      </c>
      <c r="J14" s="67">
        <v>29</v>
      </c>
      <c r="K14" s="67">
        <v>26</v>
      </c>
      <c r="L14" s="68">
        <v>19</v>
      </c>
      <c r="M14" s="66">
        <v>74</v>
      </c>
    </row>
    <row r="15" spans="1:13" outlineLevel="1" x14ac:dyDescent="0.25">
      <c r="A15" s="48" t="s">
        <v>138</v>
      </c>
      <c r="B15" s="67">
        <v>20</v>
      </c>
      <c r="C15" s="67">
        <v>26</v>
      </c>
      <c r="D15" s="67">
        <v>17</v>
      </c>
      <c r="E15" s="66">
        <f t="shared" si="2"/>
        <v>63</v>
      </c>
      <c r="F15" s="67">
        <v>16</v>
      </c>
      <c r="G15" s="67">
        <v>16</v>
      </c>
      <c r="H15" s="67">
        <v>14</v>
      </c>
      <c r="I15" s="66">
        <f t="shared" si="3"/>
        <v>46</v>
      </c>
      <c r="J15" s="67">
        <v>24</v>
      </c>
      <c r="K15" s="67">
        <v>23</v>
      </c>
      <c r="L15" s="68">
        <v>16</v>
      </c>
      <c r="M15" s="66">
        <v>63</v>
      </c>
    </row>
    <row r="16" spans="1:13" outlineLevel="1" x14ac:dyDescent="0.25">
      <c r="A16" s="48" t="s">
        <v>139</v>
      </c>
      <c r="B16" s="67"/>
      <c r="C16" s="67"/>
      <c r="D16" s="67"/>
      <c r="E16" s="66">
        <f t="shared" si="2"/>
        <v>0</v>
      </c>
      <c r="F16" s="67"/>
      <c r="G16" s="67"/>
      <c r="H16" s="67"/>
      <c r="I16" s="66">
        <f t="shared" si="3"/>
        <v>0</v>
      </c>
      <c r="J16" s="67"/>
      <c r="K16" s="67"/>
      <c r="L16" s="68"/>
      <c r="M16" s="66">
        <v>0</v>
      </c>
    </row>
    <row r="17" spans="1:13" outlineLevel="1" x14ac:dyDescent="0.25">
      <c r="A17" s="48" t="s">
        <v>140</v>
      </c>
      <c r="B17" s="67">
        <v>20</v>
      </c>
      <c r="C17" s="67">
        <v>21</v>
      </c>
      <c r="D17" s="67">
        <v>16</v>
      </c>
      <c r="E17" s="66">
        <f t="shared" si="2"/>
        <v>57</v>
      </c>
      <c r="F17" s="67">
        <v>18</v>
      </c>
      <c r="G17" s="67">
        <v>15</v>
      </c>
      <c r="H17" s="67">
        <v>16</v>
      </c>
      <c r="I17" s="66">
        <f t="shared" si="3"/>
        <v>49</v>
      </c>
      <c r="J17" s="67">
        <v>18</v>
      </c>
      <c r="K17" s="67">
        <v>21</v>
      </c>
      <c r="L17" s="68">
        <v>20</v>
      </c>
      <c r="M17" s="66">
        <v>59</v>
      </c>
    </row>
    <row r="18" spans="1:13" outlineLevel="1" x14ac:dyDescent="0.25">
      <c r="A18" s="48" t="s">
        <v>141</v>
      </c>
      <c r="B18" s="67">
        <v>49</v>
      </c>
      <c r="C18" s="67">
        <v>53</v>
      </c>
      <c r="D18" s="67">
        <v>65</v>
      </c>
      <c r="E18" s="66">
        <f t="shared" si="2"/>
        <v>167</v>
      </c>
      <c r="F18" s="67">
        <v>76</v>
      </c>
      <c r="G18" s="67">
        <v>71</v>
      </c>
      <c r="H18" s="67">
        <v>64</v>
      </c>
      <c r="I18" s="66">
        <f t="shared" si="3"/>
        <v>211</v>
      </c>
      <c r="J18" s="67">
        <v>81</v>
      </c>
      <c r="K18" s="67">
        <v>88</v>
      </c>
      <c r="L18" s="68">
        <v>88</v>
      </c>
      <c r="M18" s="66">
        <v>257</v>
      </c>
    </row>
    <row r="19" spans="1:13" outlineLevel="1" x14ac:dyDescent="0.25">
      <c r="A19" s="48" t="s">
        <v>142</v>
      </c>
      <c r="B19" s="67">
        <v>26</v>
      </c>
      <c r="C19" s="67">
        <v>34</v>
      </c>
      <c r="D19" s="67">
        <v>24</v>
      </c>
      <c r="E19" s="66">
        <f t="shared" si="2"/>
        <v>84</v>
      </c>
      <c r="F19" s="67">
        <v>38</v>
      </c>
      <c r="G19" s="67">
        <v>49</v>
      </c>
      <c r="H19" s="67">
        <v>23</v>
      </c>
      <c r="I19" s="66">
        <f t="shared" si="3"/>
        <v>110</v>
      </c>
      <c r="J19" s="67">
        <v>36</v>
      </c>
      <c r="K19" s="67">
        <v>41</v>
      </c>
      <c r="L19" s="68">
        <v>37</v>
      </c>
      <c r="M19" s="66">
        <v>114</v>
      </c>
    </row>
    <row r="20" spans="1:13" outlineLevel="1" x14ac:dyDescent="0.25">
      <c r="A20" s="48" t="s">
        <v>143</v>
      </c>
      <c r="B20" s="67">
        <v>2</v>
      </c>
      <c r="C20" s="67">
        <v>2</v>
      </c>
      <c r="D20" s="67">
        <v>2</v>
      </c>
      <c r="E20" s="66">
        <f t="shared" si="2"/>
        <v>6</v>
      </c>
      <c r="F20" s="67">
        <v>2</v>
      </c>
      <c r="G20" s="67">
        <v>2</v>
      </c>
      <c r="H20" s="67">
        <v>2</v>
      </c>
      <c r="I20" s="66">
        <f t="shared" si="3"/>
        <v>6</v>
      </c>
      <c r="J20" s="67">
        <v>4</v>
      </c>
      <c r="K20" s="67">
        <v>3</v>
      </c>
      <c r="L20" s="68">
        <v>2</v>
      </c>
      <c r="M20" s="66">
        <v>9</v>
      </c>
    </row>
    <row r="21" spans="1:13" x14ac:dyDescent="0.25">
      <c r="A21" s="49" t="s">
        <v>144</v>
      </c>
      <c r="B21" s="66"/>
      <c r="C21" s="66"/>
      <c r="D21" s="66"/>
      <c r="E21" s="66">
        <f t="shared" si="2"/>
        <v>0</v>
      </c>
      <c r="F21" s="66"/>
      <c r="G21" s="66"/>
      <c r="H21" s="66"/>
      <c r="I21" s="66">
        <f t="shared" si="3"/>
        <v>0</v>
      </c>
      <c r="J21" s="66"/>
      <c r="K21" s="66"/>
      <c r="L21" s="66"/>
      <c r="M21" s="66">
        <v>0</v>
      </c>
    </row>
    <row r="22" spans="1:13" x14ac:dyDescent="0.25">
      <c r="A22" s="49" t="s">
        <v>145</v>
      </c>
      <c r="B22" s="66">
        <f>SUM(B23:B29)</f>
        <v>237</v>
      </c>
      <c r="C22" s="66">
        <f t="shared" ref="C22:I22" si="4">SUM(C23:C29)</f>
        <v>153</v>
      </c>
      <c r="D22" s="66">
        <f t="shared" si="4"/>
        <v>126</v>
      </c>
      <c r="E22" s="66">
        <f t="shared" si="4"/>
        <v>516</v>
      </c>
      <c r="F22" s="66">
        <f t="shared" si="4"/>
        <v>153</v>
      </c>
      <c r="G22" s="66">
        <f t="shared" si="4"/>
        <v>141</v>
      </c>
      <c r="H22" s="66">
        <f t="shared" si="4"/>
        <v>139</v>
      </c>
      <c r="I22" s="66">
        <f t="shared" si="4"/>
        <v>433</v>
      </c>
      <c r="J22" s="66">
        <v>127</v>
      </c>
      <c r="K22" s="66">
        <v>122</v>
      </c>
      <c r="L22" s="66">
        <v>186</v>
      </c>
      <c r="M22" s="66">
        <v>435</v>
      </c>
    </row>
    <row r="23" spans="1:13" x14ac:dyDescent="0.25">
      <c r="A23" s="48" t="s">
        <v>146</v>
      </c>
      <c r="B23" s="68">
        <f>88+22</f>
        <v>110</v>
      </c>
      <c r="C23" s="68"/>
      <c r="D23" s="68"/>
      <c r="E23" s="66">
        <f t="shared" ref="E23:E29" si="5">SUM(B23:D23)</f>
        <v>110</v>
      </c>
      <c r="F23" s="68"/>
      <c r="G23" s="68"/>
      <c r="H23" s="68"/>
      <c r="I23" s="66">
        <f t="shared" ref="I23:I29" si="6">SUM(F23:H23)</f>
        <v>0</v>
      </c>
      <c r="J23" s="68"/>
      <c r="K23" s="68"/>
      <c r="L23" s="68"/>
      <c r="M23" s="66">
        <v>0</v>
      </c>
    </row>
    <row r="24" spans="1:13" x14ac:dyDescent="0.25">
      <c r="A24" s="48" t="s">
        <v>147</v>
      </c>
      <c r="B24" s="68"/>
      <c r="C24" s="68"/>
      <c r="D24" s="68"/>
      <c r="E24" s="66">
        <f t="shared" si="5"/>
        <v>0</v>
      </c>
      <c r="F24" s="68"/>
      <c r="G24" s="68"/>
      <c r="H24" s="68"/>
      <c r="I24" s="66">
        <f t="shared" si="6"/>
        <v>0</v>
      </c>
      <c r="J24" s="68"/>
      <c r="K24" s="68"/>
      <c r="L24" s="68"/>
      <c r="M24" s="66">
        <v>0</v>
      </c>
    </row>
    <row r="25" spans="1:13" x14ac:dyDescent="0.25">
      <c r="A25" s="48" t="s">
        <v>148</v>
      </c>
      <c r="B25" s="68"/>
      <c r="C25" s="68"/>
      <c r="D25" s="68"/>
      <c r="E25" s="66">
        <f t="shared" si="5"/>
        <v>0</v>
      </c>
      <c r="F25" s="68"/>
      <c r="G25" s="68"/>
      <c r="H25" s="68"/>
      <c r="I25" s="66">
        <f t="shared" si="6"/>
        <v>0</v>
      </c>
      <c r="J25" s="68"/>
      <c r="K25" s="68"/>
      <c r="L25" s="68"/>
      <c r="M25" s="66">
        <v>0</v>
      </c>
    </row>
    <row r="26" spans="1:13" x14ac:dyDescent="0.25">
      <c r="A26" s="48" t="s">
        <v>149</v>
      </c>
      <c r="B26" s="68">
        <v>4</v>
      </c>
      <c r="C26" s="68"/>
      <c r="D26" s="68"/>
      <c r="E26" s="66">
        <f t="shared" si="5"/>
        <v>4</v>
      </c>
      <c r="F26" s="68"/>
      <c r="G26" s="68"/>
      <c r="H26" s="68"/>
      <c r="I26" s="66">
        <f t="shared" si="6"/>
        <v>0</v>
      </c>
      <c r="J26" s="68"/>
      <c r="K26" s="68"/>
      <c r="L26" s="68"/>
      <c r="M26" s="66">
        <v>0</v>
      </c>
    </row>
    <row r="27" spans="1:13" x14ac:dyDescent="0.25">
      <c r="A27" s="48" t="s">
        <v>150</v>
      </c>
      <c r="B27" s="68"/>
      <c r="C27" s="68"/>
      <c r="D27" s="68"/>
      <c r="E27" s="66">
        <f t="shared" si="5"/>
        <v>0</v>
      </c>
      <c r="F27" s="68"/>
      <c r="G27" s="68"/>
      <c r="H27" s="68"/>
      <c r="I27" s="66">
        <f t="shared" si="6"/>
        <v>0</v>
      </c>
      <c r="J27" s="68"/>
      <c r="K27" s="68"/>
      <c r="L27" s="68"/>
      <c r="M27" s="66">
        <v>0</v>
      </c>
    </row>
    <row r="28" spans="1:13" x14ac:dyDescent="0.25">
      <c r="A28" s="48" t="s">
        <v>151</v>
      </c>
      <c r="B28" s="68">
        <f>45+62</f>
        <v>107</v>
      </c>
      <c r="C28" s="68">
        <f>43+63</f>
        <v>106</v>
      </c>
      <c r="D28" s="68">
        <f>42+72</f>
        <v>114</v>
      </c>
      <c r="E28" s="66">
        <f t="shared" si="5"/>
        <v>327</v>
      </c>
      <c r="F28" s="68">
        <f>51+77</f>
        <v>128</v>
      </c>
      <c r="G28" s="68">
        <f>51+68</f>
        <v>119</v>
      </c>
      <c r="H28" s="68">
        <f>58+49</f>
        <v>107</v>
      </c>
      <c r="I28" s="66">
        <f t="shared" si="6"/>
        <v>354</v>
      </c>
      <c r="J28" s="68">
        <v>75</v>
      </c>
      <c r="K28" s="68">
        <v>75</v>
      </c>
      <c r="L28" s="68">
        <v>150</v>
      </c>
      <c r="M28" s="66">
        <v>300</v>
      </c>
    </row>
    <row r="29" spans="1:13" x14ac:dyDescent="0.25">
      <c r="A29" s="48" t="s">
        <v>152</v>
      </c>
      <c r="B29" s="68">
        <v>16</v>
      </c>
      <c r="C29" s="68">
        <v>47</v>
      </c>
      <c r="D29" s="68">
        <v>12</v>
      </c>
      <c r="E29" s="66">
        <f t="shared" si="5"/>
        <v>75</v>
      </c>
      <c r="F29" s="68">
        <v>25</v>
      </c>
      <c r="G29" s="68">
        <v>22</v>
      </c>
      <c r="H29" s="68">
        <v>32</v>
      </c>
      <c r="I29" s="66">
        <f t="shared" si="6"/>
        <v>79</v>
      </c>
      <c r="J29" s="68">
        <v>52</v>
      </c>
      <c r="K29" s="68">
        <v>47</v>
      </c>
      <c r="L29" s="68">
        <v>36</v>
      </c>
      <c r="M29" s="66">
        <v>135</v>
      </c>
    </row>
    <row r="30" spans="1:13" x14ac:dyDescent="0.25">
      <c r="A30" s="50" t="s">
        <v>153</v>
      </c>
      <c r="B30" s="69">
        <f t="shared" ref="B30:I30" si="7">B4+B21+B22</f>
        <v>1417</v>
      </c>
      <c r="C30" s="69">
        <f t="shared" si="7"/>
        <v>1584</v>
      </c>
      <c r="D30" s="69">
        <f t="shared" si="7"/>
        <v>1068</v>
      </c>
      <c r="E30" s="69">
        <f t="shared" si="7"/>
        <v>4069</v>
      </c>
      <c r="F30" s="69">
        <f t="shared" si="7"/>
        <v>1415</v>
      </c>
      <c r="G30" s="69">
        <f t="shared" si="7"/>
        <v>1221</v>
      </c>
      <c r="H30" s="69">
        <f t="shared" si="7"/>
        <v>1189</v>
      </c>
      <c r="I30" s="69">
        <f t="shared" si="7"/>
        <v>3825</v>
      </c>
      <c r="J30" s="69">
        <v>1566</v>
      </c>
      <c r="K30" s="69">
        <v>1572</v>
      </c>
      <c r="L30" s="69">
        <v>1628</v>
      </c>
      <c r="M30" s="69">
        <v>4766</v>
      </c>
    </row>
    <row r="32" spans="1:13" x14ac:dyDescent="0.25">
      <c r="A32" s="47" t="s">
        <v>154</v>
      </c>
    </row>
    <row r="33" spans="1:1" x14ac:dyDescent="0.25">
      <c r="A33" s="47" t="s">
        <v>158</v>
      </c>
    </row>
    <row r="34" spans="1:1" x14ac:dyDescent="0.25">
      <c r="A34" s="47" t="s">
        <v>156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307</vt:i4>
      </vt:variant>
    </vt:vector>
  </HeadingPairs>
  <TitlesOfParts>
    <vt:vector size="316" baseType="lpstr">
      <vt:lpstr>2.7</vt:lpstr>
      <vt:lpstr>2.8</vt:lpstr>
      <vt:lpstr>2.10</vt:lpstr>
      <vt:lpstr>3.5</vt:lpstr>
      <vt:lpstr>3.6</vt:lpstr>
      <vt:lpstr>3.8</vt:lpstr>
      <vt:lpstr>Первичка</vt:lpstr>
      <vt:lpstr>Добыча воды</vt:lpstr>
      <vt:lpstr>Сброс воды</vt:lpstr>
      <vt:lpstr>'2.10'!sub_27</vt:lpstr>
      <vt:lpstr>'2.7'!sub_27</vt:lpstr>
      <vt:lpstr>'2.8'!sub_27</vt:lpstr>
      <vt:lpstr>'3.5'!sub_27</vt:lpstr>
      <vt:lpstr>'3.6'!sub_27</vt:lpstr>
      <vt:lpstr>'3.8'!sub_27</vt:lpstr>
      <vt:lpstr>'2.10'!sub_271</vt:lpstr>
      <vt:lpstr>'2.7'!sub_271</vt:lpstr>
      <vt:lpstr>'2.8'!sub_271</vt:lpstr>
      <vt:lpstr>'3.5'!sub_271</vt:lpstr>
      <vt:lpstr>'3.6'!sub_271</vt:lpstr>
      <vt:lpstr>'3.8'!sub_271</vt:lpstr>
      <vt:lpstr>'2.7'!sub_2710</vt:lpstr>
      <vt:lpstr>'2.7'!sub_2711</vt:lpstr>
      <vt:lpstr>'2.7'!sub_2712</vt:lpstr>
      <vt:lpstr>'2.7'!sub_2713</vt:lpstr>
      <vt:lpstr>'2.7'!sub_2714</vt:lpstr>
      <vt:lpstr>'2.7'!sub_2715</vt:lpstr>
      <vt:lpstr>'2.10'!sub_272</vt:lpstr>
      <vt:lpstr>'2.7'!sub_272</vt:lpstr>
      <vt:lpstr>'2.8'!sub_272</vt:lpstr>
      <vt:lpstr>'3.5'!sub_272</vt:lpstr>
      <vt:lpstr>'3.6'!sub_272</vt:lpstr>
      <vt:lpstr>'3.8'!sub_272</vt:lpstr>
      <vt:lpstr>'2.10'!sub_2721</vt:lpstr>
      <vt:lpstr>'2.7'!sub_2721</vt:lpstr>
      <vt:lpstr>'2.8'!sub_2721</vt:lpstr>
      <vt:lpstr>'3.5'!sub_2721</vt:lpstr>
      <vt:lpstr>'3.6'!sub_2721</vt:lpstr>
      <vt:lpstr>'3.8'!sub_2721</vt:lpstr>
      <vt:lpstr>'2.10'!sub_27210</vt:lpstr>
      <vt:lpstr>'2.7'!sub_27210</vt:lpstr>
      <vt:lpstr>'2.8'!sub_27210</vt:lpstr>
      <vt:lpstr>'3.5'!sub_27210</vt:lpstr>
      <vt:lpstr>'3.6'!sub_27210</vt:lpstr>
      <vt:lpstr>'3.8'!sub_27210</vt:lpstr>
      <vt:lpstr>'2.10'!sub_27211</vt:lpstr>
      <vt:lpstr>'2.7'!sub_27211</vt:lpstr>
      <vt:lpstr>'2.8'!sub_27211</vt:lpstr>
      <vt:lpstr>'3.5'!sub_27211</vt:lpstr>
      <vt:lpstr>'3.6'!sub_27211</vt:lpstr>
      <vt:lpstr>'3.8'!sub_27211</vt:lpstr>
      <vt:lpstr>'2.10'!sub_27212</vt:lpstr>
      <vt:lpstr>'2.7'!sub_27212</vt:lpstr>
      <vt:lpstr>'2.8'!sub_27212</vt:lpstr>
      <vt:lpstr>'3.5'!sub_27212</vt:lpstr>
      <vt:lpstr>'3.6'!sub_27212</vt:lpstr>
      <vt:lpstr>'3.8'!sub_27212</vt:lpstr>
      <vt:lpstr>'2.10'!sub_2722</vt:lpstr>
      <vt:lpstr>'2.7'!sub_2722</vt:lpstr>
      <vt:lpstr>'2.8'!sub_2722</vt:lpstr>
      <vt:lpstr>'3.5'!sub_2722</vt:lpstr>
      <vt:lpstr>'3.6'!sub_2722</vt:lpstr>
      <vt:lpstr>'3.8'!sub_2722</vt:lpstr>
      <vt:lpstr>'2.10'!sub_2723</vt:lpstr>
      <vt:lpstr>'2.7'!sub_2723</vt:lpstr>
      <vt:lpstr>'2.8'!sub_2723</vt:lpstr>
      <vt:lpstr>'3.5'!sub_2723</vt:lpstr>
      <vt:lpstr>'3.6'!sub_2723</vt:lpstr>
      <vt:lpstr>'3.8'!sub_2723</vt:lpstr>
      <vt:lpstr>'2.10'!sub_2724</vt:lpstr>
      <vt:lpstr>'2.7'!sub_2724</vt:lpstr>
      <vt:lpstr>'2.8'!sub_2724</vt:lpstr>
      <vt:lpstr>'3.5'!sub_2724</vt:lpstr>
      <vt:lpstr>'3.6'!sub_2724</vt:lpstr>
      <vt:lpstr>'3.8'!sub_2724</vt:lpstr>
      <vt:lpstr>'2.10'!sub_2725</vt:lpstr>
      <vt:lpstr>'2.7'!sub_2725</vt:lpstr>
      <vt:lpstr>'2.8'!sub_2725</vt:lpstr>
      <vt:lpstr>'3.5'!sub_2725</vt:lpstr>
      <vt:lpstr>'3.6'!sub_2725</vt:lpstr>
      <vt:lpstr>'3.8'!sub_2725</vt:lpstr>
      <vt:lpstr>'2.10'!sub_2726</vt:lpstr>
      <vt:lpstr>'2.7'!sub_2726</vt:lpstr>
      <vt:lpstr>'2.8'!sub_2726</vt:lpstr>
      <vt:lpstr>'3.5'!sub_2726</vt:lpstr>
      <vt:lpstr>'3.6'!sub_2726</vt:lpstr>
      <vt:lpstr>'3.8'!sub_2726</vt:lpstr>
      <vt:lpstr>'2.10'!sub_2727</vt:lpstr>
      <vt:lpstr>'2.7'!sub_2727</vt:lpstr>
      <vt:lpstr>'2.8'!sub_2727</vt:lpstr>
      <vt:lpstr>'3.5'!sub_2727</vt:lpstr>
      <vt:lpstr>'3.6'!sub_2727</vt:lpstr>
      <vt:lpstr>'3.8'!sub_2727</vt:lpstr>
      <vt:lpstr>'2.10'!sub_2728</vt:lpstr>
      <vt:lpstr>'2.7'!sub_2728</vt:lpstr>
      <vt:lpstr>'2.8'!sub_2728</vt:lpstr>
      <vt:lpstr>'3.5'!sub_2728</vt:lpstr>
      <vt:lpstr>'3.6'!sub_2728</vt:lpstr>
      <vt:lpstr>'3.8'!sub_2728</vt:lpstr>
      <vt:lpstr>'2.10'!sub_2729</vt:lpstr>
      <vt:lpstr>'2.7'!sub_2729</vt:lpstr>
      <vt:lpstr>'2.8'!sub_2729</vt:lpstr>
      <vt:lpstr>'3.5'!sub_2729</vt:lpstr>
      <vt:lpstr>'3.6'!sub_2729</vt:lpstr>
      <vt:lpstr>'3.8'!sub_2729</vt:lpstr>
      <vt:lpstr>'2.10'!sub_273</vt:lpstr>
      <vt:lpstr>'2.7'!sub_273</vt:lpstr>
      <vt:lpstr>'2.8'!sub_273</vt:lpstr>
      <vt:lpstr>'3.5'!sub_273</vt:lpstr>
      <vt:lpstr>'3.6'!sub_273</vt:lpstr>
      <vt:lpstr>'3.8'!sub_273</vt:lpstr>
      <vt:lpstr>'2.7'!sub_274</vt:lpstr>
      <vt:lpstr>'2.7'!sub_275</vt:lpstr>
      <vt:lpstr>'2.7'!sub_276</vt:lpstr>
      <vt:lpstr>'2.7'!sub_277</vt:lpstr>
      <vt:lpstr>'2.7'!sub_278</vt:lpstr>
      <vt:lpstr>'2.7'!sub_279</vt:lpstr>
      <vt:lpstr>'2.10'!sub_28</vt:lpstr>
      <vt:lpstr>'2.8'!sub_28</vt:lpstr>
      <vt:lpstr>'3.5'!sub_28</vt:lpstr>
      <vt:lpstr>'3.6'!sub_28</vt:lpstr>
      <vt:lpstr>'3.8'!sub_28</vt:lpstr>
      <vt:lpstr>'2.10'!sub_281</vt:lpstr>
      <vt:lpstr>'2.8'!sub_281</vt:lpstr>
      <vt:lpstr>'3.5'!sub_281</vt:lpstr>
      <vt:lpstr>'3.6'!sub_281</vt:lpstr>
      <vt:lpstr>'3.8'!sub_281</vt:lpstr>
      <vt:lpstr>'2.10'!sub_282</vt:lpstr>
      <vt:lpstr>'2.8'!sub_282</vt:lpstr>
      <vt:lpstr>'3.5'!sub_282</vt:lpstr>
      <vt:lpstr>'3.6'!sub_282</vt:lpstr>
      <vt:lpstr>'3.8'!sub_282</vt:lpstr>
      <vt:lpstr>'2.10'!sub_283</vt:lpstr>
      <vt:lpstr>'2.8'!sub_283</vt:lpstr>
      <vt:lpstr>'3.5'!sub_283</vt:lpstr>
      <vt:lpstr>'3.6'!sub_283</vt:lpstr>
      <vt:lpstr>'3.8'!sub_283</vt:lpstr>
      <vt:lpstr>'2.10'!sub_284</vt:lpstr>
      <vt:lpstr>'2.8'!sub_284</vt:lpstr>
      <vt:lpstr>'3.5'!sub_284</vt:lpstr>
      <vt:lpstr>'3.6'!sub_284</vt:lpstr>
      <vt:lpstr>'3.8'!sub_284</vt:lpstr>
      <vt:lpstr>'2.10'!sub_2841</vt:lpstr>
      <vt:lpstr>'2.8'!sub_2841</vt:lpstr>
      <vt:lpstr>'3.5'!sub_2841</vt:lpstr>
      <vt:lpstr>'3.6'!sub_2841</vt:lpstr>
      <vt:lpstr>'3.8'!sub_2841</vt:lpstr>
      <vt:lpstr>'2.10'!sub_2842</vt:lpstr>
      <vt:lpstr>'2.8'!sub_2842</vt:lpstr>
      <vt:lpstr>'3.5'!sub_2842</vt:lpstr>
      <vt:lpstr>'3.6'!sub_2842</vt:lpstr>
      <vt:lpstr>'3.8'!sub_2842</vt:lpstr>
      <vt:lpstr>'2.10'!sub_2843</vt:lpstr>
      <vt:lpstr>'2.8'!sub_2843</vt:lpstr>
      <vt:lpstr>'3.5'!sub_2843</vt:lpstr>
      <vt:lpstr>'3.6'!sub_2843</vt:lpstr>
      <vt:lpstr>'3.8'!sub_2843</vt:lpstr>
      <vt:lpstr>'2.10'!sub_2844</vt:lpstr>
      <vt:lpstr>'2.8'!sub_2844</vt:lpstr>
      <vt:lpstr>'3.5'!sub_2844</vt:lpstr>
      <vt:lpstr>'3.6'!sub_2844</vt:lpstr>
      <vt:lpstr>'3.8'!sub_2844</vt:lpstr>
      <vt:lpstr>'2.10'!sub_2845</vt:lpstr>
      <vt:lpstr>'2.8'!sub_2845</vt:lpstr>
      <vt:lpstr>'3.5'!sub_2845</vt:lpstr>
      <vt:lpstr>'3.6'!sub_2845</vt:lpstr>
      <vt:lpstr>'3.8'!sub_2845</vt:lpstr>
      <vt:lpstr>'2.10'!sub_285</vt:lpstr>
      <vt:lpstr>'2.8'!sub_285</vt:lpstr>
      <vt:lpstr>'3.5'!sub_285</vt:lpstr>
      <vt:lpstr>'3.6'!sub_285</vt:lpstr>
      <vt:lpstr>'3.8'!sub_285</vt:lpstr>
      <vt:lpstr>'2.10'!sub_2851</vt:lpstr>
      <vt:lpstr>'2.8'!sub_2851</vt:lpstr>
      <vt:lpstr>'3.5'!sub_2851</vt:lpstr>
      <vt:lpstr>'3.6'!sub_2851</vt:lpstr>
      <vt:lpstr>'3.8'!sub_2851</vt:lpstr>
      <vt:lpstr>'2.10'!sub_2852</vt:lpstr>
      <vt:lpstr>'2.8'!sub_2852</vt:lpstr>
      <vt:lpstr>'3.5'!sub_2852</vt:lpstr>
      <vt:lpstr>'3.6'!sub_2852</vt:lpstr>
      <vt:lpstr>'3.8'!sub_2852</vt:lpstr>
      <vt:lpstr>'2.10'!sub_2853</vt:lpstr>
      <vt:lpstr>'2.8'!sub_2853</vt:lpstr>
      <vt:lpstr>'3.5'!sub_2853</vt:lpstr>
      <vt:lpstr>'3.6'!sub_2853</vt:lpstr>
      <vt:lpstr>'3.8'!sub_2853</vt:lpstr>
      <vt:lpstr>'2.10'!sub_2854</vt:lpstr>
      <vt:lpstr>'2.8'!sub_2854</vt:lpstr>
      <vt:lpstr>'3.5'!sub_2854</vt:lpstr>
      <vt:lpstr>'3.6'!sub_2854</vt:lpstr>
      <vt:lpstr>'3.8'!sub_2854</vt:lpstr>
      <vt:lpstr>'2.10'!sub_2855</vt:lpstr>
      <vt:lpstr>'2.8'!sub_2855</vt:lpstr>
      <vt:lpstr>'3.5'!sub_2855</vt:lpstr>
      <vt:lpstr>'3.6'!sub_2855</vt:lpstr>
      <vt:lpstr>'3.8'!sub_2855</vt:lpstr>
      <vt:lpstr>'2.10'!sub_286</vt:lpstr>
      <vt:lpstr>'2.8'!sub_286</vt:lpstr>
      <vt:lpstr>'3.5'!sub_286</vt:lpstr>
      <vt:lpstr>'3.6'!sub_286</vt:lpstr>
      <vt:lpstr>'3.8'!sub_286</vt:lpstr>
      <vt:lpstr>'2.10'!sub_287</vt:lpstr>
      <vt:lpstr>'2.8'!sub_287</vt:lpstr>
      <vt:lpstr>'3.5'!sub_287</vt:lpstr>
      <vt:lpstr>'3.6'!sub_287</vt:lpstr>
      <vt:lpstr>'3.8'!sub_287</vt:lpstr>
      <vt:lpstr>'3.5'!sub_35</vt:lpstr>
      <vt:lpstr>'3.6'!sub_35</vt:lpstr>
      <vt:lpstr>'3.8'!sub_35</vt:lpstr>
      <vt:lpstr>'3.5'!sub_351</vt:lpstr>
      <vt:lpstr>'3.6'!sub_351</vt:lpstr>
      <vt:lpstr>'3.8'!sub_351</vt:lpstr>
      <vt:lpstr>'3.5'!sub_3510</vt:lpstr>
      <vt:lpstr>'3.6'!sub_3510</vt:lpstr>
      <vt:lpstr>'3.8'!sub_3510</vt:lpstr>
      <vt:lpstr>'3.5'!sub_352</vt:lpstr>
      <vt:lpstr>'3.6'!sub_352</vt:lpstr>
      <vt:lpstr>'3.8'!sub_352</vt:lpstr>
      <vt:lpstr>'3.5'!sub_3521</vt:lpstr>
      <vt:lpstr>'3.6'!sub_3521</vt:lpstr>
      <vt:lpstr>'3.8'!sub_3521</vt:lpstr>
      <vt:lpstr>'3.5'!sub_35210</vt:lpstr>
      <vt:lpstr>'3.6'!sub_35210</vt:lpstr>
      <vt:lpstr>'3.8'!sub_35210</vt:lpstr>
      <vt:lpstr>'3.5'!sub_35211</vt:lpstr>
      <vt:lpstr>'3.6'!sub_35211</vt:lpstr>
      <vt:lpstr>'3.8'!sub_35211</vt:lpstr>
      <vt:lpstr>'3.5'!sub_35212</vt:lpstr>
      <vt:lpstr>'3.6'!sub_35212</vt:lpstr>
      <vt:lpstr>'3.8'!sub_35212</vt:lpstr>
      <vt:lpstr>'3.5'!sub_3522</vt:lpstr>
      <vt:lpstr>'3.6'!sub_3522</vt:lpstr>
      <vt:lpstr>'3.8'!sub_3522</vt:lpstr>
      <vt:lpstr>'3.5'!sub_3523</vt:lpstr>
      <vt:lpstr>'3.6'!sub_3523</vt:lpstr>
      <vt:lpstr>'3.8'!sub_3523</vt:lpstr>
      <vt:lpstr>'3.5'!sub_3524</vt:lpstr>
      <vt:lpstr>'3.6'!sub_3524</vt:lpstr>
      <vt:lpstr>'3.8'!sub_3524</vt:lpstr>
      <vt:lpstr>'3.5'!sub_3525</vt:lpstr>
      <vt:lpstr>'3.6'!sub_3525</vt:lpstr>
      <vt:lpstr>'3.8'!sub_3525</vt:lpstr>
      <vt:lpstr>'3.5'!sub_3526</vt:lpstr>
      <vt:lpstr>'3.6'!sub_3526</vt:lpstr>
      <vt:lpstr>'3.8'!sub_3526</vt:lpstr>
      <vt:lpstr>'3.5'!sub_3527</vt:lpstr>
      <vt:lpstr>'3.6'!sub_3527</vt:lpstr>
      <vt:lpstr>'3.8'!sub_3527</vt:lpstr>
      <vt:lpstr>'3.5'!sub_3528</vt:lpstr>
      <vt:lpstr>'3.6'!sub_3528</vt:lpstr>
      <vt:lpstr>'3.8'!sub_3528</vt:lpstr>
      <vt:lpstr>'3.5'!sub_3529</vt:lpstr>
      <vt:lpstr>'3.6'!sub_3529</vt:lpstr>
      <vt:lpstr>'3.8'!sub_3529</vt:lpstr>
      <vt:lpstr>'3.5'!sub_353</vt:lpstr>
      <vt:lpstr>'3.6'!sub_353</vt:lpstr>
      <vt:lpstr>'3.8'!sub_353</vt:lpstr>
      <vt:lpstr>'3.5'!sub_354</vt:lpstr>
      <vt:lpstr>'3.6'!sub_354</vt:lpstr>
      <vt:lpstr>'3.8'!sub_354</vt:lpstr>
      <vt:lpstr>'3.5'!sub_355</vt:lpstr>
      <vt:lpstr>'3.6'!sub_355</vt:lpstr>
      <vt:lpstr>'3.8'!sub_355</vt:lpstr>
      <vt:lpstr>'3.5'!sub_356</vt:lpstr>
      <vt:lpstr>'3.6'!sub_356</vt:lpstr>
      <vt:lpstr>'3.8'!sub_356</vt:lpstr>
      <vt:lpstr>'3.5'!sub_357</vt:lpstr>
      <vt:lpstr>'3.6'!sub_357</vt:lpstr>
      <vt:lpstr>'3.8'!sub_357</vt:lpstr>
      <vt:lpstr>'3.5'!sub_358</vt:lpstr>
      <vt:lpstr>'3.6'!sub_358</vt:lpstr>
      <vt:lpstr>'3.8'!sub_358</vt:lpstr>
      <vt:lpstr>'3.5'!sub_359</vt:lpstr>
      <vt:lpstr>'3.6'!sub_359</vt:lpstr>
      <vt:lpstr>'3.8'!sub_359</vt:lpstr>
      <vt:lpstr>'3.6'!sub_36</vt:lpstr>
      <vt:lpstr>'3.8'!sub_36</vt:lpstr>
      <vt:lpstr>'3.6'!sub_361</vt:lpstr>
      <vt:lpstr>'3.8'!sub_361</vt:lpstr>
      <vt:lpstr>'3.6'!sub_362</vt:lpstr>
      <vt:lpstr>'3.8'!sub_362</vt:lpstr>
      <vt:lpstr>'3.6'!sub_3621</vt:lpstr>
      <vt:lpstr>'3.8'!sub_3621</vt:lpstr>
      <vt:lpstr>'3.6'!sub_3622</vt:lpstr>
      <vt:lpstr>'3.8'!sub_3622</vt:lpstr>
      <vt:lpstr>'3.6'!sub_3623</vt:lpstr>
      <vt:lpstr>'3.8'!sub_3623</vt:lpstr>
      <vt:lpstr>'3.6'!sub_3624</vt:lpstr>
      <vt:lpstr>'3.8'!sub_3624</vt:lpstr>
      <vt:lpstr>'3.6'!sub_3625</vt:lpstr>
      <vt:lpstr>'3.8'!sub_3625</vt:lpstr>
      <vt:lpstr>'3.6'!sub_3626</vt:lpstr>
      <vt:lpstr>'3.8'!sub_3626</vt:lpstr>
      <vt:lpstr>'3.6'!sub_3627</vt:lpstr>
      <vt:lpstr>'3.8'!sub_3627</vt:lpstr>
      <vt:lpstr>'3.6'!sub_363</vt:lpstr>
      <vt:lpstr>'3.8'!sub_363</vt:lpstr>
      <vt:lpstr>'3.6'!sub_3631</vt:lpstr>
      <vt:lpstr>'3.8'!sub_3631</vt:lpstr>
      <vt:lpstr>'3.6'!sub_3632</vt:lpstr>
      <vt:lpstr>'3.8'!sub_3632</vt:lpstr>
      <vt:lpstr>'3.6'!sub_3633</vt:lpstr>
      <vt:lpstr>'3.8'!sub_3633</vt:lpstr>
      <vt:lpstr>'3.6'!sub_3634</vt:lpstr>
      <vt:lpstr>'3.8'!sub_3634</vt:lpstr>
      <vt:lpstr>'3.6'!sub_3635</vt:lpstr>
      <vt:lpstr>'3.8'!sub_3635</vt:lpstr>
      <vt:lpstr>'3.6'!sub_3636</vt:lpstr>
      <vt:lpstr>'3.8'!sub_3636</vt:lpstr>
      <vt:lpstr>'3.6'!sub_3637</vt:lpstr>
      <vt:lpstr>'3.8'!sub_3637</vt:lpstr>
      <vt:lpstr>'3.6'!sub_366</vt:lpstr>
      <vt:lpstr>'3.8'!sub_366</vt:lpstr>
      <vt:lpstr>'3.6'!sub_367</vt:lpstr>
      <vt:lpstr>'3.8'!sub_367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2015-10-12T11:06:08Z</dcterms:modified>
</cp:coreProperties>
</file>